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Mentés\c\Profil\Dokumentumok\rendeletek\zarszamadas\2020. évi\"/>
    </mc:Choice>
  </mc:AlternateContent>
  <bookViews>
    <workbookView xWindow="0" yWindow="0" windowWidth="20490" windowHeight="7755" tabRatio="863"/>
  </bookViews>
  <sheets>
    <sheet name="1.sz.m-önk.össze.bev" sheetId="1" r:id="rId1"/>
    <sheet name="1 .sz.m.önk.össz.kiad." sheetId="2" r:id="rId2"/>
    <sheet name="2.sz.m.összehasonlító" sheetId="3" r:id="rId3"/>
    <sheet name="3.sz.m Önk  bev." sheetId="4" r:id="rId4"/>
    <sheet name="4.sz.m.ÖNK kiadás" sheetId="5" r:id="rId5"/>
    <sheet name="Vitnyédi KÖH" sheetId="17" r:id="rId6"/>
    <sheet name="5. sz. m óvoda" sheetId="6" r:id="rId7"/>
    <sheet name="6 .sz.m. Létszám" sheetId="7" r:id="rId8"/>
    <sheet name="7.sz.m.Dologi kiadás " sheetId="8" r:id="rId9"/>
    <sheet name="8.sz.m.szociális kiadások" sheetId="9" r:id="rId10"/>
    <sheet name="9.sz.m.átadott p.e." sheetId="10" r:id="rId11"/>
    <sheet name="10.sz.m.fejlesztés " sheetId="11" r:id="rId12"/>
    <sheet name="11. sz.m. előir felh terv" sheetId="12" r:id="rId13"/>
    <sheet name="12.sz.m. . saját bevételek" sheetId="13" r:id="rId14"/>
    <sheet name="13.sz.m. állami támogatás " sheetId="14" r:id="rId15"/>
    <sheet name="14. sz.m. közvetett tám." sheetId="15" r:id="rId16"/>
    <sheet name="15.sz.m. tartozás" sheetId="16" r:id="rId17"/>
    <sheet name="Adósságot keletkeztető ügyletek" sheetId="18" r:id="rId18"/>
    <sheet name="17.Pénzmaradvány önk." sheetId="21" r:id="rId19"/>
    <sheet name="18.Pénzmaradvány Közös H." sheetId="22" r:id="rId20"/>
    <sheet name="19.Pénzmaradvány óvoda" sheetId="23" r:id="rId21"/>
    <sheet name="20.Vagyonkimutatás eszközök" sheetId="24" r:id="rId22"/>
    <sheet name="21.Vagyonkimutatás források" sheetId="25" r:id="rId23"/>
    <sheet name="22.Mérleg szerinti eredmény" sheetId="26" r:id="rId24"/>
  </sheets>
  <definedNames>
    <definedName name="_xlnm.Print_Area" localSheetId="1">'1 .sz.m.önk.össz.kiad.'!$A$3:$AA$69</definedName>
    <definedName name="_xlnm.Print_Area" localSheetId="0">'1.sz.m-önk.össze.bev'!$A$1:$Q$61</definedName>
    <definedName name="_xlnm.Print_Area" localSheetId="11">'10.sz.m.fejlesztés '!$A$3:$N$33</definedName>
    <definedName name="_xlnm.Print_Area" localSheetId="12">'11. sz.m. előir felh terv'!$A$1:$O$22</definedName>
    <definedName name="_xlnm.Print_Area" localSheetId="2">'2.sz.m.összehasonlító'!$A$1:$J$34</definedName>
    <definedName name="_xlnm.Print_Area" localSheetId="3">'3.sz.m Önk  bev.'!$A$1:$U$64</definedName>
    <definedName name="_xlnm.Print_Area" localSheetId="4">'4.sz.m.ÖNK kiadás'!$A$1:$N$38</definedName>
    <definedName name="_xlnm.Print_Area" localSheetId="6">'5. sz. m óvoda'!$A$1:$Q$51</definedName>
    <definedName name="_xlnm.Print_Area" localSheetId="7">'6 .sz.m. Létszám'!$A$1:$K$23</definedName>
    <definedName name="_xlnm.Print_Area" localSheetId="8">'7.sz.m.Dologi kiadás '!$A$1:$R$26</definedName>
    <definedName name="_xlnm.Print_Area" localSheetId="9">'8.sz.m.szociális kiadások'!$A$1:$R$27</definedName>
    <definedName name="_xlnm.Print_Area" localSheetId="10">'9.sz.m.átadott p.e.'!$A$1:$U$51</definedName>
  </definedNames>
  <calcPr calcId="181029"/>
</workbook>
</file>

<file path=xl/calcChain.xml><?xml version="1.0" encoding="utf-8"?>
<calcChain xmlns="http://schemas.openxmlformats.org/spreadsheetml/2006/main">
  <c r="M20" i="11" l="1"/>
  <c r="H20" i="11"/>
  <c r="E26" i="10"/>
  <c r="U26" i="10"/>
  <c r="L26" i="8"/>
  <c r="C47" i="24"/>
  <c r="C9" i="24"/>
  <c r="H19" i="26"/>
  <c r="H16" i="26"/>
  <c r="H13" i="26"/>
  <c r="C20" i="25"/>
  <c r="C16" i="25"/>
  <c r="D50" i="24"/>
  <c r="C50" i="24"/>
  <c r="D47" i="24"/>
  <c r="D43" i="24"/>
  <c r="C43" i="24"/>
  <c r="D29" i="24"/>
  <c r="C29" i="24"/>
  <c r="D24" i="24"/>
  <c r="C24" i="24"/>
  <c r="D18" i="24"/>
  <c r="D13" i="24"/>
  <c r="C13" i="24"/>
  <c r="D9" i="24"/>
  <c r="D35" i="24"/>
  <c r="D52" i="24"/>
  <c r="H19" i="23"/>
  <c r="H16" i="23"/>
  <c r="H20" i="23"/>
  <c r="H12" i="23"/>
  <c r="H9" i="23"/>
  <c r="H13" i="23"/>
  <c r="H21" i="23"/>
  <c r="H23" i="23"/>
  <c r="H19" i="22"/>
  <c r="H16" i="22"/>
  <c r="H20" i="22"/>
  <c r="H12" i="22"/>
  <c r="H9" i="22"/>
  <c r="H19" i="21"/>
  <c r="H16" i="21"/>
  <c r="H20" i="21"/>
  <c r="H12" i="21"/>
  <c r="H13" i="21"/>
  <c r="H9" i="21"/>
  <c r="H17" i="8"/>
  <c r="G26" i="8"/>
  <c r="H8" i="8"/>
  <c r="H19" i="8"/>
  <c r="H14" i="8"/>
  <c r="E51" i="10"/>
  <c r="F12" i="13"/>
  <c r="F13" i="13"/>
  <c r="G28" i="14"/>
  <c r="G22" i="14"/>
  <c r="G13" i="14"/>
  <c r="G10" i="14"/>
  <c r="G18" i="14"/>
  <c r="G39" i="14"/>
  <c r="I18" i="1"/>
  <c r="E7" i="3"/>
  <c r="E14" i="3"/>
  <c r="H18" i="1"/>
  <c r="I57" i="4"/>
  <c r="J33" i="3"/>
  <c r="J28" i="3"/>
  <c r="J22" i="3"/>
  <c r="J27" i="3"/>
  <c r="E24" i="3"/>
  <c r="E23" i="3"/>
  <c r="E22" i="3"/>
  <c r="J16" i="3"/>
  <c r="J17" i="3"/>
  <c r="J14" i="3"/>
  <c r="J11" i="3"/>
  <c r="J10" i="3"/>
  <c r="J9" i="3"/>
  <c r="J8" i="3"/>
  <c r="J7" i="3"/>
  <c r="J6" i="3"/>
  <c r="E15" i="3"/>
  <c r="E17" i="3"/>
  <c r="E10" i="3"/>
  <c r="E9" i="3"/>
  <c r="E8" i="3"/>
  <c r="E6" i="3"/>
  <c r="I54" i="1"/>
  <c r="M54" i="1"/>
  <c r="I57" i="1"/>
  <c r="I49" i="1"/>
  <c r="I48" i="1"/>
  <c r="I41" i="1"/>
  <c r="I38" i="1"/>
  <c r="I34" i="1"/>
  <c r="I31" i="1"/>
  <c r="I29" i="1"/>
  <c r="I28" i="1"/>
  <c r="I26" i="1"/>
  <c r="I25" i="1"/>
  <c r="I21" i="1"/>
  <c r="I20" i="1"/>
  <c r="I19" i="1"/>
  <c r="I17" i="1"/>
  <c r="I12" i="1"/>
  <c r="I11" i="1"/>
  <c r="I9" i="1"/>
  <c r="I8" i="1"/>
  <c r="M39" i="2"/>
  <c r="M33" i="2"/>
  <c r="T39" i="2"/>
  <c r="T19" i="2"/>
  <c r="T32" i="2"/>
  <c r="T33" i="2"/>
  <c r="M19" i="2"/>
  <c r="M32" i="2"/>
  <c r="M8" i="2"/>
  <c r="I35" i="2"/>
  <c r="I34" i="2"/>
  <c r="I30" i="2"/>
  <c r="I29" i="2"/>
  <c r="I28" i="2"/>
  <c r="I22" i="2"/>
  <c r="I21" i="2"/>
  <c r="I20" i="2"/>
  <c r="I13" i="2"/>
  <c r="I12" i="2"/>
  <c r="I11" i="2"/>
  <c r="I10" i="2"/>
  <c r="I9" i="2"/>
  <c r="Q33" i="6"/>
  <c r="Q29" i="6"/>
  <c r="Q24" i="6"/>
  <c r="Q23" i="6"/>
  <c r="M33" i="6"/>
  <c r="M29" i="6"/>
  <c r="M24" i="6"/>
  <c r="M23" i="6"/>
  <c r="Q39" i="6"/>
  <c r="Q46" i="6"/>
  <c r="Q19" i="6"/>
  <c r="Q14" i="6"/>
  <c r="Q9" i="6"/>
  <c r="M9" i="6"/>
  <c r="Q44" i="17"/>
  <c r="Q37" i="17"/>
  <c r="Q31" i="17"/>
  <c r="M44" i="17"/>
  <c r="M37" i="17"/>
  <c r="M31" i="17"/>
  <c r="Q27" i="17"/>
  <c r="Q12" i="17"/>
  <c r="Q21" i="17"/>
  <c r="Q9" i="17"/>
  <c r="Q22" i="17"/>
  <c r="M22" i="17"/>
  <c r="M27" i="17"/>
  <c r="M21" i="17"/>
  <c r="M12" i="17"/>
  <c r="M9" i="17"/>
  <c r="I21" i="4"/>
  <c r="I13" i="4"/>
  <c r="I8" i="4"/>
  <c r="I7" i="4"/>
  <c r="I25" i="5"/>
  <c r="I20" i="5"/>
  <c r="I11" i="5"/>
  <c r="I6" i="5"/>
  <c r="I15" i="12"/>
  <c r="F15" i="12"/>
  <c r="N15" i="12"/>
  <c r="L15" i="12"/>
  <c r="K15" i="12"/>
  <c r="G15" i="12"/>
  <c r="E15" i="12"/>
  <c r="M15" i="12"/>
  <c r="J15" i="12"/>
  <c r="H15" i="12"/>
  <c r="D15" i="12"/>
  <c r="C15" i="12"/>
  <c r="M8" i="12"/>
  <c r="N8" i="12"/>
  <c r="J8" i="12"/>
  <c r="K8" i="12"/>
  <c r="L8" i="12"/>
  <c r="G8" i="12"/>
  <c r="H8" i="12"/>
  <c r="I8" i="12"/>
  <c r="F8" i="12"/>
  <c r="E8" i="12"/>
  <c r="D8" i="12"/>
  <c r="C8" i="12"/>
  <c r="N12" i="12"/>
  <c r="K12" i="12"/>
  <c r="C12" i="12"/>
  <c r="G12" i="12"/>
  <c r="L6" i="12"/>
  <c r="K6" i="12"/>
  <c r="E6" i="12"/>
  <c r="D26" i="10"/>
  <c r="K19" i="8"/>
  <c r="K26" i="8"/>
  <c r="F19" i="8"/>
  <c r="F26" i="8"/>
  <c r="H26" i="5"/>
  <c r="H9" i="5"/>
  <c r="H11" i="2"/>
  <c r="I8" i="3"/>
  <c r="H19" i="5"/>
  <c r="F20" i="11"/>
  <c r="G20" i="11"/>
  <c r="F28" i="14"/>
  <c r="F22" i="14"/>
  <c r="F13" i="14"/>
  <c r="F10" i="14"/>
  <c r="F18" i="14"/>
  <c r="E12" i="13"/>
  <c r="E13" i="13"/>
  <c r="D51" i="10"/>
  <c r="F26" i="10"/>
  <c r="E17" i="9"/>
  <c r="F17" i="9"/>
  <c r="G17" i="9"/>
  <c r="D23" i="3"/>
  <c r="D22" i="3"/>
  <c r="D10" i="3"/>
  <c r="L54" i="1"/>
  <c r="P54" i="1"/>
  <c r="P47" i="1"/>
  <c r="P53" i="1"/>
  <c r="P59" i="1"/>
  <c r="H57" i="1"/>
  <c r="D15" i="3"/>
  <c r="D17" i="3"/>
  <c r="H49" i="1"/>
  <c r="H47" i="1"/>
  <c r="H48" i="1"/>
  <c r="H41" i="1"/>
  <c r="D24" i="3"/>
  <c r="H34" i="1"/>
  <c r="D9" i="3"/>
  <c r="H31" i="1"/>
  <c r="D8" i="3"/>
  <c r="H29" i="1"/>
  <c r="H28" i="1"/>
  <c r="H26" i="1"/>
  <c r="H25" i="1"/>
  <c r="H21" i="1"/>
  <c r="H20" i="1"/>
  <c r="H19" i="1"/>
  <c r="H17" i="1"/>
  <c r="H14" i="1"/>
  <c r="H12" i="1"/>
  <c r="H11" i="1"/>
  <c r="H9" i="1"/>
  <c r="H8" i="1"/>
  <c r="P33" i="2"/>
  <c r="Q33" i="2"/>
  <c r="R33" i="2"/>
  <c r="S33" i="2"/>
  <c r="P19" i="2"/>
  <c r="P32" i="2"/>
  <c r="P39" i="2"/>
  <c r="Q19" i="2"/>
  <c r="Q32" i="2"/>
  <c r="Q39" i="2"/>
  <c r="R19" i="2"/>
  <c r="R32" i="2"/>
  <c r="R39" i="2"/>
  <c r="S19" i="2"/>
  <c r="S32" i="2"/>
  <c r="S39" i="2"/>
  <c r="H35" i="2"/>
  <c r="I16" i="3"/>
  <c r="I17" i="3"/>
  <c r="H34" i="2"/>
  <c r="I28" i="3"/>
  <c r="I30" i="3"/>
  <c r="H29" i="2"/>
  <c r="H21" i="2"/>
  <c r="I23" i="3"/>
  <c r="H20" i="2"/>
  <c r="I22" i="3"/>
  <c r="H12" i="2"/>
  <c r="I9" i="3"/>
  <c r="H10" i="2"/>
  <c r="I7" i="3"/>
  <c r="H9" i="2"/>
  <c r="I6" i="3"/>
  <c r="H28" i="5"/>
  <c r="H21" i="4"/>
  <c r="F39" i="14"/>
  <c r="H20" i="5"/>
  <c r="H22" i="2"/>
  <c r="I24" i="3"/>
  <c r="H11" i="5"/>
  <c r="H57" i="4"/>
  <c r="H13" i="4"/>
  <c r="H7" i="4"/>
  <c r="H8" i="4"/>
  <c r="P24" i="6"/>
  <c r="P39" i="6"/>
  <c r="P33" i="6"/>
  <c r="P46" i="6"/>
  <c r="L33" i="6"/>
  <c r="L24" i="6"/>
  <c r="P9" i="6"/>
  <c r="P23" i="6"/>
  <c r="P29" i="6"/>
  <c r="L9" i="6"/>
  <c r="L23" i="6"/>
  <c r="L29" i="6"/>
  <c r="P37" i="17"/>
  <c r="P31" i="17"/>
  <c r="P44" i="17"/>
  <c r="P9" i="17"/>
  <c r="P12" i="17"/>
  <c r="P21" i="17"/>
  <c r="P27" i="17"/>
  <c r="P22" i="17"/>
  <c r="L37" i="17"/>
  <c r="L31" i="17"/>
  <c r="L44" i="17"/>
  <c r="L22" i="17"/>
  <c r="L12" i="17"/>
  <c r="L9" i="17"/>
  <c r="L21" i="17"/>
  <c r="L27" i="17"/>
  <c r="M6" i="18"/>
  <c r="M7" i="18"/>
  <c r="C10" i="18"/>
  <c r="D10" i="18"/>
  <c r="E10" i="18"/>
  <c r="F10" i="18"/>
  <c r="G10" i="18"/>
  <c r="H10" i="18"/>
  <c r="I10" i="18"/>
  <c r="J10" i="18"/>
  <c r="K10" i="18"/>
  <c r="L10" i="18"/>
  <c r="M10" i="18"/>
  <c r="B13" i="15"/>
  <c r="C13" i="15"/>
  <c r="D13" i="15"/>
  <c r="E13" i="15"/>
  <c r="F13" i="15"/>
  <c r="G13" i="15"/>
  <c r="B20" i="15"/>
  <c r="D20" i="15"/>
  <c r="B10" i="14"/>
  <c r="C10" i="14"/>
  <c r="B13" i="14"/>
  <c r="C13" i="14"/>
  <c r="B18" i="14"/>
  <c r="C18" i="14"/>
  <c r="D18" i="14"/>
  <c r="E18" i="14"/>
  <c r="B22" i="14"/>
  <c r="C22" i="14"/>
  <c r="D22" i="14"/>
  <c r="E22" i="14"/>
  <c r="B28" i="14"/>
  <c r="C28" i="14"/>
  <c r="B39" i="14"/>
  <c r="C39" i="14"/>
  <c r="D39" i="14"/>
  <c r="E39" i="14"/>
  <c r="C12" i="13"/>
  <c r="D12" i="13"/>
  <c r="C13" i="13"/>
  <c r="D13" i="13"/>
  <c r="O6" i="12"/>
  <c r="O7" i="12"/>
  <c r="O8" i="12"/>
  <c r="O9" i="12"/>
  <c r="O10" i="12"/>
  <c r="O11" i="12"/>
  <c r="O12" i="12"/>
  <c r="C13" i="12"/>
  <c r="D13" i="12"/>
  <c r="D20" i="12"/>
  <c r="E13" i="12"/>
  <c r="F13" i="12"/>
  <c r="G13" i="12"/>
  <c r="H13" i="12"/>
  <c r="H20" i="12"/>
  <c r="I13" i="12"/>
  <c r="J13" i="12"/>
  <c r="K13" i="12"/>
  <c r="L13" i="12"/>
  <c r="L20" i="12"/>
  <c r="M13" i="12"/>
  <c r="N13" i="12"/>
  <c r="Q13" i="12"/>
  <c r="O15" i="12"/>
  <c r="O19" i="12"/>
  <c r="O16" i="12"/>
  <c r="O17" i="12"/>
  <c r="O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Q19" i="12"/>
  <c r="E8" i="11"/>
  <c r="E10" i="11"/>
  <c r="E20" i="11"/>
  <c r="I20" i="11"/>
  <c r="E33" i="11"/>
  <c r="F33" i="11"/>
  <c r="G33" i="11"/>
  <c r="H33" i="11"/>
  <c r="I33" i="11"/>
  <c r="J33" i="11"/>
  <c r="K33" i="11"/>
  <c r="L33" i="11"/>
  <c r="M33" i="11"/>
  <c r="B26" i="10"/>
  <c r="C26" i="10"/>
  <c r="P26" i="10"/>
  <c r="Q26" i="10"/>
  <c r="R26" i="10"/>
  <c r="S26" i="10"/>
  <c r="T26" i="10"/>
  <c r="C49" i="10"/>
  <c r="B51" i="10"/>
  <c r="C51" i="10"/>
  <c r="F51" i="10"/>
  <c r="P52" i="10"/>
  <c r="C17" i="9"/>
  <c r="D17" i="9"/>
  <c r="I17" i="9"/>
  <c r="N17" i="9"/>
  <c r="O17" i="9"/>
  <c r="P17" i="9"/>
  <c r="Q24" i="9"/>
  <c r="R24" i="9"/>
  <c r="Q25" i="9"/>
  <c r="R25" i="9"/>
  <c r="Q26" i="9"/>
  <c r="R26" i="9"/>
  <c r="C27" i="9"/>
  <c r="I27" i="9"/>
  <c r="O27" i="9"/>
  <c r="P27" i="9"/>
  <c r="Q27" i="9"/>
  <c r="R27" i="9"/>
  <c r="E8" i="8"/>
  <c r="D14" i="8"/>
  <c r="E16" i="8"/>
  <c r="E17" i="8"/>
  <c r="D19" i="8"/>
  <c r="D26" i="8"/>
  <c r="I26" i="8"/>
  <c r="J26" i="8"/>
  <c r="M26" i="8"/>
  <c r="N26" i="8"/>
  <c r="O26" i="8"/>
  <c r="P26" i="8"/>
  <c r="K9" i="7"/>
  <c r="E10" i="7"/>
  <c r="K10" i="7"/>
  <c r="E11" i="7"/>
  <c r="E12" i="7"/>
  <c r="K12" i="7"/>
  <c r="B13" i="7"/>
  <c r="C13" i="7"/>
  <c r="D13" i="7"/>
  <c r="F13" i="7"/>
  <c r="G13" i="7"/>
  <c r="H13" i="7"/>
  <c r="I13" i="7"/>
  <c r="J13" i="7"/>
  <c r="K16" i="7"/>
  <c r="B20" i="7"/>
  <c r="E20" i="7"/>
  <c r="J9" i="6"/>
  <c r="K9" i="6"/>
  <c r="N9" i="6"/>
  <c r="O9" i="6"/>
  <c r="O23" i="6"/>
  <c r="J14" i="6"/>
  <c r="K14" i="6"/>
  <c r="L14" i="6"/>
  <c r="M14" i="6"/>
  <c r="N14" i="6"/>
  <c r="N23" i="6"/>
  <c r="N29" i="6"/>
  <c r="J19" i="6"/>
  <c r="K19" i="6"/>
  <c r="L19" i="6"/>
  <c r="M19" i="6"/>
  <c r="N19" i="6"/>
  <c r="K23" i="6"/>
  <c r="K24" i="6"/>
  <c r="N24" i="6"/>
  <c r="O24" i="6"/>
  <c r="J26" i="6"/>
  <c r="J24" i="6"/>
  <c r="K29" i="6"/>
  <c r="K33" i="6"/>
  <c r="N33" i="6"/>
  <c r="O33" i="6"/>
  <c r="J35" i="6"/>
  <c r="J33" i="6"/>
  <c r="J46" i="6"/>
  <c r="J36" i="6"/>
  <c r="K39" i="6"/>
  <c r="L39" i="6"/>
  <c r="M39" i="6"/>
  <c r="N39" i="6"/>
  <c r="O39" i="6"/>
  <c r="J40" i="6"/>
  <c r="J39" i="6"/>
  <c r="N46" i="6"/>
  <c r="O46" i="6"/>
  <c r="K9" i="17"/>
  <c r="K21" i="17"/>
  <c r="K27" i="17"/>
  <c r="J12" i="17"/>
  <c r="J21" i="17"/>
  <c r="J27" i="17"/>
  <c r="N12" i="17"/>
  <c r="J17" i="17"/>
  <c r="N17" i="17"/>
  <c r="N21" i="17"/>
  <c r="O21" i="17"/>
  <c r="O27" i="17"/>
  <c r="K22" i="17"/>
  <c r="N22" i="17"/>
  <c r="O22" i="17"/>
  <c r="J23" i="17"/>
  <c r="J22" i="17"/>
  <c r="N27" i="17"/>
  <c r="K31" i="17"/>
  <c r="N31" i="17"/>
  <c r="O31" i="17"/>
  <c r="O44" i="17"/>
  <c r="J32" i="17"/>
  <c r="J33" i="17"/>
  <c r="J34" i="17"/>
  <c r="J31" i="17"/>
  <c r="J44" i="17"/>
  <c r="J37" i="17"/>
  <c r="K37" i="17"/>
  <c r="N37" i="17"/>
  <c r="O37" i="17"/>
  <c r="N44" i="17"/>
  <c r="H6" i="5"/>
  <c r="L6" i="5"/>
  <c r="M6" i="5"/>
  <c r="N6" i="5"/>
  <c r="G9" i="5"/>
  <c r="G11" i="2"/>
  <c r="G11" i="5"/>
  <c r="J11" i="5"/>
  <c r="J6" i="5"/>
  <c r="K11" i="5"/>
  <c r="K6" i="5"/>
  <c r="F14" i="5"/>
  <c r="F11" i="5"/>
  <c r="F13" i="2"/>
  <c r="G10" i="3"/>
  <c r="I17" i="5"/>
  <c r="L17" i="5"/>
  <c r="M17" i="5"/>
  <c r="N17" i="5"/>
  <c r="G18" i="5"/>
  <c r="G19" i="5"/>
  <c r="G21" i="2"/>
  <c r="H23" i="3"/>
  <c r="F20" i="5"/>
  <c r="F17" i="5"/>
  <c r="G20" i="5"/>
  <c r="J20" i="5"/>
  <c r="J17" i="5"/>
  <c r="K20" i="5"/>
  <c r="K17" i="5"/>
  <c r="H25" i="5"/>
  <c r="J25" i="5"/>
  <c r="K25" i="5"/>
  <c r="L25" i="5"/>
  <c r="L31" i="5"/>
  <c r="M25" i="5"/>
  <c r="N25" i="5"/>
  <c r="F26" i="5"/>
  <c r="G26" i="5"/>
  <c r="G28" i="2"/>
  <c r="G27" i="5"/>
  <c r="G29" i="2"/>
  <c r="F28" i="5"/>
  <c r="G28" i="5"/>
  <c r="G30" i="2"/>
  <c r="H32" i="5"/>
  <c r="I32" i="5"/>
  <c r="J32" i="5"/>
  <c r="K32" i="5"/>
  <c r="L32" i="5"/>
  <c r="M32" i="5"/>
  <c r="N32" i="5"/>
  <c r="F35" i="5"/>
  <c r="F32" i="5"/>
  <c r="G35" i="5"/>
  <c r="G32" i="5"/>
  <c r="J7" i="4"/>
  <c r="K7" i="4"/>
  <c r="K56" i="4"/>
  <c r="K62" i="4"/>
  <c r="L7" i="4"/>
  <c r="M7" i="4"/>
  <c r="M56" i="4"/>
  <c r="M62" i="4"/>
  <c r="N7" i="4"/>
  <c r="O7" i="4"/>
  <c r="O56" i="4"/>
  <c r="O62" i="4"/>
  <c r="P7" i="4"/>
  <c r="Q7" i="4"/>
  <c r="R7" i="4"/>
  <c r="S7" i="4"/>
  <c r="T7" i="4"/>
  <c r="U7" i="4"/>
  <c r="F8" i="4"/>
  <c r="G8" i="4"/>
  <c r="G7" i="4"/>
  <c r="J12" i="4"/>
  <c r="F13" i="4"/>
  <c r="F7" i="4"/>
  <c r="G13" i="4"/>
  <c r="G16" i="4"/>
  <c r="G14" i="1"/>
  <c r="F21" i="4"/>
  <c r="G21" i="4"/>
  <c r="J21" i="4"/>
  <c r="K21" i="4"/>
  <c r="L21" i="4"/>
  <c r="L56" i="4"/>
  <c r="L62" i="4"/>
  <c r="M21" i="4"/>
  <c r="N21" i="4"/>
  <c r="O21" i="4"/>
  <c r="P21" i="4"/>
  <c r="P56" i="4"/>
  <c r="P62" i="4"/>
  <c r="Q21" i="4"/>
  <c r="R21" i="4"/>
  <c r="S21" i="4"/>
  <c r="T21" i="4"/>
  <c r="U21" i="4"/>
  <c r="H33" i="4"/>
  <c r="I33" i="4"/>
  <c r="J33" i="4"/>
  <c r="J56" i="4"/>
  <c r="J62" i="4"/>
  <c r="K33" i="4"/>
  <c r="L33" i="4"/>
  <c r="M33" i="4"/>
  <c r="N33" i="4"/>
  <c r="O33" i="4"/>
  <c r="P33" i="4"/>
  <c r="F34" i="4"/>
  <c r="F31" i="1"/>
  <c r="B8" i="3"/>
  <c r="G34" i="4"/>
  <c r="G33" i="4"/>
  <c r="H41" i="4"/>
  <c r="I41" i="4"/>
  <c r="J41" i="4"/>
  <c r="F42" i="4"/>
  <c r="F41" i="4"/>
  <c r="G44" i="4"/>
  <c r="G41" i="4"/>
  <c r="F50" i="4"/>
  <c r="G50" i="4"/>
  <c r="H50" i="4"/>
  <c r="I50" i="4"/>
  <c r="J50" i="4"/>
  <c r="K50" i="4"/>
  <c r="L50" i="4"/>
  <c r="M50" i="4"/>
  <c r="N50" i="4"/>
  <c r="O50" i="4"/>
  <c r="P50" i="4"/>
  <c r="Q51" i="4"/>
  <c r="Q50" i="4"/>
  <c r="R51" i="4"/>
  <c r="R50" i="4"/>
  <c r="R56" i="4"/>
  <c r="S51" i="4"/>
  <c r="T51" i="4"/>
  <c r="T50" i="4"/>
  <c r="U51" i="4"/>
  <c r="U50" i="4"/>
  <c r="Q52" i="4"/>
  <c r="R52" i="4"/>
  <c r="S52" i="4"/>
  <c r="S50" i="4"/>
  <c r="T52" i="4"/>
  <c r="U52" i="4"/>
  <c r="Q53" i="4"/>
  <c r="R53" i="4"/>
  <c r="S53" i="4"/>
  <c r="T53" i="4"/>
  <c r="U53" i="4"/>
  <c r="N56" i="4"/>
  <c r="F57" i="4"/>
  <c r="G57" i="4"/>
  <c r="J57" i="4"/>
  <c r="K57" i="4"/>
  <c r="L57" i="4"/>
  <c r="M57" i="4"/>
  <c r="N57" i="4"/>
  <c r="N62" i="4"/>
  <c r="O57" i="4"/>
  <c r="P57" i="4"/>
  <c r="T57" i="4"/>
  <c r="Q58" i="4"/>
  <c r="Q57" i="4"/>
  <c r="R58" i="4"/>
  <c r="R57" i="4"/>
  <c r="S58" i="4"/>
  <c r="S57" i="4"/>
  <c r="T58" i="4"/>
  <c r="U58" i="4"/>
  <c r="U57" i="4"/>
  <c r="C10" i="3"/>
  <c r="C23" i="3"/>
  <c r="J23" i="3"/>
  <c r="J24" i="3"/>
  <c r="C30" i="3"/>
  <c r="D30" i="3"/>
  <c r="E30" i="3"/>
  <c r="J30" i="3"/>
  <c r="J8" i="2"/>
  <c r="K8" i="2"/>
  <c r="L8" i="2"/>
  <c r="N8" i="2"/>
  <c r="O8" i="2"/>
  <c r="G9" i="2"/>
  <c r="H6" i="3"/>
  <c r="V9" i="2"/>
  <c r="W9" i="2"/>
  <c r="X9" i="2"/>
  <c r="Y9" i="2"/>
  <c r="Z9" i="2"/>
  <c r="AA9" i="2"/>
  <c r="G10" i="2"/>
  <c r="H7" i="3"/>
  <c r="V10" i="2"/>
  <c r="W10" i="2"/>
  <c r="X10" i="2"/>
  <c r="Y10" i="2"/>
  <c r="Z10" i="2"/>
  <c r="AA10" i="2"/>
  <c r="V11" i="2"/>
  <c r="W11" i="2"/>
  <c r="X11" i="2"/>
  <c r="Y11" i="2"/>
  <c r="Z11" i="2"/>
  <c r="AA11" i="2"/>
  <c r="F12" i="2"/>
  <c r="G9" i="3"/>
  <c r="G12" i="2"/>
  <c r="H9" i="3"/>
  <c r="G13" i="2"/>
  <c r="H10" i="3"/>
  <c r="J19" i="2"/>
  <c r="K19" i="2"/>
  <c r="L19" i="2"/>
  <c r="N19" i="2"/>
  <c r="O19" i="2"/>
  <c r="V19" i="2"/>
  <c r="W19" i="2"/>
  <c r="X19" i="2"/>
  <c r="Y19" i="2"/>
  <c r="Z19" i="2"/>
  <c r="AA19" i="2"/>
  <c r="F20" i="2"/>
  <c r="G20" i="2"/>
  <c r="H22" i="3"/>
  <c r="F21" i="2"/>
  <c r="G23" i="3"/>
  <c r="G22" i="2"/>
  <c r="H24" i="3"/>
  <c r="J27" i="2"/>
  <c r="K27" i="2"/>
  <c r="L27" i="2"/>
  <c r="N27" i="2"/>
  <c r="V27" i="2"/>
  <c r="W27" i="2"/>
  <c r="X27" i="2"/>
  <c r="Y27" i="2"/>
  <c r="Z27" i="2"/>
  <c r="AA27" i="2"/>
  <c r="F29" i="2"/>
  <c r="F30" i="2"/>
  <c r="O32" i="2"/>
  <c r="J33" i="2"/>
  <c r="K33" i="2"/>
  <c r="L33" i="2"/>
  <c r="N33" i="2"/>
  <c r="O33" i="2"/>
  <c r="F34" i="2"/>
  <c r="G28" i="3"/>
  <c r="G30" i="3"/>
  <c r="G34" i="2"/>
  <c r="F35" i="2"/>
  <c r="G16" i="3"/>
  <c r="G17" i="3"/>
  <c r="G35" i="2"/>
  <c r="H16" i="3"/>
  <c r="H17" i="3"/>
  <c r="V48" i="2"/>
  <c r="V50" i="2"/>
  <c r="W48" i="2"/>
  <c r="W50" i="2"/>
  <c r="X48" i="2"/>
  <c r="X50" i="2"/>
  <c r="Y48" i="2"/>
  <c r="Y50" i="2"/>
  <c r="Z48" i="2"/>
  <c r="Z50" i="2"/>
  <c r="AA48" i="2"/>
  <c r="AA50" i="2"/>
  <c r="V55" i="2"/>
  <c r="V56" i="2"/>
  <c r="W55" i="2"/>
  <c r="W56" i="2"/>
  <c r="X55" i="2"/>
  <c r="Y55" i="2"/>
  <c r="Y56" i="2"/>
  <c r="Z55" i="2"/>
  <c r="Z56" i="2"/>
  <c r="AA55" i="2"/>
  <c r="AA56" i="2"/>
  <c r="X56" i="2"/>
  <c r="K61" i="2"/>
  <c r="L61" i="2"/>
  <c r="O61" i="2"/>
  <c r="P61" i="2"/>
  <c r="Q61" i="2"/>
  <c r="R61" i="2"/>
  <c r="S61" i="2"/>
  <c r="U61" i="2"/>
  <c r="V62" i="2"/>
  <c r="W62" i="2"/>
  <c r="X62" i="2"/>
  <c r="Y62" i="2"/>
  <c r="Z62" i="2"/>
  <c r="AA62" i="2"/>
  <c r="V63" i="2"/>
  <c r="W63" i="2"/>
  <c r="X63" i="2"/>
  <c r="Y63" i="2"/>
  <c r="Z63" i="2"/>
  <c r="AA63" i="2"/>
  <c r="V64" i="2"/>
  <c r="W64" i="2"/>
  <c r="X64" i="2"/>
  <c r="Y64" i="2"/>
  <c r="Z64" i="2"/>
  <c r="AA64" i="2"/>
  <c r="V65" i="2"/>
  <c r="W65" i="2"/>
  <c r="X65" i="2"/>
  <c r="Y65" i="2"/>
  <c r="Z65" i="2"/>
  <c r="AA65" i="2"/>
  <c r="J7" i="1"/>
  <c r="K7" i="1"/>
  <c r="L7" i="1"/>
  <c r="M7" i="1"/>
  <c r="N7" i="1"/>
  <c r="O7" i="1"/>
  <c r="Q7" i="1"/>
  <c r="F9" i="1"/>
  <c r="F8" i="1"/>
  <c r="G9" i="1"/>
  <c r="G8" i="1"/>
  <c r="F12" i="1"/>
  <c r="F11" i="1"/>
  <c r="G12" i="1"/>
  <c r="G11" i="1"/>
  <c r="F14" i="1"/>
  <c r="G17" i="1"/>
  <c r="J18" i="1"/>
  <c r="K18" i="1"/>
  <c r="L18" i="1"/>
  <c r="M18" i="1"/>
  <c r="N18" i="1"/>
  <c r="O18" i="1"/>
  <c r="Q18" i="1"/>
  <c r="F19" i="1"/>
  <c r="G19" i="1"/>
  <c r="F20" i="1"/>
  <c r="G20" i="1"/>
  <c r="F21" i="1"/>
  <c r="G21" i="1"/>
  <c r="F25" i="1"/>
  <c r="G25" i="1"/>
  <c r="F26" i="1"/>
  <c r="G26" i="1"/>
  <c r="G28" i="1"/>
  <c r="G29" i="1"/>
  <c r="I30" i="1"/>
  <c r="J30" i="1"/>
  <c r="K30" i="1"/>
  <c r="L30" i="1"/>
  <c r="M30" i="1"/>
  <c r="N30" i="1"/>
  <c r="O30" i="1"/>
  <c r="Q30" i="1"/>
  <c r="G31" i="1"/>
  <c r="F34" i="1"/>
  <c r="B9" i="3"/>
  <c r="G34" i="1"/>
  <c r="C9" i="3"/>
  <c r="F36" i="1"/>
  <c r="G36" i="1"/>
  <c r="F37" i="1"/>
  <c r="G37" i="1"/>
  <c r="H38" i="1"/>
  <c r="J38" i="1"/>
  <c r="K38" i="1"/>
  <c r="L38" i="1"/>
  <c r="M38" i="1"/>
  <c r="N38" i="1"/>
  <c r="O38" i="1"/>
  <c r="Q38" i="1"/>
  <c r="F39" i="1"/>
  <c r="B22" i="3"/>
  <c r="G39" i="1"/>
  <c r="C22" i="3"/>
  <c r="F41" i="1"/>
  <c r="B24" i="3"/>
  <c r="G41" i="1"/>
  <c r="C24" i="3"/>
  <c r="F47" i="1"/>
  <c r="I47" i="1"/>
  <c r="J47" i="1"/>
  <c r="K47" i="1"/>
  <c r="K53" i="1"/>
  <c r="K59" i="1"/>
  <c r="L47" i="1"/>
  <c r="M47" i="1"/>
  <c r="N47" i="1"/>
  <c r="O47" i="1"/>
  <c r="Q47" i="1"/>
  <c r="G48" i="1"/>
  <c r="G49" i="1"/>
  <c r="F50" i="1"/>
  <c r="G50" i="1"/>
  <c r="H50" i="1"/>
  <c r="I50" i="1"/>
  <c r="J50" i="1"/>
  <c r="K50" i="1"/>
  <c r="L50" i="1"/>
  <c r="M50" i="1"/>
  <c r="N50" i="1"/>
  <c r="O50" i="1"/>
  <c r="Q50" i="1"/>
  <c r="J54" i="1"/>
  <c r="K54" i="1"/>
  <c r="N54" i="1"/>
  <c r="F55" i="1"/>
  <c r="B29" i="3"/>
  <c r="B30" i="3"/>
  <c r="O55" i="1"/>
  <c r="O54" i="1"/>
  <c r="F57" i="1"/>
  <c r="B15" i="3"/>
  <c r="B17" i="3"/>
  <c r="G57" i="1"/>
  <c r="G54" i="1"/>
  <c r="H56" i="4"/>
  <c r="H62" i="4"/>
  <c r="O29" i="6"/>
  <c r="J23" i="6"/>
  <c r="J29" i="6"/>
  <c r="F10" i="2"/>
  <c r="G7" i="3"/>
  <c r="K46" i="6"/>
  <c r="F11" i="2"/>
  <c r="G8" i="3"/>
  <c r="L46" i="6"/>
  <c r="F9" i="2"/>
  <c r="G6" i="3"/>
  <c r="K44" i="17"/>
  <c r="F33" i="4"/>
  <c r="E13" i="7"/>
  <c r="K13" i="7"/>
  <c r="O53" i="1"/>
  <c r="G38" i="1"/>
  <c r="J20" i="12"/>
  <c r="F20" i="12"/>
  <c r="M20" i="12"/>
  <c r="I20" i="12"/>
  <c r="G20" i="12"/>
  <c r="N20" i="12"/>
  <c r="K20" i="12"/>
  <c r="E20" i="12"/>
  <c r="C20" i="12"/>
  <c r="O13" i="12"/>
  <c r="O20" i="12"/>
  <c r="O14" i="12"/>
  <c r="E27" i="3"/>
  <c r="E31" i="3"/>
  <c r="J18" i="3"/>
  <c r="J31" i="3"/>
  <c r="E18" i="3"/>
  <c r="J19" i="3"/>
  <c r="J34" i="3"/>
  <c r="Q53" i="1"/>
  <c r="Q59" i="1"/>
  <c r="M53" i="1"/>
  <c r="G7" i="1"/>
  <c r="L53" i="1"/>
  <c r="L59" i="1"/>
  <c r="F18" i="1"/>
  <c r="B7" i="3"/>
  <c r="M59" i="1"/>
  <c r="N53" i="1"/>
  <c r="N59" i="1"/>
  <c r="O59" i="1"/>
  <c r="G47" i="1"/>
  <c r="B27" i="3"/>
  <c r="B31" i="3"/>
  <c r="I7" i="1"/>
  <c r="AA61" i="2"/>
  <c r="W61" i="2"/>
  <c r="O39" i="2"/>
  <c r="M46" i="6"/>
  <c r="G30" i="1"/>
  <c r="I56" i="4"/>
  <c r="I62" i="4"/>
  <c r="G56" i="4"/>
  <c r="G62" i="4"/>
  <c r="S56" i="4"/>
  <c r="S62" i="4"/>
  <c r="R62" i="4"/>
  <c r="T56" i="4"/>
  <c r="T62" i="4"/>
  <c r="F56" i="4"/>
  <c r="F62" i="4"/>
  <c r="U56" i="4"/>
  <c r="U62" i="4"/>
  <c r="Q56" i="4"/>
  <c r="Q62" i="4"/>
  <c r="F38" i="1"/>
  <c r="C8" i="3"/>
  <c r="H7" i="1"/>
  <c r="D6" i="3"/>
  <c r="D7" i="3"/>
  <c r="G18" i="1"/>
  <c r="C7" i="3"/>
  <c r="C15" i="3"/>
  <c r="C17" i="3"/>
  <c r="C27" i="3"/>
  <c r="C31" i="3"/>
  <c r="J53" i="1"/>
  <c r="J59" i="1"/>
  <c r="F25" i="5"/>
  <c r="L36" i="5"/>
  <c r="L38" i="5"/>
  <c r="F22" i="2"/>
  <c r="G24" i="3"/>
  <c r="N31" i="5"/>
  <c r="N36" i="5"/>
  <c r="N38" i="5"/>
  <c r="M31" i="5"/>
  <c r="M36" i="5"/>
  <c r="H17" i="5"/>
  <c r="H31" i="5"/>
  <c r="H36" i="5"/>
  <c r="H38" i="5"/>
  <c r="I8" i="2"/>
  <c r="G8" i="2"/>
  <c r="H13" i="2"/>
  <c r="I10" i="3"/>
  <c r="F28" i="2"/>
  <c r="F27" i="2"/>
  <c r="G11" i="3"/>
  <c r="G14" i="3"/>
  <c r="G18" i="3"/>
  <c r="G17" i="5"/>
  <c r="J31" i="5"/>
  <c r="J36" i="5"/>
  <c r="J38" i="5"/>
  <c r="G25" i="5"/>
  <c r="I31" i="5"/>
  <c r="I36" i="5"/>
  <c r="K31" i="5"/>
  <c r="K36" i="5"/>
  <c r="K38" i="5"/>
  <c r="G6" i="5"/>
  <c r="H30" i="2"/>
  <c r="F6" i="5"/>
  <c r="F31" i="5"/>
  <c r="F36" i="5"/>
  <c r="I19" i="2"/>
  <c r="H28" i="2"/>
  <c r="I33" i="2"/>
  <c r="C6" i="3"/>
  <c r="D27" i="3"/>
  <c r="D31" i="3"/>
  <c r="F7" i="1"/>
  <c r="H30" i="1"/>
  <c r="H54" i="1"/>
  <c r="F30" i="1"/>
  <c r="F54" i="1"/>
  <c r="H33" i="2"/>
  <c r="H8" i="3"/>
  <c r="G22" i="3"/>
  <c r="N32" i="2"/>
  <c r="N39" i="2"/>
  <c r="Y61" i="2"/>
  <c r="G33" i="2"/>
  <c r="J32" i="2"/>
  <c r="J39" i="2"/>
  <c r="X8" i="2"/>
  <c r="X32" i="2"/>
  <c r="X36" i="2"/>
  <c r="X39" i="2"/>
  <c r="Z61" i="2"/>
  <c r="V61" i="2"/>
  <c r="X61" i="2"/>
  <c r="H19" i="2"/>
  <c r="AA8" i="2"/>
  <c r="AA32" i="2"/>
  <c r="AA44" i="2"/>
  <c r="W8" i="2"/>
  <c r="W32" i="2"/>
  <c r="W44" i="2"/>
  <c r="I27" i="2"/>
  <c r="Y8" i="2"/>
  <c r="Y32" i="2"/>
  <c r="Y36" i="2"/>
  <c r="Y39" i="2"/>
  <c r="G27" i="2"/>
  <c r="H11" i="3"/>
  <c r="L32" i="2"/>
  <c r="L39" i="2"/>
  <c r="K32" i="2"/>
  <c r="K39" i="2"/>
  <c r="Z8" i="2"/>
  <c r="Z32" i="2"/>
  <c r="Z36" i="2"/>
  <c r="Z39" i="2"/>
  <c r="V8" i="2"/>
  <c r="V32" i="2"/>
  <c r="V36" i="2"/>
  <c r="V39" i="2"/>
  <c r="H27" i="3"/>
  <c r="X44" i="2"/>
  <c r="I27" i="3"/>
  <c r="I31" i="3"/>
  <c r="I33" i="3"/>
  <c r="Y44" i="2"/>
  <c r="F33" i="2"/>
  <c r="F8" i="2"/>
  <c r="H28" i="3"/>
  <c r="H30" i="3"/>
  <c r="G19" i="2"/>
  <c r="G27" i="3"/>
  <c r="G31" i="3"/>
  <c r="B33" i="3"/>
  <c r="I53" i="1"/>
  <c r="I59" i="1"/>
  <c r="V44" i="2"/>
  <c r="AA36" i="2"/>
  <c r="AA39" i="2"/>
  <c r="C14" i="3"/>
  <c r="C18" i="3"/>
  <c r="D14" i="3"/>
  <c r="D18" i="3"/>
  <c r="H53" i="1"/>
  <c r="H59" i="1"/>
  <c r="G53" i="1"/>
  <c r="G59" i="1"/>
  <c r="F19" i="2"/>
  <c r="F32" i="2"/>
  <c r="F39" i="2"/>
  <c r="H8" i="2"/>
  <c r="H32" i="2"/>
  <c r="H39" i="2"/>
  <c r="G32" i="2"/>
  <c r="G39" i="2"/>
  <c r="H27" i="2"/>
  <c r="I11" i="3"/>
  <c r="I14" i="3"/>
  <c r="I18" i="3"/>
  <c r="G31" i="5"/>
  <c r="G36" i="5"/>
  <c r="G38" i="5"/>
  <c r="F40" i="5"/>
  <c r="F38" i="5"/>
  <c r="I32" i="2"/>
  <c r="I39" i="2"/>
  <c r="H14" i="3"/>
  <c r="H18" i="3"/>
  <c r="C19" i="3"/>
  <c r="B6" i="3"/>
  <c r="B14" i="3"/>
  <c r="B18" i="3"/>
  <c r="G19" i="3"/>
  <c r="F53" i="1"/>
  <c r="F59" i="1"/>
  <c r="W36" i="2"/>
  <c r="W39" i="2"/>
  <c r="Z44" i="2"/>
  <c r="H31" i="3"/>
  <c r="H33" i="3"/>
  <c r="D19" i="3"/>
  <c r="E26" i="8"/>
  <c r="H26" i="8"/>
  <c r="H20" i="26"/>
  <c r="C23" i="25"/>
  <c r="C18" i="24"/>
  <c r="C35" i="24"/>
  <c r="C52" i="24"/>
  <c r="H13" i="22"/>
  <c r="H21" i="22"/>
  <c r="H23" i="22"/>
  <c r="H21" i="21"/>
  <c r="H23" i="21"/>
</calcChain>
</file>

<file path=xl/comments1.xml><?xml version="1.0" encoding="utf-8"?>
<comments xmlns="http://schemas.openxmlformats.org/spreadsheetml/2006/main">
  <authors>
    <author>Dell1</author>
  </authors>
  <commentList>
    <comment ref="G16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átcsoportosítás miatt: B403; B404; B36; B408; B411; B65 előirányzat emelkedésre + B355-re tervezett falunap és egyéb rend. (2.070.255) és B351 (ennek az ÁFÁja)</t>
        </r>
      </text>
    </comment>
    <comment ref="F34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15006 bérkomp. B16-ra könyvelve e.i-ként
03.14
KGr alapján a 294800 asp működési tám. Ide pakolva a B16-ról 
03.26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KGr alapján a 294800 
15006 bérkompenzáció ide könyvelve a támogatásokról
03.14
Asp támogatás a B115-re áttéve
03.26
EFOP pályázat bevétele ide került könyvelésre
03.26
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EFOP pályázat elkönyvelve működési támogatásba 0916-ra
03.26
</t>
        </r>
      </text>
    </comment>
  </commentList>
</comments>
</file>

<file path=xl/comments2.xml><?xml version="1.0" encoding="utf-8"?>
<comments xmlns="http://schemas.openxmlformats.org/spreadsheetml/2006/main">
  <authors>
    <author>Dell1</author>
  </authors>
  <commentList>
    <comment ref="G9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Gépjárműadó tervezet csökkentéséből a falunap + egyéb rend. És ennek ÁFÁ-ja (2070255+558969)</t>
        </r>
      </text>
    </comment>
  </commentList>
</comments>
</file>

<file path=xl/comments3.xml><?xml version="1.0" encoding="utf-8"?>
<comments xmlns="http://schemas.openxmlformats.org/spreadsheetml/2006/main">
  <authors>
    <author>Dell1</author>
  </authors>
  <commentList>
    <comment ref="J23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Beszámoló alapján
</t>
        </r>
      </text>
    </comment>
    <comment ref="J24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Ebr alapján már a megemelt támogatás
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Kati mondta, hogy az 500e szám.techn.e-ből tegyünk át 100e beszerzésre
</t>
        </r>
      </text>
    </comment>
  </commentList>
</comments>
</file>

<file path=xl/comments4.xml><?xml version="1.0" encoding="utf-8"?>
<comments xmlns="http://schemas.openxmlformats.org/spreadsheetml/2006/main">
  <authors>
    <author>Dell1</author>
  </authors>
  <commentList>
    <comment ref="J25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Beszámoló alapján
</t>
        </r>
      </text>
    </comment>
    <comment ref="J26" authorId="0" shapeId="0">
      <text>
        <r>
          <rPr>
            <b/>
            <sz val="9"/>
            <color indexed="81"/>
            <rFont val="Tahoma"/>
            <family val="2"/>
            <charset val="238"/>
          </rPr>
          <t>Dell1:</t>
        </r>
        <r>
          <rPr>
            <sz val="9"/>
            <color indexed="81"/>
            <rFont val="Tahoma"/>
            <family val="2"/>
            <charset val="238"/>
          </rPr>
          <t xml:space="preserve">
ktsgvetési maradvány különbözettel csökkentve az önkorm.tám.
</t>
        </r>
      </text>
    </comment>
  </commentList>
</comments>
</file>

<file path=xl/comments5.xml><?xml version="1.0" encoding="utf-8"?>
<comments xmlns="http://schemas.openxmlformats.org/spreadsheetml/2006/main">
  <authors>
    <author>Dell1</author>
  </authors>
  <commentList>
    <comment ref="E17" authorId="0" shapeId="0">
      <text>
        <r>
          <rPr>
            <b/>
            <sz val="9"/>
            <color indexed="8"/>
            <rFont val="Tahoma"/>
            <family val="2"/>
            <charset val="238"/>
          </rPr>
          <t>Dell1:</t>
        </r>
        <r>
          <rPr>
            <sz val="9"/>
            <color indexed="8"/>
            <rFont val="Tahoma"/>
            <family val="2"/>
            <charset val="238"/>
          </rPr>
          <t xml:space="preserve">
</t>
        </r>
        <r>
          <rPr>
            <sz val="9"/>
            <color indexed="8"/>
            <rFont val="Tahoma"/>
            <family val="2"/>
            <charset val="238"/>
          </rPr>
          <t xml:space="preserve">elmaradt rendezvények miatt 2070255+558969
</t>
        </r>
      </text>
    </comment>
  </commentList>
</comments>
</file>

<file path=xl/sharedStrings.xml><?xml version="1.0" encoding="utf-8"?>
<sst xmlns="http://schemas.openxmlformats.org/spreadsheetml/2006/main" count="1531" uniqueCount="764">
  <si>
    <t>1. számú melléklet</t>
  </si>
  <si>
    <t>e Ft-ban</t>
  </si>
  <si>
    <t>Sorszám</t>
  </si>
  <si>
    <t>Bevételi jogcím</t>
  </si>
  <si>
    <t>Rovat</t>
  </si>
  <si>
    <t>Előirányzat</t>
  </si>
  <si>
    <t>Kötelező feladat</t>
  </si>
  <si>
    <t>Önként vállalt feladat</t>
  </si>
  <si>
    <t>Államig. Feladat</t>
  </si>
  <si>
    <t>Eredeti</t>
  </si>
  <si>
    <t>mód. I.</t>
  </si>
  <si>
    <t>mód. II.</t>
  </si>
  <si>
    <t>mód. III.</t>
  </si>
  <si>
    <t>mód. IV.</t>
  </si>
  <si>
    <t>mód. V.</t>
  </si>
  <si>
    <t>1.</t>
  </si>
  <si>
    <t>I. Közhatalmi bevételek</t>
  </si>
  <si>
    <t>B3</t>
  </si>
  <si>
    <t>1.1</t>
  </si>
  <si>
    <t>Vagyoni típusú adók</t>
  </si>
  <si>
    <t>B34</t>
  </si>
  <si>
    <t>1.1.1</t>
  </si>
  <si>
    <t>Építményadó</t>
  </si>
  <si>
    <t>1.1.2</t>
  </si>
  <si>
    <t>Magánszemélyek kommunális adója</t>
  </si>
  <si>
    <t>1.1.3.</t>
  </si>
  <si>
    <t>Telekadó</t>
  </si>
  <si>
    <t xml:space="preserve"> </t>
  </si>
  <si>
    <t>1.2</t>
  </si>
  <si>
    <t>Értékesítési és forgalmi adók bevételei</t>
  </si>
  <si>
    <t>B351</t>
  </si>
  <si>
    <t>1.2.1</t>
  </si>
  <si>
    <t>Iaprűzési adó - állandó jellegggel végzett</t>
  </si>
  <si>
    <t>1.2.2</t>
  </si>
  <si>
    <t>Iparűzési adó - ideiglenes jelleggel végzett</t>
  </si>
  <si>
    <t>1.3.</t>
  </si>
  <si>
    <t>Gépjárműadó bevételek önkormámyzatot megillető része</t>
  </si>
  <si>
    <t>B354</t>
  </si>
  <si>
    <t>1.4</t>
  </si>
  <si>
    <t>Egyéb áruhasználati és szolgáltatási adók beételei</t>
  </si>
  <si>
    <t>B355</t>
  </si>
  <si>
    <t>1.4.1</t>
  </si>
  <si>
    <t>Tartózkodás után fizetett idegenforgalmi adó</t>
  </si>
  <si>
    <t>1.4.2</t>
  </si>
  <si>
    <t>Talajterhelési díj</t>
  </si>
  <si>
    <t>1.5</t>
  </si>
  <si>
    <t>Egyéb közhatalmi bevételek</t>
  </si>
  <si>
    <t>B36</t>
  </si>
  <si>
    <t>2</t>
  </si>
  <si>
    <t>II. Működési bevételek</t>
  </si>
  <si>
    <t>B4</t>
  </si>
  <si>
    <t>2.1</t>
  </si>
  <si>
    <t>Szolgáltatások bevétele</t>
  </si>
  <si>
    <t>B402</t>
  </si>
  <si>
    <t>2.2</t>
  </si>
  <si>
    <t>Közetített szolgáltatások ellenértéke</t>
  </si>
  <si>
    <t>B403</t>
  </si>
  <si>
    <t>2.3</t>
  </si>
  <si>
    <t>Tulajdonosi bevétel</t>
  </si>
  <si>
    <t>B404</t>
  </si>
  <si>
    <t>2.3.1</t>
  </si>
  <si>
    <t>Önkormányzati  vagyon üzemeltetéséből származó bevétel</t>
  </si>
  <si>
    <t>2.3.2</t>
  </si>
  <si>
    <t>Önkormányzati vagyon vagyonkezelésbe adásából származó bevétel</t>
  </si>
  <si>
    <t>2.3.3</t>
  </si>
  <si>
    <t>Kapott osztalék</t>
  </si>
  <si>
    <t>2.4</t>
  </si>
  <si>
    <t>Kiszámlázott ÁFA</t>
  </si>
  <si>
    <t>2.5</t>
  </si>
  <si>
    <t>Általános fogatmi adó visszatérítése</t>
  </si>
  <si>
    <t>2.6</t>
  </si>
  <si>
    <t>Kamatbevételek</t>
  </si>
  <si>
    <t>B408</t>
  </si>
  <si>
    <t>3.6</t>
  </si>
  <si>
    <t>Egyéb működési célú bevételek</t>
  </si>
  <si>
    <t>B410</t>
  </si>
  <si>
    <t>3.</t>
  </si>
  <si>
    <t>III. Működési célú támogatások államháztartáson belülről</t>
  </si>
  <si>
    <t>B1</t>
  </si>
  <si>
    <t>3.1</t>
  </si>
  <si>
    <t>Önkormányzatok működési támogatása</t>
  </si>
  <si>
    <t>B11</t>
  </si>
  <si>
    <t>3.2</t>
  </si>
  <si>
    <t>Működési célú központosított előirányzatok</t>
  </si>
  <si>
    <t>3.3</t>
  </si>
  <si>
    <t>Helyi önkormányzatok kiegészítő támogatásai</t>
  </si>
  <si>
    <t>3.4</t>
  </si>
  <si>
    <t>Egyéb működési célú támogatás államháztartáson belülről</t>
  </si>
  <si>
    <t>B16</t>
  </si>
  <si>
    <t>3.4.1</t>
  </si>
  <si>
    <t>Társadalombiztosítás pénzügyi alapjából átvett pénzeszköz</t>
  </si>
  <si>
    <t>3.4.2</t>
  </si>
  <si>
    <t>EU támogatás</t>
  </si>
  <si>
    <t>3.4.3</t>
  </si>
  <si>
    <t>Egyéb működési célú támogatásértékű bevétel</t>
  </si>
  <si>
    <t>4.</t>
  </si>
  <si>
    <t>IV. Felhalmozási célú támogatások államháztartáson belülről</t>
  </si>
  <si>
    <t>B2</t>
  </si>
  <si>
    <t>4.1</t>
  </si>
  <si>
    <t>Felhalmozási célú önkormányzati támogatások</t>
  </si>
  <si>
    <t>B21</t>
  </si>
  <si>
    <t>4.2</t>
  </si>
  <si>
    <t>Egyéb felhalmozási célú támogatás állalmlháztartáson belülről</t>
  </si>
  <si>
    <t>B25</t>
  </si>
  <si>
    <t>Egyéb felhalmozási támogatásértékű bevétel</t>
  </si>
  <si>
    <t>5.</t>
  </si>
  <si>
    <t>V. Átvett pénzeszközök államháztartáson kívülről</t>
  </si>
  <si>
    <t>5.1</t>
  </si>
  <si>
    <t>Működési támogatás államháztartáson belülről</t>
  </si>
  <si>
    <t>B6</t>
  </si>
  <si>
    <t>5.2</t>
  </si>
  <si>
    <t>Felhalmozási támogatás államháztartáson belülről</t>
  </si>
  <si>
    <t>B7</t>
  </si>
  <si>
    <t>6.</t>
  </si>
  <si>
    <t>VI. Felhalmozási bevételek</t>
  </si>
  <si>
    <t>B5</t>
  </si>
  <si>
    <t>6.1</t>
  </si>
  <si>
    <t>Tárgyi eszközök és imm.javak értékesítése</t>
  </si>
  <si>
    <t>B52</t>
  </si>
  <si>
    <t>6.2</t>
  </si>
  <si>
    <t>Részesedések értékesítése</t>
  </si>
  <si>
    <t>B54</t>
  </si>
  <si>
    <t>7.</t>
  </si>
  <si>
    <t>KÖLTSÉGVETÉSI BEVÉTELEK ÖSSZESEN</t>
  </si>
  <si>
    <t>8.</t>
  </si>
  <si>
    <t>VII. Finanszírozási bevételek</t>
  </si>
  <si>
    <t>8.1</t>
  </si>
  <si>
    <t>Hosszú lejáratú hitelek, kölcsönök felvétele</t>
  </si>
  <si>
    <t>B8111</t>
  </si>
  <si>
    <t>8.2</t>
  </si>
  <si>
    <t>Likviditási célú hitelek, kölcsönök felvétele</t>
  </si>
  <si>
    <t>B8113</t>
  </si>
  <si>
    <t>8.3</t>
  </si>
  <si>
    <t>Előző év költségvetési maradványnának igénybevétele</t>
  </si>
  <si>
    <t>B8131</t>
  </si>
  <si>
    <t>9.</t>
  </si>
  <si>
    <t>KÖLTSÉGVETÉSI ÉS FINANSZÍROZÁSI BEVÉTELEK ÖSSZESEN</t>
  </si>
  <si>
    <t>Függő, átfutó, kiegyenlítő bevételelk</t>
  </si>
  <si>
    <t>BEVÉTELEK</t>
  </si>
  <si>
    <t>Megnevezés</t>
  </si>
  <si>
    <t>Állami (államig.) feladat</t>
  </si>
  <si>
    <t>Mód. I.</t>
  </si>
  <si>
    <t>Mód. II.</t>
  </si>
  <si>
    <t>Mód. III.</t>
  </si>
  <si>
    <t>Mód. IV.</t>
  </si>
  <si>
    <t>Mód. V.</t>
  </si>
  <si>
    <t>I. Működési kiadások</t>
  </si>
  <si>
    <t>Személyi juttatások</t>
  </si>
  <si>
    <t>K1</t>
  </si>
  <si>
    <t>Munkaadókat terhelő járulékok és szoc. hj.</t>
  </si>
  <si>
    <t>K2</t>
  </si>
  <si>
    <t>1.3</t>
  </si>
  <si>
    <t>Dologi kiadások</t>
  </si>
  <si>
    <t>K3</t>
  </si>
  <si>
    <t>Ellátottak pénzbeli juttatásai</t>
  </si>
  <si>
    <t>K4</t>
  </si>
  <si>
    <t>Egyéb működési célú kiadások</t>
  </si>
  <si>
    <t>K5</t>
  </si>
  <si>
    <t>1.5.1</t>
  </si>
  <si>
    <t>Elvonások, befizetések</t>
  </si>
  <si>
    <t>1.5.2</t>
  </si>
  <si>
    <t>Egyéb működési célú támogatások államháztartáson kívülre</t>
  </si>
  <si>
    <t>1.5.3</t>
  </si>
  <si>
    <t>Egyéb működési célú támogatások államháztartáson belülre</t>
  </si>
  <si>
    <t>1.5.4</t>
  </si>
  <si>
    <t>Kamatkiadások</t>
  </si>
  <si>
    <t>1.5.5</t>
  </si>
  <si>
    <t>Intézmény alulfinanszírozás</t>
  </si>
  <si>
    <t>2.</t>
  </si>
  <si>
    <t>II. Felhalmozási költségvetési kiadások</t>
  </si>
  <si>
    <t>Beruházások</t>
  </si>
  <si>
    <t>K6</t>
  </si>
  <si>
    <t>Felújítások</t>
  </si>
  <si>
    <t>K7</t>
  </si>
  <si>
    <t>Egyéb felhalmozási kiadások</t>
  </si>
  <si>
    <t>K8</t>
  </si>
  <si>
    <t>Pénzeszköz átadás államháztartáson kívülre</t>
  </si>
  <si>
    <t>Pénzeszköz átadás államháztartáson belülre</t>
  </si>
  <si>
    <t>2.3.4</t>
  </si>
  <si>
    <t>Befektetési célú részesedések</t>
  </si>
  <si>
    <t>III. Tartalékok</t>
  </si>
  <si>
    <t>512</t>
  </si>
  <si>
    <t>Általános tartalék</t>
  </si>
  <si>
    <t>Céltartalék</t>
  </si>
  <si>
    <t>Fejlesztési tartalék</t>
  </si>
  <si>
    <t>IV. Kölcsönök nyújtása</t>
  </si>
  <si>
    <t>KÖLTSÉGVETÉSI KIADÁSOK ÖSSZESEN</t>
  </si>
  <si>
    <t>V. Finanszírozási kiadások</t>
  </si>
  <si>
    <t>K9</t>
  </si>
  <si>
    <t>7.1</t>
  </si>
  <si>
    <t>Hosszú lejáratú hitelek, kölcsönök törlesztése</t>
  </si>
  <si>
    <t>7.2</t>
  </si>
  <si>
    <t>Függő, átfutó, kiegyenlítő kiadások</t>
  </si>
  <si>
    <t>KIADÁSOK ÖSSZESEN</t>
  </si>
  <si>
    <t>KÖLTSÉGVETÉSI BEVÉTELEK ÉS KIADÁSOK EGYENLEGE</t>
  </si>
  <si>
    <t>3. sz. táblázat</t>
  </si>
  <si>
    <t>Költségvetési hiány, többlet ( költségvetési bevételek 7. sor - költségvetési kiadások 5. sor) (+/-)</t>
  </si>
  <si>
    <t>4. sz. táblázat</t>
  </si>
  <si>
    <t>5. sz. táblázat</t>
  </si>
  <si>
    <t>6. sz. táblázat</t>
  </si>
  <si>
    <t>Finanszírozási müveletek egyenlege (1.1.-1.2.)+/-</t>
  </si>
  <si>
    <t>2. számú melléklet</t>
  </si>
  <si>
    <t>Működési célú bevételek és kiadások mérlege</t>
  </si>
  <si>
    <t>Eredeti ei.</t>
  </si>
  <si>
    <t>Mód. II-</t>
  </si>
  <si>
    <t>KIADÁSOK</t>
  </si>
  <si>
    <t>1. Közhatalmi bevételek</t>
  </si>
  <si>
    <t>1. Személyi juttatások</t>
  </si>
  <si>
    <t>2. Működési bevételek</t>
  </si>
  <si>
    <t>2. MAJ és szoc hozzájárulási adó</t>
  </si>
  <si>
    <t>3. Működési célú támogatások államháztartáson belülről</t>
  </si>
  <si>
    <t>3. Dologi kiadások</t>
  </si>
  <si>
    <t>4. Átvett pénzeszközök működési</t>
  </si>
  <si>
    <t>4. Ellátottak pénzbeli juttatásai</t>
  </si>
  <si>
    <t>5. Egyéb működési kiadások</t>
  </si>
  <si>
    <t>6. Tartalékok</t>
  </si>
  <si>
    <t>Költségvetési bevételek működési összesen</t>
  </si>
  <si>
    <t>Költségvetési kiadások működési összesen</t>
  </si>
  <si>
    <t>Hiány belső finanszírozása (pénzmaravány)</t>
  </si>
  <si>
    <t>Hiány külső finanszírozása (hitel)</t>
  </si>
  <si>
    <t xml:space="preserve">Működési célú finanszírozási bevételek </t>
  </si>
  <si>
    <t>Működési célú finanszírozási kiadások</t>
  </si>
  <si>
    <t>Működési bevételek összesen</t>
  </si>
  <si>
    <t>Működési kiadások összesen</t>
  </si>
  <si>
    <t>Költségvetési hiány</t>
  </si>
  <si>
    <t>Költségvetési többlet</t>
  </si>
  <si>
    <t>Tárgyévi hiány</t>
  </si>
  <si>
    <t>Tárgyévi többlet</t>
  </si>
  <si>
    <t>felhalmozási célú bevételek és kiadások mérlege</t>
  </si>
  <si>
    <t>1. Felhalmozási támogatások államháztartáson belülről</t>
  </si>
  <si>
    <t>1. Beruházások</t>
  </si>
  <si>
    <t>2. Felhalmozási támogatások államháztartáson kívülről</t>
  </si>
  <si>
    <t>2. Felújítások</t>
  </si>
  <si>
    <t>3. Felhalmozási célú bevételek</t>
  </si>
  <si>
    <t>3. Egyéb felhalmozási kiadások</t>
  </si>
  <si>
    <t>4. Tartalékok</t>
  </si>
  <si>
    <t>Költségvetési bevételek felhalmozási összesen</t>
  </si>
  <si>
    <t>Költségvetési kiadások felhalmozási összesen</t>
  </si>
  <si>
    <t>Felhalmozási hitel törlesztése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</si>
  <si>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</si>
  <si>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</si>
  <si>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</si>
  <si>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</si>
  <si>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>Függő, átfutó, kiegyenlítő bevételek</t>
  </si>
  <si>
    <t>3. számú melléklet</t>
  </si>
  <si>
    <t>Közvetített szolgáltatások ellenértéke</t>
  </si>
  <si>
    <t>Működési támogatás államháztartáson kívülről</t>
  </si>
  <si>
    <t>Felhalmozási támogatás államháztartáson kívűlről</t>
  </si>
  <si>
    <t>4. számú melléklet</t>
  </si>
  <si>
    <t>K501-503</t>
  </si>
  <si>
    <t>K506</t>
  </si>
  <si>
    <t>VI. Finanszírozási kiadások</t>
  </si>
  <si>
    <t>K911</t>
  </si>
  <si>
    <t>Irányító szervi támogatások folyósítása (int.finansz.)</t>
  </si>
  <si>
    <t>K915</t>
  </si>
  <si>
    <t>Költségvetési és finanszírozási kiadások</t>
  </si>
  <si>
    <t>5. számú melléklet</t>
  </si>
  <si>
    <t>Kötelező</t>
  </si>
  <si>
    <t>Száma</t>
  </si>
  <si>
    <t>Előirányzat-csoport, kiemelt előirányzat megnevezése</t>
  </si>
  <si>
    <t>Mód IV.</t>
  </si>
  <si>
    <t>Mód V.</t>
  </si>
  <si>
    <t>Bevételek</t>
  </si>
  <si>
    <t>I. Intézményi működési bevételek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</si>
  <si>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</si>
  <si>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</si>
  <si>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</si>
  <si>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</si>
  <si>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B65</t>
  </si>
  <si>
    <t>Felhalmozási célú pénzeszközök átvétele államháztartáson kívülről</t>
  </si>
  <si>
    <t>B72</t>
  </si>
  <si>
    <t>Költségvetési bevételek összesen (1+…+3)</t>
  </si>
  <si>
    <t>V. Finanszírozási bevételek (5.1.+…+5.3.)</t>
  </si>
  <si>
    <t>Költségvetési maradvány igénybevétele</t>
  </si>
  <si>
    <t>Iríányítószervi (önkormányzati) támogatás</t>
  </si>
  <si>
    <t>B816</t>
  </si>
  <si>
    <t>5.3</t>
  </si>
  <si>
    <t>Vállalkozási maradvány igénybevétele</t>
  </si>
  <si>
    <t>B8132</t>
  </si>
  <si>
    <t>VI. Függő, átfutó, kiegyenlítő bevételek</t>
  </si>
  <si>
    <t>BEVÉTELEK ÖSSZESEN: (4+5)</t>
  </si>
  <si>
    <t>Kiadások</t>
  </si>
  <si>
    <t>I. Működési költségvetés kiadásai (1.1+…+1.5.)</t>
  </si>
  <si>
    <t>1.1.</t>
  </si>
  <si>
    <t>Személyi  juttatások</t>
  </si>
  <si>
    <t>1.2.</t>
  </si>
  <si>
    <t>Munkaadókat terhelő járulékok és szociális hozzájárulási adó</t>
  </si>
  <si>
    <t>Dologi  kiadások</t>
  </si>
  <si>
    <t>1.4.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</si>
  <si>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</si>
  <si>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</si>
  <si>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</si>
  <si>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</si>
  <si>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</si>
  <si>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</si>
  <si>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</si>
  <si>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(1+2)</t>
  </si>
  <si>
    <t>Éves engedélyezett létszám előirányzat (fő)</t>
  </si>
  <si>
    <t>Közfoglalkoztatottak létszáma (fő)</t>
  </si>
  <si>
    <t>* Az intézmény csak kötelező feladatokat lát el.</t>
  </si>
  <si>
    <t>6. számú melléklet</t>
  </si>
  <si>
    <t>Teljesítés</t>
  </si>
  <si>
    <t>2013. július 1.</t>
  </si>
  <si>
    <t>2013. június 30.</t>
  </si>
  <si>
    <t>Szakmai tev. ellátók</t>
  </si>
  <si>
    <t>Üzemeltetési tev. ellátók</t>
  </si>
  <si>
    <t>Rehabilitációs foglalkoztatott *</t>
  </si>
  <si>
    <t>Összesen</t>
  </si>
  <si>
    <t>Telj. %</t>
  </si>
  <si>
    <t>Önkormányzat</t>
  </si>
  <si>
    <t>Mindösszesen:</t>
  </si>
  <si>
    <t>* Rehabilitációs hozzájárulás terhére</t>
  </si>
  <si>
    <t>7. számú melléklet</t>
  </si>
  <si>
    <t>4. számú melléklet 1.3 sorának részletezése</t>
  </si>
  <si>
    <t xml:space="preserve">Kötelező </t>
  </si>
  <si>
    <t>Önként vállalt</t>
  </si>
  <si>
    <t>Mód. III., IV., V.</t>
  </si>
  <si>
    <t>Telj.%</t>
  </si>
  <si>
    <t>Mód. I., II.</t>
  </si>
  <si>
    <t>Köztemető fenntartása</t>
  </si>
  <si>
    <t>Tűz- és katasztrófavédelmi tevékenységek</t>
  </si>
  <si>
    <t>Területfejl. és területrendezési helyi feladatok</t>
  </si>
  <si>
    <t>Egyéb szárazföldi személyszállítás</t>
  </si>
  <si>
    <t>Közutak, hídak, alagutak  üzemeltetése, fenntartása</t>
  </si>
  <si>
    <t>Közvilágítási feladatok</t>
  </si>
  <si>
    <t>Zöldterület kezelés</t>
  </si>
  <si>
    <t>Város- és községgazdálkodás</t>
  </si>
  <si>
    <t>Háziorvosi alapellátás</t>
  </si>
  <si>
    <t>Ifjúság-, egészségügyi gondozás</t>
  </si>
  <si>
    <t>Sportlétesítmények, edzőtáborok működtetése és fejlesztése</t>
  </si>
  <si>
    <t>Könyvtári szolgáltatások</t>
  </si>
  <si>
    <t>8. számú melléklet</t>
  </si>
  <si>
    <t>4. számú melléklet 1.4 sorának részletezése</t>
  </si>
  <si>
    <t>Szociális ellátások</t>
  </si>
  <si>
    <t>Kötelező/     önként vállalt</t>
  </si>
  <si>
    <t xml:space="preserve">Központi támogatás </t>
  </si>
  <si>
    <t>Saját erő</t>
  </si>
  <si>
    <t>Települési támogatás Szt. 45 §.(1)</t>
  </si>
  <si>
    <t>Ö</t>
  </si>
  <si>
    <t xml:space="preserve">Átmeneti segély Szt. 45. §                      </t>
  </si>
  <si>
    <t>Temetési segély 46. §</t>
  </si>
  <si>
    <t>Rendkivüli települési támogatás Szt. 45.§.(4)</t>
  </si>
  <si>
    <t>Köztemetés Szt. 48. §.</t>
  </si>
  <si>
    <t xml:space="preserve">Más pénzbeli támogatás Szt. 26.§ </t>
  </si>
  <si>
    <t>Összesen:</t>
  </si>
  <si>
    <t>K</t>
  </si>
  <si>
    <t>Gyermekjóléti ellátások</t>
  </si>
  <si>
    <t>Pótlék rendszeres gyermekvédelmi kedvezményez Gyvt. 20/B.§.</t>
  </si>
  <si>
    <t>Természetbei támiogatás Gyvt. 20/a §.</t>
  </si>
  <si>
    <t>Óvodáztatási támogatás Gyvt. 20/C §.</t>
  </si>
  <si>
    <t>9. számú melléklet</t>
  </si>
  <si>
    <t xml:space="preserve">Véglegesen Átadott pénzeszközök </t>
  </si>
  <si>
    <t>4. számú melléklet 1.5.2 és 2.3.1 sorainak részletezése</t>
  </si>
  <si>
    <t>Államháztartáson kívülre</t>
  </si>
  <si>
    <t>Működési célú</t>
  </si>
  <si>
    <t xml:space="preserve">Felhalmozási célú </t>
  </si>
  <si>
    <t>kötelező</t>
  </si>
  <si>
    <t>önként vállalt</t>
  </si>
  <si>
    <t>eredeti</t>
  </si>
  <si>
    <t>mód. II, III.</t>
  </si>
  <si>
    <t>mód. II, III., IV.</t>
  </si>
  <si>
    <t>mód.I V.</t>
  </si>
  <si>
    <t>Első lakáshoz jutók támogatása</t>
  </si>
  <si>
    <t>4. számú melléklet 1.5.3 és 2.3.2 sorainak részletezése</t>
  </si>
  <si>
    <t>Államháztartáson belülre</t>
  </si>
  <si>
    <t>mód. II:</t>
  </si>
  <si>
    <t>Dénesfa Község Önkormányzata</t>
  </si>
  <si>
    <t>Rábakecöl Község Önkormányzata</t>
  </si>
  <si>
    <t>DRÖTT átvezetés</t>
  </si>
  <si>
    <t>Árvíz során keletkezett károk helyreállítása</t>
  </si>
  <si>
    <t>10. számu melléklet</t>
  </si>
  <si>
    <t>4. számú melléklet 2.1 sorának részletezése</t>
  </si>
  <si>
    <t xml:space="preserve"> I n t é z m é n y i  b e r u h á z á s o k</t>
  </si>
  <si>
    <t>K/Ö</t>
  </si>
  <si>
    <t>Támogatás</t>
  </si>
  <si>
    <t>Mód. I., II.,III, IV., V.</t>
  </si>
  <si>
    <t>61-67</t>
  </si>
  <si>
    <t>4. számú melléklet 2.2 sorának részletezése</t>
  </si>
  <si>
    <t>F e l ú j í t á s o k</t>
  </si>
  <si>
    <t>71-74</t>
  </si>
  <si>
    <t>11 számú melléklet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</si>
  <si>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</si>
  <si>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</si>
  <si>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</si>
  <si>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</si>
  <si>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</si>
  <si>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</si>
  <si>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</si>
  <si>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</si>
  <si>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</si>
  <si>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</si>
  <si>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</si>
  <si>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</si>
  <si>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</si>
  <si>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</si>
  <si>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 xml:space="preserve">Működési tám. ÁH belülről </t>
  </si>
  <si>
    <t>Felhalm. tám. ÁH.belülről</t>
  </si>
  <si>
    <t>Átvett pénzeszközök államháztatráson kívülről</t>
  </si>
  <si>
    <t>Felhalmozási célú bevételek</t>
  </si>
  <si>
    <t>Finanszírozási bevételek</t>
  </si>
  <si>
    <t>10.</t>
  </si>
  <si>
    <t>11.</t>
  </si>
  <si>
    <t>12.</t>
  </si>
  <si>
    <t>Folyó működési kiadások</t>
  </si>
  <si>
    <t>13.</t>
  </si>
  <si>
    <t>Felhalmozási célú kiadások</t>
  </si>
  <si>
    <t>15.</t>
  </si>
  <si>
    <t>Tartalékok felhasználása</t>
  </si>
  <si>
    <t>Finanszírozási kiadások</t>
  </si>
  <si>
    <t>17.</t>
  </si>
  <si>
    <t>Kiadások összesen:</t>
  </si>
  <si>
    <t>18.</t>
  </si>
  <si>
    <t>Egyenleg</t>
  </si>
  <si>
    <t>12. számú melléklet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</si>
  <si>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</si>
  <si>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</si>
  <si>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Helyi adók</t>
  </si>
  <si>
    <t>Díjak, pótlékok, bírságok</t>
  </si>
  <si>
    <t>Az önkormányzati vagyon és az önkormányzatot megillető vagyoni értékű jog értékesítéséből és hasznosításából származó 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</si>
  <si>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</si>
  <si>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</si>
  <si>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</si>
  <si>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</t>
  </si>
  <si>
    <t>SAJÁT BEVÉTELEK 50 %-A</t>
  </si>
  <si>
    <t>13. számú melléklet</t>
  </si>
  <si>
    <t>adatok: forintban</t>
  </si>
  <si>
    <t>adatok forintban</t>
  </si>
  <si>
    <t>Jogcím</t>
  </si>
  <si>
    <t xml:space="preserve"> támogatási  összeg</t>
  </si>
  <si>
    <t>mód. II., III., IV.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</si>
  <si>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</si>
  <si>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</si>
  <si>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</si>
  <si>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</si>
  <si>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</si>
  <si>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>I.1.c.)Egyéb önkormányzati feladatok támogatása</t>
  </si>
  <si>
    <t>I.1.c) Beszámítási összeg</t>
  </si>
  <si>
    <t>I.1.d) Lakott külterülettel kapcs. Feladatok támogatása</t>
  </si>
  <si>
    <t>01. Helyi önkormányzatok működésének általnos támogatása</t>
  </si>
  <si>
    <t xml:space="preserve">II.1 Óvodapedagógusok  és a nevelőmunkát közvetlenül támogatók bértámogatása </t>
  </si>
  <si>
    <t>II.2 Óvodaműködtetési támogatás</t>
  </si>
  <si>
    <t>02. Települési önkormányzatok egyes köznevelési feladatainak támogatása</t>
  </si>
  <si>
    <t>III.2. Települési önkorm. Szoc.feladatainak támogatása</t>
  </si>
  <si>
    <t>III. 5. a elismert dologzók bértámogatása</t>
  </si>
  <si>
    <t>III. 5. b üzemeltetési támogatás</t>
  </si>
  <si>
    <t>III.5. Gyermekétkeztetés támogatása</t>
  </si>
  <si>
    <t xml:space="preserve">IV.1. Közművelődési feladatok </t>
  </si>
  <si>
    <t>Lakott külterület támogatás</t>
  </si>
  <si>
    <t>Prémium évek program (3. sz. melléklet)</t>
  </si>
  <si>
    <t>Bérkompenzáció</t>
  </si>
  <si>
    <t>Vis maior</t>
  </si>
  <si>
    <t>Közművelődési érdekeltségnövelő támogatás</t>
  </si>
  <si>
    <t>Könyvtári érdekeltségnövelő támogatá</t>
  </si>
  <si>
    <t>Nyári gyermekétkeztetés</t>
  </si>
  <si>
    <t>Szerkezetátalakítási tartalékból foly.támogatás d)</t>
  </si>
  <si>
    <t>14.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</si>
  <si>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</si>
  <si>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</si>
  <si>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</si>
  <si>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</si>
  <si>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</si>
  <si>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</si>
  <si>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</si>
  <si>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</si>
  <si>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</si>
  <si>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Iparűzési adó</t>
  </si>
  <si>
    <t>Gépjármű adó</t>
  </si>
  <si>
    <t>Ellátottak térítési díjának kedvezménye</t>
  </si>
  <si>
    <t>Étkezési díj /óvoda/</t>
  </si>
  <si>
    <t>Étkezési díj /iskola/</t>
  </si>
  <si>
    <t>15. számú melléklet</t>
  </si>
  <si>
    <t>Adatszolgáltatás</t>
  </si>
  <si>
    <t>az elismert tartozásállományról</t>
  </si>
  <si>
    <t>Költségvetési szerv neve: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</si>
  <si>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</si>
  <si>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</si>
  <si>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</si>
  <si>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</si>
  <si>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15-30 nap közötti állomány</t>
  </si>
  <si>
    <t>30-60 nap közötti állomány</t>
  </si>
  <si>
    <t>60 napon 
túli állomány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</si>
  <si>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</si>
  <si>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</si>
  <si>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</si>
  <si>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</si>
  <si>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</si>
  <si>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</si>
  <si>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</si>
  <si>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Ft-ban</t>
  </si>
  <si>
    <t>Állami megelőlegzés</t>
  </si>
  <si>
    <t xml:space="preserve"> Ft-ban</t>
  </si>
  <si>
    <t>K914</t>
  </si>
  <si>
    <t xml:space="preserve"> forintban </t>
  </si>
  <si>
    <t>Önkorm. és önkorm. hiv. jogalkotó és élt. ig. tev.</t>
  </si>
  <si>
    <t>Rendőrség</t>
  </si>
  <si>
    <t xml:space="preserve">forintban </t>
  </si>
  <si>
    <t>III.  Rászoruló gyermekek szünidei étkeztetése</t>
  </si>
  <si>
    <t xml:space="preserve"> forintban</t>
  </si>
  <si>
    <t>Intézményi működési bev.</t>
  </si>
  <si>
    <t xml:space="preserve">Közfoglalkoztatottak </t>
  </si>
  <si>
    <t>Mindösszesen</t>
  </si>
  <si>
    <t>Vitnyéd Községi Önkormányzat bevételek és kiadások mérlege</t>
  </si>
  <si>
    <t xml:space="preserve">Vitnyédi Berekerdő Óvoda </t>
  </si>
  <si>
    <t>Vitnyédi Közös Önkormányzati Hivatal</t>
  </si>
  <si>
    <t>Vitnyédi Berekerdő Óvoda</t>
  </si>
  <si>
    <t>Vitnyéd Községi Önkormányzat dologi kiadásai</t>
  </si>
  <si>
    <t>Egyéb pénzbeli támogatás  (Bursa)</t>
  </si>
  <si>
    <t xml:space="preserve">Vitnyéd Községi Önkormányzat beruházási és felújítási kiadásai  </t>
  </si>
  <si>
    <t>Ellátási díjak</t>
  </si>
  <si>
    <t>B405</t>
  </si>
  <si>
    <t>Kiszámlázott Áfa</t>
  </si>
  <si>
    <t>B406</t>
  </si>
  <si>
    <t>K512</t>
  </si>
  <si>
    <t>I.1.a Önkormányzati Hivatal működési támogatása-elismert hivatali létszám alapján</t>
  </si>
  <si>
    <t>Énekes Lenke Hagyományörző Egyesület</t>
  </si>
  <si>
    <t>Sportegyesület támogatása</t>
  </si>
  <si>
    <t>Tűzoltóegyesület támogatása</t>
  </si>
  <si>
    <t>Tekecsapat támogatása</t>
  </si>
  <si>
    <t>Horgászegyesület támogatása</t>
  </si>
  <si>
    <t>Fogorvosi alapellátás</t>
  </si>
  <si>
    <t>STKH hozzájárulás</t>
  </si>
  <si>
    <t xml:space="preserve">Informatikai eszköz beszerzés </t>
  </si>
  <si>
    <t>Kisértékű tárgyi eszköz, szellemi termék beszerzés</t>
  </si>
  <si>
    <t>Közművelődés</t>
  </si>
  <si>
    <t>Önkormányzati vagyongazdálkodás</t>
  </si>
  <si>
    <t>Nyitott Kapuvár működési hozzájár.</t>
  </si>
  <si>
    <t>II.4 Óvodapedagógus minősítés</t>
  </si>
  <si>
    <t>B23</t>
  </si>
  <si>
    <t>Felhalmozási célú visszatérítendő támogatások, kölcsönök visszatérülése államháztartáson belülről</t>
  </si>
  <si>
    <t>4.3</t>
  </si>
  <si>
    <t>4.3.1</t>
  </si>
  <si>
    <t>4.3.2</t>
  </si>
  <si>
    <t>4.3.3</t>
  </si>
  <si>
    <t>4. Felhalmozási célú kölcsönök visszatérülése</t>
  </si>
  <si>
    <t>I.1. jogcímekhez kapcsolódó kiegészítés</t>
  </si>
  <si>
    <t>I.1.c.Egyéb önkormányzati feladatok támogatása</t>
  </si>
  <si>
    <t>I.6. Polgármesteri illetmény támogatása</t>
  </si>
  <si>
    <t>Nyugdíjasklub támogatása</t>
  </si>
  <si>
    <t>Izvadászok támogatása</t>
  </si>
  <si>
    <t>Castrum SC támogatása</t>
  </si>
  <si>
    <t>SzM támogatása</t>
  </si>
  <si>
    <t>Egyéb pénzbeli támogatás (Bursa)</t>
  </si>
  <si>
    <t>Erzsébet tábor</t>
  </si>
  <si>
    <t>Sacra Velo</t>
  </si>
  <si>
    <t>III.3. Családi Bölcsöde</t>
  </si>
  <si>
    <t>EFOP programelemek</t>
  </si>
  <si>
    <t>Játszótéri beruházás</t>
  </si>
  <si>
    <t>Vitnyédi Családi Bölcsöde Fenntartó Társulás</t>
  </si>
  <si>
    <t>Vitnyéd Községi Önkormányzat adósságot keletkeztető ügyletekből és kezességvállalásokból fennálló kötelezettségei</t>
  </si>
  <si>
    <t>Sorsz.</t>
  </si>
  <si>
    <t>Hosszú lejáratú hitel</t>
  </si>
  <si>
    <t>Hosszú lejáratú hitel II</t>
  </si>
  <si>
    <t>Rövid lejáratú hitel</t>
  </si>
  <si>
    <t>Összes kötelezettség</t>
  </si>
  <si>
    <t>......................, 2019. .......................... hó ..... nap</t>
  </si>
  <si>
    <t>2020. év</t>
  </si>
  <si>
    <t>Vitnyéd Községi Önkormányzat költségvetési szerveinek 2020. évi létszámkerete</t>
  </si>
  <si>
    <t>Előirányzat-felhasználási terv
2020. évre</t>
  </si>
  <si>
    <t>A 2020 évi általános működés és ágazati feladatok támogatásának alakulása jogcímenként</t>
  </si>
  <si>
    <t>Vitnyéd Községi Önkormányzat 2020. évi bevételi előirányzatai</t>
  </si>
  <si>
    <t>Vitnyéd Községi Önkormányzat 2020. évi kiadási előirányzatai</t>
  </si>
  <si>
    <t>2020. ÉV</t>
  </si>
  <si>
    <t xml:space="preserve">Tárgyi eszköz beszerzés </t>
  </si>
  <si>
    <t>Urnafal borítás</t>
  </si>
  <si>
    <t>Közösségi Ház gázkazán csere</t>
  </si>
  <si>
    <t>Műv.Ház Wc felújítás</t>
  </si>
  <si>
    <t>Zártkerti program</t>
  </si>
  <si>
    <t>I. Mód.</t>
  </si>
  <si>
    <t>I.Mód.</t>
  </si>
  <si>
    <t xml:space="preserve">Egyéb kapott kamatok és kamatjellegű bevételek </t>
  </si>
  <si>
    <t>Egyéb működési bevételek</t>
  </si>
  <si>
    <t>B411</t>
  </si>
  <si>
    <t>5. Átvett pénzeszköz államháztartáson kívülről</t>
  </si>
  <si>
    <t>Mód.I.</t>
  </si>
  <si>
    <t>Remény hal meg utoljára Alapítvány</t>
  </si>
  <si>
    <t xml:space="preserve"> MFP_KKE2019 Fűnyíró traktor, pótkocsi, rézsűszárzúzó</t>
  </si>
  <si>
    <t>Velux pályázat informatikai eszköz beszerzés</t>
  </si>
  <si>
    <t>MFP-HOR2019 Orvosi rendelő előleg</t>
  </si>
  <si>
    <t>Magyar Falu Program pályázati dokumentáció, közbeszerzés</t>
  </si>
  <si>
    <t>Veszélyhelyzet</t>
  </si>
  <si>
    <t>2020. évi előirányzat</t>
  </si>
  <si>
    <t>2020. évi I. mód.</t>
  </si>
  <si>
    <t>II.Mód.</t>
  </si>
  <si>
    <t>II.Mód</t>
  </si>
  <si>
    <t>8.4</t>
  </si>
  <si>
    <t>Államháztartáson belüli megelőlegezések</t>
  </si>
  <si>
    <t>B814</t>
  </si>
  <si>
    <t>2020.december 31.</t>
  </si>
  <si>
    <t>Mód.II.</t>
  </si>
  <si>
    <t>2020. évi II. mód.</t>
  </si>
  <si>
    <t>I.5.   Bérkompenzáció</t>
  </si>
  <si>
    <t>V. Működési célú költségvetési támogatások és kiegészítő támogatások (szoc.tüzifa)</t>
  </si>
  <si>
    <t>Módosítás</t>
  </si>
  <si>
    <t>2020. évi Teljesítés</t>
  </si>
  <si>
    <t>mód. II</t>
  </si>
  <si>
    <t>Közfogl. Elszám.</t>
  </si>
  <si>
    <t>17. számú melléklet</t>
  </si>
  <si>
    <t xml:space="preserve"> forint</t>
  </si>
  <si>
    <t>Alaptevékenység költségvetési bevétele</t>
  </si>
  <si>
    <t>Alaptevékenység költségvetési kiadásai</t>
  </si>
  <si>
    <t>Alaptevékenység költségvetési egyenlege (1-2)</t>
  </si>
  <si>
    <t>Alaptevékenység finanszírozási bevételei</t>
  </si>
  <si>
    <t>Alaptevékenység fianszírorzási kiadásai</t>
  </si>
  <si>
    <t>Alaptevékenység finanszírozási egyenlege (4-5)</t>
  </si>
  <si>
    <t>ALAPTEVÉKENYSÉG MARADVÁNYA (3+6)</t>
  </si>
  <si>
    <t>Vállalkozási tevékenység költségvetési bevételi</t>
  </si>
  <si>
    <t>Vállalkozási tevékenység költségvetési kiadásai</t>
  </si>
  <si>
    <t>Vállalkozási tevékenység költségvetési egyenlege (8-9)</t>
  </si>
  <si>
    <t xml:space="preserve">Vállalkozási tevékenység finanszírozási bevételei </t>
  </si>
  <si>
    <t>Vállalkozási tevékenység finanszírozási kiadásai</t>
  </si>
  <si>
    <t>Vállalkozási tevékenység finanszírozási egyenlege (11-12)</t>
  </si>
  <si>
    <t>VÁLLALKOZÁSI TEVÉKENYSÉG MARADVÁNYA (10+13)</t>
  </si>
  <si>
    <t>ÖSSZES MARADVÁNY (7+14)</t>
  </si>
  <si>
    <t xml:space="preserve">Alaptevékenység kötelezettségekkel terhelt maradványa </t>
  </si>
  <si>
    <t>ALAPTEVÉKENYSÉG SZABAD MARADVÁNYA (15-16)</t>
  </si>
  <si>
    <t>2020. évi maradvány kimutatás Önkormányzat</t>
  </si>
  <si>
    <t>18. számú melléklet</t>
  </si>
  <si>
    <t>19. számú melléklet</t>
  </si>
  <si>
    <t>20. számú melléklet</t>
  </si>
  <si>
    <t>VAGYONKIMUTATÁS a könyvviteli mérlegben értékkel szerplő eszközökről 2018.</t>
  </si>
  <si>
    <t>ESZKÖZÖK</t>
  </si>
  <si>
    <t>Előző időszak</t>
  </si>
  <si>
    <t>Tárgyi időszak</t>
  </si>
  <si>
    <t>állományi érték</t>
  </si>
  <si>
    <t xml:space="preserve">A </t>
  </si>
  <si>
    <t>B</t>
  </si>
  <si>
    <t>C</t>
  </si>
  <si>
    <t>D</t>
  </si>
  <si>
    <t xml:space="preserve"> I. Immateriális javak </t>
  </si>
  <si>
    <t>01.</t>
  </si>
  <si>
    <t xml:space="preserve">II. Tárgyi eszközök </t>
  </si>
  <si>
    <t>02.</t>
  </si>
  <si>
    <t xml:space="preserve">1. Ingatlanok és kapcsolódó vagyoni értékű jogok  </t>
  </si>
  <si>
    <t>03.</t>
  </si>
  <si>
    <t>2. Gépek, berendezések, felszerelések, járművek</t>
  </si>
  <si>
    <t>08.</t>
  </si>
  <si>
    <t>3. Beruházások, felújítások</t>
  </si>
  <si>
    <t xml:space="preserve">5. Tárgyi eszközök értékhelyesbítése </t>
  </si>
  <si>
    <t>23.</t>
  </si>
  <si>
    <t>5.1. Forgalomképtelen tárgyi eszközök értékhelyesbítése</t>
  </si>
  <si>
    <t>24.</t>
  </si>
  <si>
    <t>5.2. Nemzetgazdasági szempontból kiemelt jelentőségű tárgyi eszközök 
       értékhelyesbítése</t>
  </si>
  <si>
    <t>25.</t>
  </si>
  <si>
    <t>5.3. Korlátozottan forgalomképes tárgyi eszközök értékhelyesbítése</t>
  </si>
  <si>
    <t>26.</t>
  </si>
  <si>
    <t>5.4. Üzleti tárgyi eszközök értékhelyesbítése</t>
  </si>
  <si>
    <t>27.</t>
  </si>
  <si>
    <t>III. Befektetett pénzügyi eszközök (29+34+39)</t>
  </si>
  <si>
    <t>28.</t>
  </si>
  <si>
    <t>1. Tartós részesedések (30+31+32+33)</t>
  </si>
  <si>
    <t>29.</t>
  </si>
  <si>
    <t>1.1. Forgalomképtelen tartós részesedések</t>
  </si>
  <si>
    <t>30.</t>
  </si>
  <si>
    <t>1.2. Nemzetgazdasági szempontból kiemelt jelentőségű tartós részesedések</t>
  </si>
  <si>
    <t>31.</t>
  </si>
  <si>
    <t>1.3. Korlátozottan forgalomképes tartós részesedések</t>
  </si>
  <si>
    <t>32.</t>
  </si>
  <si>
    <t>1.4. Üzleti tartós részesedések</t>
  </si>
  <si>
    <t>33.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</si>
  <si>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</si>
  <si>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</si>
  <si>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</si>
  <si>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</si>
  <si>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</si>
  <si>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</si>
  <si>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</si>
  <si>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</si>
  <si>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</si>
  <si>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</si>
  <si>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</si>
  <si>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</si>
  <si>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</si>
  <si>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</si>
  <si>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</si>
  <si>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</si>
  <si>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</si>
  <si>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</si>
  <si>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</si>
  <si>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</si>
  <si>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</si>
  <si>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</si>
  <si>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</si>
  <si>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</si>
  <si>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</si>
  <si>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</si>
  <si>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</si>
  <si>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</si>
  <si>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</si>
  <si>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</si>
  <si>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</si>
  <si>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</si>
  <si>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</si>
  <si>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</si>
  <si>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</si>
  <si>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</si>
  <si>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</si>
  <si>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</si>
  <si>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</si>
  <si>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</si>
  <si>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</si>
  <si>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</si>
  <si>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</si>
  <si>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</si>
  <si>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</si>
  <si>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</si>
  <si>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</si>
  <si>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</si>
  <si>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</si>
  <si>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</si>
  <si>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</si>
  <si>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</si>
  <si>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</si>
  <si>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</si>
  <si>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</si>
  <si>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</si>
  <si>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</si>
  <si>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</si>
  <si>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21. számú melléklet</t>
  </si>
  <si>
    <t>VAGYONKIMUTATÁS a könyvviteli mérlegben értékkel szerplő forrásokról 2018.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</si>
  <si>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</si>
  <si>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</si>
  <si>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</si>
  <si>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</si>
  <si>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</si>
  <si>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</si>
  <si>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</si>
  <si>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</si>
  <si>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</si>
  <si>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</si>
  <si>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</si>
  <si>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</si>
  <si>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</si>
  <si>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</si>
  <si>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</si>
  <si>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II. Költségvetési évet követően esedékes kötelezettségek</t>
  </si>
  <si>
    <t>09.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</si>
  <si>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</si>
  <si>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</si>
  <si>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</si>
  <si>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</si>
  <si>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</si>
  <si>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14.</t>
  </si>
  <si>
    <t>22. számú melléklet</t>
  </si>
  <si>
    <t>forint</t>
  </si>
  <si>
    <t>Tevékenység nettó eredményszemléletű bevétele</t>
  </si>
  <si>
    <t>Egyéb eredményszemléletű bevételek</t>
  </si>
  <si>
    <t>Anyagjellegű ráfordítások</t>
  </si>
  <si>
    <t>Személyi jellegű ráfordítások</t>
  </si>
  <si>
    <t>Értékcsökkenés</t>
  </si>
  <si>
    <t>Egyéb ráfordítások</t>
  </si>
  <si>
    <t>Tevékenységek eredménye</t>
  </si>
  <si>
    <t>Pénzügyi műveletek eredményszemléletű bevételei</t>
  </si>
  <si>
    <t>Pénzügyi műveletek ráfordításai</t>
  </si>
  <si>
    <t>Pénzügyi műveletek eredménye</t>
  </si>
  <si>
    <t>Rendkívüli eredményszemléletű bevételek</t>
  </si>
  <si>
    <t>Rendkívüli ráfordítások</t>
  </si>
  <si>
    <t>Rendkívüli eredmény</t>
  </si>
  <si>
    <t>Mérleg szerinti eredmény</t>
  </si>
  <si>
    <t>2020. évi eredménykimutatás</t>
  </si>
  <si>
    <t>2020. évi maradvány kimutatás Közös Hivatal</t>
  </si>
  <si>
    <t>2020. évi maradvány kimutatás Óvoda</t>
  </si>
  <si>
    <t>Magyar Máltai Szeretetszolg.</t>
  </si>
  <si>
    <t>Bimbó a beteg gyerekekért Alapítvány</t>
  </si>
  <si>
    <t>Mosolyért Közhasznú Egy.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</si>
</sst>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\ _F_t_-;\-* #,##0\ _F_t_-;_-* &quot;-&quot;\ _F_t_-;_-@_-"/>
    <numFmt numFmtId="166" formatCode="#,###"/>
    <numFmt numFmtId="167" formatCode="mmm\ d/"/>
    <numFmt numFmtId="168" formatCode="General&quot;  fő&quot;"/>
    <numFmt numFmtId="169" formatCode="_-* #,##0.00\ _F_t_-;\-* #,##0.00\ _F_t_-;_-* \-??\ _F_t_-;_-@_-"/>
    <numFmt numFmtId="170" formatCode="#,##0_ ;\-#,##0\ "/>
    <numFmt numFmtId="176" formatCode="00"/>
    <numFmt numFmtId="177" formatCode="#,###__;\-#,###__"/>
    <numFmt numFmtId="178" formatCode="#,###\ _F_t;\-#,###\ _F_t"/>
  </numFmts>
  <fonts count="133"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9"/>
      <name val="MS Sans Serif"/>
      <family val="2"/>
      <charset val="238"/>
    </font>
    <font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3"/>
      <name val="comic"/>
      <family val="5"/>
      <charset val="238"/>
    </font>
    <font>
      <sz val="13"/>
      <name val="comic"/>
      <family val="5"/>
      <charset val="238"/>
    </font>
    <font>
      <b/>
      <sz val="11"/>
      <name val="MS Sans Serif"/>
      <family val="2"/>
      <charset val="238"/>
    </font>
    <font>
      <sz val="12"/>
      <name val="MS Sans Serif"/>
      <family val="2"/>
      <charset val="238"/>
    </font>
    <font>
      <b/>
      <sz val="12"/>
      <name val="MS Sans Serif"/>
      <family val="2"/>
      <charset val="238"/>
    </font>
    <font>
      <b/>
      <sz val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i/>
      <sz val="12"/>
      <name val="MS Sans Serif"/>
      <family val="2"/>
      <charset val="238"/>
    </font>
    <font>
      <b/>
      <sz val="12"/>
      <name val="Times New Roman CE"/>
      <family val="1"/>
      <charset val="238"/>
    </font>
    <font>
      <b/>
      <sz val="8.5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sz val="13.5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color indexed="10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11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0"/>
      <name val="Arial"/>
      <family val="2"/>
      <charset val="238"/>
    </font>
    <font>
      <b/>
      <sz val="11"/>
      <name val="comic"/>
      <family val="5"/>
      <charset val="238"/>
    </font>
    <font>
      <b/>
      <sz val="10"/>
      <name val="comic"/>
      <family val="5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0"/>
      <name val="MS Sans Serif"/>
      <family val="2"/>
      <charset val="238"/>
    </font>
    <font>
      <sz val="10"/>
      <name val="MS Reference Sans Serif"/>
      <family val="2"/>
      <charset val="238"/>
    </font>
    <font>
      <b/>
      <i/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0"/>
      <name val="MS Reference Sans Serif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MS Reference Sans Serif"/>
      <family val="2"/>
      <charset val="238"/>
    </font>
    <font>
      <b/>
      <sz val="12"/>
      <name val="MS Reference Sans Serif"/>
      <family val="2"/>
      <charset val="238"/>
    </font>
    <font>
      <sz val="10"/>
      <name val="Times New Roman"/>
      <family val="1"/>
      <charset val="238"/>
    </font>
    <font>
      <sz val="14"/>
      <name val="comic"/>
      <family val="5"/>
      <charset val="238"/>
    </font>
    <font>
      <sz val="10"/>
      <name val="comic"/>
      <family val="5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Arial CE"/>
      <family val="2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indexed="10"/>
      <name val="Arial CE"/>
      <family val="2"/>
      <charset val="238"/>
    </font>
    <font>
      <sz val="11"/>
      <name val="Arial"/>
      <family val="2"/>
      <charset val="238"/>
    </font>
    <font>
      <b/>
      <i/>
      <sz val="12"/>
      <name val="Arial CE"/>
      <family val="2"/>
      <charset val="238"/>
    </font>
    <font>
      <b/>
      <sz val="14"/>
      <name val="comic"/>
      <family val="5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name val="Arial CE"/>
      <family val="2"/>
      <charset val="238"/>
    </font>
    <font>
      <i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i/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b/>
      <sz val="12"/>
      <color indexed="8"/>
      <name val="Calibri"/>
      <family val="2"/>
      <charset val="238"/>
    </font>
    <font>
      <sz val="12"/>
      <name val="comic"/>
      <family val="5"/>
      <charset val="238"/>
    </font>
    <font>
      <b/>
      <sz val="13"/>
      <name val="Arial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8"/>
      <name val="Times New Roman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MS Sans Serif"/>
      <charset val="238"/>
    </font>
    <font>
      <b/>
      <sz val="12"/>
      <name val="Times New Roman"/>
      <family val="1"/>
      <charset val="238"/>
    </font>
    <font>
      <b/>
      <sz val="10"/>
      <name val="MS Sans Serif"/>
      <charset val="238"/>
    </font>
    <font>
      <sz val="10"/>
      <name val="MS Sans Serif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8"/>
      <name val="Times New Roman CE"/>
      <family val="1"/>
      <charset val="238"/>
    </font>
    <font>
      <sz val="8"/>
      <name val="MS Sans Serif"/>
      <family val="2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b/>
      <sz val="12"/>
      <name val="MS Sans Serif"/>
      <charset val="238"/>
    </font>
    <font>
      <b/>
      <sz val="9"/>
      <color indexed="8"/>
      <name val="Tahoma"/>
      <family val="2"/>
      <charset val="238"/>
    </font>
    <font>
      <sz val="9"/>
      <color indexed="8"/>
      <name val="Tahoma"/>
      <family val="2"/>
      <charset val="238"/>
    </font>
    <font>
      <sz val="11"/>
      <color indexed="8"/>
      <name val="Candara"/>
      <family val="2"/>
      <charset val="238"/>
    </font>
    <font>
      <sz val="10"/>
      <color indexed="8"/>
      <name val="Candara"/>
      <family val="2"/>
      <charset val="238"/>
    </font>
    <font>
      <i/>
      <sz val="10"/>
      <color indexed="8"/>
      <name val="Candara"/>
      <family val="2"/>
      <charset val="238"/>
    </font>
    <font>
      <b/>
      <sz val="10"/>
      <color indexed="8"/>
      <name val="Candara"/>
      <family val="2"/>
      <charset val="238"/>
    </font>
    <font>
      <b/>
      <sz val="10"/>
      <name val="Candara"/>
      <family val="2"/>
      <charset val="238"/>
    </font>
    <font>
      <sz val="10"/>
      <name val="Candara"/>
      <family val="2"/>
      <charset val="238"/>
    </font>
    <font>
      <sz val="12"/>
      <color indexed="10"/>
      <name val="Times New Roman"/>
      <family val="1"/>
      <charset val="238"/>
    </font>
    <font>
      <sz val="10"/>
      <color indexed="10"/>
      <name val="Candara"/>
      <family val="2"/>
      <charset val="238"/>
    </font>
    <font>
      <i/>
      <sz val="10"/>
      <name val="Candara"/>
      <family val="2"/>
      <charset val="238"/>
    </font>
    <font>
      <sz val="10"/>
      <name val="Times New Roman CE"/>
      <charset val="238"/>
    </font>
    <font>
      <b/>
      <i/>
      <sz val="10"/>
      <name val="Candara"/>
      <family val="2"/>
      <charset val="238"/>
    </font>
    <font>
      <sz val="9"/>
      <name val="Times New Roman CE"/>
      <family val="1"/>
      <charset val="238"/>
    </font>
    <font>
      <b/>
      <sz val="12"/>
      <color indexed="8"/>
      <name val="Candara"/>
      <family val="2"/>
      <charset val="238"/>
    </font>
    <font>
      <sz val="10"/>
      <name val="Candara"/>
      <family val="2"/>
    </font>
    <font>
      <sz val="8"/>
      <color rgb="FF424242"/>
      <name val="Tahoma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31"/>
        <bgColor indexed="42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3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169" fontId="97" fillId="0" borderId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8" applyNumberFormat="0" applyFill="0" applyAlignment="0" applyProtection="0"/>
    <xf numFmtId="0" fontId="13" fillId="7" borderId="0" applyNumberFormat="0" applyBorder="0" applyAlignment="0" applyProtection="0"/>
    <xf numFmtId="0" fontId="97" fillId="0" borderId="0"/>
    <xf numFmtId="0" fontId="98" fillId="0" borderId="0"/>
    <xf numFmtId="0" fontId="1" fillId="0" borderId="0"/>
    <xf numFmtId="0" fontId="14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27" fillId="0" borderId="0"/>
    <xf numFmtId="0" fontId="75" fillId="0" borderId="0"/>
    <xf numFmtId="0" fontId="97" fillId="4" borderId="6" applyNumberFormat="0" applyAlignment="0" applyProtection="0"/>
    <xf numFmtId="0" fontId="17" fillId="16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975">
    <xf numFmtId="0" fontId="0" fillId="0" borderId="0" xfId="0"/>
    <xf numFmtId="49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3" fontId="0" fillId="0" borderId="0" xfId="0" applyNumberFormat="1"/>
    <xf numFmtId="49" fontId="20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3" fontId="22" fillId="0" borderId="0" xfId="0" applyNumberFormat="1" applyFont="1" applyAlignment="1">
      <alignment horizontal="right"/>
    </xf>
    <xf numFmtId="49" fontId="24" fillId="0" borderId="0" xfId="0" applyNumberFormat="1" applyFont="1" applyAlignment="1">
      <alignment vertical="center"/>
    </xf>
    <xf numFmtId="49" fontId="21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3" fontId="21" fillId="0" borderId="0" xfId="0" applyNumberFormat="1" applyFont="1"/>
    <xf numFmtId="3" fontId="22" fillId="0" borderId="0" xfId="0" applyNumberFormat="1" applyFont="1" applyAlignment="1">
      <alignment horizontal="right" vertical="center"/>
    </xf>
    <xf numFmtId="49" fontId="26" fillId="0" borderId="10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49" fontId="26" fillId="0" borderId="11" xfId="0" applyNumberFormat="1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3" fontId="27" fillId="16" borderId="13" xfId="0" applyNumberFormat="1" applyFont="1" applyFill="1" applyBorder="1" applyAlignment="1">
      <alignment horizontal="right" vertical="center" wrapText="1"/>
    </xf>
    <xf numFmtId="3" fontId="27" fillId="16" borderId="14" xfId="0" applyNumberFormat="1" applyFont="1" applyFill="1" applyBorder="1" applyAlignment="1">
      <alignment horizontal="right" vertical="center" wrapText="1"/>
    </xf>
    <xf numFmtId="3" fontId="27" fillId="16" borderId="16" xfId="0" applyNumberFormat="1" applyFont="1" applyFill="1" applyBorder="1" applyAlignment="1">
      <alignment horizontal="right" vertical="center" wrapText="1"/>
    </xf>
    <xf numFmtId="0" fontId="28" fillId="0" borderId="0" xfId="0" applyFont="1"/>
    <xf numFmtId="0" fontId="26" fillId="0" borderId="12" xfId="0" applyFont="1" applyBorder="1" applyAlignment="1">
      <alignment horizontal="left" vertical="center" wrapText="1"/>
    </xf>
    <xf numFmtId="49" fontId="0" fillId="0" borderId="17" xfId="0" applyNumberFormat="1" applyBorder="1" applyAlignment="1">
      <alignment horizontal="left"/>
    </xf>
    <xf numFmtId="49" fontId="26" fillId="0" borderId="18" xfId="0" applyNumberFormat="1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3" fontId="26" fillId="16" borderId="20" xfId="0" applyNumberFormat="1" applyFont="1" applyFill="1" applyBorder="1" applyAlignment="1">
      <alignment horizontal="right" vertical="center" wrapText="1"/>
    </xf>
    <xf numFmtId="3" fontId="26" fillId="16" borderId="21" xfId="0" applyNumberFormat="1" applyFont="1" applyFill="1" applyBorder="1" applyAlignment="1">
      <alignment horizontal="right" vertical="center" wrapText="1"/>
    </xf>
    <xf numFmtId="3" fontId="26" fillId="16" borderId="22" xfId="0" applyNumberFormat="1" applyFont="1" applyFill="1" applyBorder="1" applyAlignment="1">
      <alignment horizontal="right" vertical="center" wrapText="1"/>
    </xf>
    <xf numFmtId="49" fontId="0" fillId="0" borderId="23" xfId="0" applyNumberFormat="1" applyBorder="1" applyAlignment="1">
      <alignment horizontal="left"/>
    </xf>
    <xf numFmtId="49" fontId="26" fillId="0" borderId="24" xfId="0" applyNumberFormat="1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3" fontId="26" fillId="16" borderId="26" xfId="0" applyNumberFormat="1" applyFont="1" applyFill="1" applyBorder="1" applyAlignment="1">
      <alignment horizontal="right" vertical="center" wrapText="1"/>
    </xf>
    <xf numFmtId="3" fontId="26" fillId="16" borderId="27" xfId="0" applyNumberFormat="1" applyFont="1" applyFill="1" applyBorder="1" applyAlignment="1">
      <alignment horizontal="right" vertical="center" wrapText="1"/>
    </xf>
    <xf numFmtId="3" fontId="26" fillId="16" borderId="28" xfId="0" applyNumberFormat="1" applyFont="1" applyFill="1" applyBorder="1" applyAlignment="1">
      <alignment horizontal="right" vertical="center" wrapText="1"/>
    </xf>
    <xf numFmtId="0" fontId="26" fillId="0" borderId="24" xfId="0" applyFont="1" applyBorder="1" applyAlignment="1">
      <alignment horizontal="left" wrapText="1"/>
    </xf>
    <xf numFmtId="0" fontId="26" fillId="0" borderId="25" xfId="0" applyFont="1" applyBorder="1" applyAlignment="1">
      <alignment horizontal="left" wrapText="1"/>
    </xf>
    <xf numFmtId="3" fontId="26" fillId="16" borderId="29" xfId="0" applyNumberFormat="1" applyFont="1" applyFill="1" applyBorder="1" applyAlignment="1">
      <alignment horizontal="right" vertical="center" wrapText="1"/>
    </xf>
    <xf numFmtId="3" fontId="26" fillId="0" borderId="27" xfId="0" applyNumberFormat="1" applyFont="1" applyBorder="1" applyAlignment="1">
      <alignment horizontal="right" vertical="center" wrapText="1"/>
    </xf>
    <xf numFmtId="3" fontId="26" fillId="0" borderId="29" xfId="0" applyNumberFormat="1" applyFont="1" applyBorder="1" applyAlignment="1">
      <alignment horizontal="right" vertical="center" wrapText="1"/>
    </xf>
    <xf numFmtId="0" fontId="26" fillId="0" borderId="25" xfId="0" applyFont="1" applyBorder="1" applyAlignment="1">
      <alignment wrapText="1"/>
    </xf>
    <xf numFmtId="3" fontId="26" fillId="16" borderId="30" xfId="0" applyNumberFormat="1" applyFont="1" applyFill="1" applyBorder="1" applyAlignment="1">
      <alignment horizontal="right" vertical="center" wrapText="1"/>
    </xf>
    <xf numFmtId="3" fontId="26" fillId="0" borderId="30" xfId="0" applyNumberFormat="1" applyFont="1" applyBorder="1" applyAlignment="1">
      <alignment horizontal="right" vertical="center" wrapText="1"/>
    </xf>
    <xf numFmtId="49" fontId="0" fillId="0" borderId="31" xfId="0" applyNumberFormat="1" applyBorder="1" applyAlignment="1">
      <alignment horizontal="left"/>
    </xf>
    <xf numFmtId="49" fontId="26" fillId="0" borderId="32" xfId="0" applyNumberFormat="1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wrapText="1"/>
    </xf>
    <xf numFmtId="3" fontId="26" fillId="16" borderId="34" xfId="0" applyNumberFormat="1" applyFont="1" applyFill="1" applyBorder="1" applyAlignment="1">
      <alignment horizontal="right" vertical="center" wrapText="1"/>
    </xf>
    <xf numFmtId="3" fontId="26" fillId="0" borderId="34" xfId="0" applyNumberFormat="1" applyFont="1" applyBorder="1" applyAlignment="1">
      <alignment horizontal="right" vertical="center" wrapText="1"/>
    </xf>
    <xf numFmtId="49" fontId="0" fillId="0" borderId="35" xfId="0" applyNumberFormat="1" applyBorder="1" applyAlignment="1">
      <alignment horizontal="left"/>
    </xf>
    <xf numFmtId="49" fontId="26" fillId="0" borderId="36" xfId="0" applyNumberFormat="1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 wrapText="1"/>
    </xf>
    <xf numFmtId="3" fontId="26" fillId="16" borderId="38" xfId="0" applyNumberFormat="1" applyFont="1" applyFill="1" applyBorder="1" applyAlignment="1">
      <alignment horizontal="right" vertical="center" wrapText="1"/>
    </xf>
    <xf numFmtId="3" fontId="26" fillId="0" borderId="22" xfId="0" applyNumberFormat="1" applyFont="1" applyBorder="1" applyAlignment="1">
      <alignment horizontal="right" vertical="center" wrapText="1"/>
    </xf>
    <xf numFmtId="3" fontId="26" fillId="0" borderId="39" xfId="0" applyNumberFormat="1" applyFont="1" applyBorder="1" applyAlignment="1">
      <alignment horizontal="right" vertical="center" wrapText="1"/>
    </xf>
    <xf numFmtId="3" fontId="26" fillId="0" borderId="26" xfId="0" applyNumberFormat="1" applyFont="1" applyBorder="1" applyAlignment="1">
      <alignment horizontal="right" vertical="center"/>
    </xf>
    <xf numFmtId="3" fontId="26" fillId="0" borderId="27" xfId="0" applyNumberFormat="1" applyFont="1" applyBorder="1" applyAlignment="1">
      <alignment horizontal="right" vertical="center"/>
    </xf>
    <xf numFmtId="3" fontId="26" fillId="0" borderId="28" xfId="0" applyNumberFormat="1" applyFont="1" applyBorder="1" applyAlignment="1">
      <alignment horizontal="right" vertical="center"/>
    </xf>
    <xf numFmtId="49" fontId="0" fillId="0" borderId="40" xfId="0" applyNumberFormat="1" applyBorder="1" applyAlignment="1">
      <alignment horizontal="left"/>
    </xf>
    <xf numFmtId="49" fontId="26" fillId="0" borderId="41" xfId="0" applyNumberFormat="1" applyFont="1" applyBorder="1" applyAlignment="1">
      <alignment horizontal="left" vertical="center" wrapText="1"/>
    </xf>
    <xf numFmtId="0" fontId="26" fillId="0" borderId="33" xfId="0" applyFont="1" applyBorder="1" applyAlignment="1">
      <alignment horizontal="left" vertical="center" wrapText="1"/>
    </xf>
    <xf numFmtId="49" fontId="27" fillId="0" borderId="10" xfId="0" applyNumberFormat="1" applyFont="1" applyBorder="1" applyAlignment="1">
      <alignment horizontal="left" vertical="center"/>
    </xf>
    <xf numFmtId="3" fontId="27" fillId="0" borderId="13" xfId="0" applyNumberFormat="1" applyFont="1" applyBorder="1" applyAlignment="1">
      <alignment horizontal="right" vertical="center"/>
    </xf>
    <xf numFmtId="0" fontId="26" fillId="0" borderId="37" xfId="0" applyFont="1" applyBorder="1" applyAlignment="1">
      <alignment horizontal="left" wrapText="1"/>
    </xf>
    <xf numFmtId="3" fontId="27" fillId="0" borderId="21" xfId="0" applyNumberFormat="1" applyFont="1" applyBorder="1" applyAlignment="1">
      <alignment horizontal="right" vertical="center"/>
    </xf>
    <xf numFmtId="3" fontId="27" fillId="0" borderId="14" xfId="0" applyNumberFormat="1" applyFont="1" applyBorder="1" applyAlignment="1">
      <alignment horizontal="right" vertical="center"/>
    </xf>
    <xf numFmtId="3" fontId="27" fillId="0" borderId="27" xfId="0" applyNumberFormat="1" applyFont="1" applyBorder="1" applyAlignment="1">
      <alignment horizontal="right" vertical="center"/>
    </xf>
    <xf numFmtId="3" fontId="27" fillId="0" borderId="34" xfId="0" applyNumberFormat="1" applyFont="1" applyBorder="1" applyAlignment="1">
      <alignment horizontal="right" vertical="center"/>
    </xf>
    <xf numFmtId="49" fontId="26" fillId="0" borderId="36" xfId="0" applyNumberFormat="1" applyFont="1" applyBorder="1" applyAlignment="1">
      <alignment horizontal="left" vertical="center"/>
    </xf>
    <xf numFmtId="3" fontId="26" fillId="0" borderId="22" xfId="0" applyNumberFormat="1" applyFont="1" applyBorder="1" applyAlignment="1">
      <alignment horizontal="right" vertical="center"/>
    </xf>
    <xf numFmtId="3" fontId="26" fillId="0" borderId="38" xfId="0" applyNumberFormat="1" applyFont="1" applyBorder="1" applyAlignment="1">
      <alignment horizontal="right" vertical="center"/>
    </xf>
    <xf numFmtId="3" fontId="26" fillId="0" borderId="39" xfId="0" applyNumberFormat="1" applyFont="1" applyBorder="1" applyAlignment="1">
      <alignment horizontal="right" vertical="center"/>
    </xf>
    <xf numFmtId="49" fontId="26" fillId="0" borderId="24" xfId="0" applyNumberFormat="1" applyFont="1" applyBorder="1" applyAlignment="1">
      <alignment horizontal="left" vertical="center"/>
    </xf>
    <xf numFmtId="3" fontId="26" fillId="0" borderId="42" xfId="0" applyNumberFormat="1" applyFont="1" applyBorder="1" applyAlignment="1">
      <alignment horizontal="right" vertical="center"/>
    </xf>
    <xf numFmtId="3" fontId="26" fillId="0" borderId="43" xfId="0" applyNumberFormat="1" applyFont="1" applyBorder="1" applyAlignment="1">
      <alignment horizontal="right" vertical="center"/>
    </xf>
    <xf numFmtId="3" fontId="26" fillId="0" borderId="29" xfId="0" applyNumberFormat="1" applyFont="1" applyBorder="1" applyAlignment="1">
      <alignment horizontal="right" vertical="center"/>
    </xf>
    <xf numFmtId="49" fontId="0" fillId="0" borderId="44" xfId="0" applyNumberFormat="1" applyBorder="1" applyAlignment="1">
      <alignment horizontal="left"/>
    </xf>
    <xf numFmtId="3" fontId="26" fillId="0" borderId="45" xfId="0" applyNumberFormat="1" applyFont="1" applyBorder="1" applyAlignment="1">
      <alignment horizontal="right" vertical="center"/>
    </xf>
    <xf numFmtId="3" fontId="26" fillId="0" borderId="30" xfId="0" applyNumberFormat="1" applyFont="1" applyBorder="1" applyAlignment="1">
      <alignment horizontal="right" vertical="center"/>
    </xf>
    <xf numFmtId="0" fontId="26" fillId="0" borderId="46" xfId="0" applyFont="1" applyBorder="1" applyAlignment="1">
      <alignment horizontal="left" vertical="center" wrapText="1"/>
    </xf>
    <xf numFmtId="3" fontId="26" fillId="0" borderId="47" xfId="0" applyNumberFormat="1" applyFont="1" applyBorder="1" applyAlignment="1">
      <alignment horizontal="right" vertical="center"/>
    </xf>
    <xf numFmtId="3" fontId="26" fillId="0" borderId="34" xfId="0" applyNumberFormat="1" applyFont="1" applyBorder="1" applyAlignment="1">
      <alignment horizontal="right" vertical="center"/>
    </xf>
    <xf numFmtId="3" fontId="26" fillId="0" borderId="48" xfId="0" applyNumberFormat="1" applyFont="1" applyBorder="1" applyAlignment="1">
      <alignment horizontal="right" vertical="center"/>
    </xf>
    <xf numFmtId="0" fontId="28" fillId="0" borderId="35" xfId="0" applyFont="1" applyBorder="1"/>
    <xf numFmtId="3" fontId="27" fillId="0" borderId="22" xfId="0" applyNumberFormat="1" applyFont="1" applyBorder="1" applyAlignment="1">
      <alignment horizontal="right" vertical="center"/>
    </xf>
    <xf numFmtId="3" fontId="27" fillId="0" borderId="38" xfId="0" applyNumberFormat="1" applyFont="1" applyBorder="1" applyAlignment="1">
      <alignment horizontal="right" vertical="center"/>
    </xf>
    <xf numFmtId="3" fontId="27" fillId="0" borderId="39" xfId="0" applyNumberFormat="1" applyFont="1" applyBorder="1" applyAlignment="1">
      <alignment horizontal="right" vertical="center"/>
    </xf>
    <xf numFmtId="3" fontId="27" fillId="0" borderId="27" xfId="0" applyNumberFormat="1" applyFont="1" applyBorder="1" applyAlignment="1">
      <alignment vertical="center"/>
    </xf>
    <xf numFmtId="3" fontId="27" fillId="0" borderId="26" xfId="0" applyNumberFormat="1" applyFont="1" applyBorder="1" applyAlignment="1">
      <alignment vertical="center"/>
    </xf>
    <xf numFmtId="3" fontId="27" fillId="0" borderId="28" xfId="0" applyNumberFormat="1" applyFont="1" applyBorder="1" applyAlignment="1">
      <alignment vertical="center"/>
    </xf>
    <xf numFmtId="3" fontId="27" fillId="0" borderId="13" xfId="0" applyNumberFormat="1" applyFont="1" applyBorder="1" applyAlignment="1">
      <alignment vertical="center"/>
    </xf>
    <xf numFmtId="3" fontId="27" fillId="0" borderId="38" xfId="0" applyNumberFormat="1" applyFont="1" applyBorder="1" applyAlignment="1">
      <alignment vertical="center"/>
    </xf>
    <xf numFmtId="3" fontId="27" fillId="0" borderId="22" xfId="0" applyNumberFormat="1" applyFont="1" applyBorder="1" applyAlignment="1">
      <alignment vertical="center"/>
    </xf>
    <xf numFmtId="3" fontId="27" fillId="0" borderId="39" xfId="0" applyNumberFormat="1" applyFont="1" applyBorder="1" applyAlignment="1">
      <alignment vertical="center"/>
    </xf>
    <xf numFmtId="3" fontId="26" fillId="0" borderId="43" xfId="0" applyNumberFormat="1" applyFont="1" applyBorder="1" applyAlignment="1">
      <alignment vertical="center"/>
    </xf>
    <xf numFmtId="3" fontId="26" fillId="0" borderId="29" xfId="0" applyNumberFormat="1" applyFont="1" applyBorder="1" applyAlignment="1">
      <alignment vertical="center"/>
    </xf>
    <xf numFmtId="3" fontId="26" fillId="0" borderId="49" xfId="0" applyNumberFormat="1" applyFont="1" applyBorder="1" applyAlignment="1">
      <alignment vertical="center"/>
    </xf>
    <xf numFmtId="0" fontId="27" fillId="0" borderId="12" xfId="0" applyFont="1" applyBorder="1" applyAlignment="1">
      <alignment horizontal="center" vertical="center" wrapText="1"/>
    </xf>
    <xf numFmtId="3" fontId="26" fillId="0" borderId="27" xfId="0" applyNumberFormat="1" applyFont="1" applyBorder="1" applyAlignment="1">
      <alignment vertical="center"/>
    </xf>
    <xf numFmtId="3" fontId="26" fillId="0" borderId="26" xfId="0" applyNumberFormat="1" applyFont="1" applyBorder="1" applyAlignment="1">
      <alignment vertical="center"/>
    </xf>
    <xf numFmtId="3" fontId="26" fillId="0" borderId="28" xfId="0" applyNumberFormat="1" applyFont="1" applyBorder="1" applyAlignment="1">
      <alignment vertical="center"/>
    </xf>
    <xf numFmtId="49" fontId="28" fillId="0" borderId="10" xfId="0" applyNumberFormat="1" applyFont="1" applyBorder="1" applyAlignment="1">
      <alignment horizontal="left" vertical="center"/>
    </xf>
    <xf numFmtId="49" fontId="27" fillId="0" borderId="12" xfId="0" applyNumberFormat="1" applyFont="1" applyBorder="1" applyAlignment="1">
      <alignment horizontal="center" vertical="center"/>
    </xf>
    <xf numFmtId="49" fontId="26" fillId="0" borderId="11" xfId="0" applyNumberFormat="1" applyFont="1" applyBorder="1" applyAlignment="1">
      <alignment horizontal="left" vertical="center"/>
    </xf>
    <xf numFmtId="3" fontId="21" fillId="0" borderId="13" xfId="0" applyNumberFormat="1" applyFont="1" applyBorder="1" applyAlignment="1">
      <alignment vertical="center"/>
    </xf>
    <xf numFmtId="3" fontId="21" fillId="0" borderId="14" xfId="0" applyNumberFormat="1" applyFont="1" applyBorder="1" applyAlignment="1">
      <alignment vertical="center"/>
    </xf>
    <xf numFmtId="10" fontId="21" fillId="0" borderId="14" xfId="0" applyNumberFormat="1" applyFont="1" applyBorder="1" applyAlignment="1">
      <alignment vertical="center"/>
    </xf>
    <xf numFmtId="49" fontId="27" fillId="0" borderId="11" xfId="0" applyNumberFormat="1" applyFont="1" applyBorder="1" applyAlignment="1">
      <alignment horizontal="center" vertical="center"/>
    </xf>
    <xf numFmtId="3" fontId="25" fillId="0" borderId="13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10" fontId="25" fillId="0" borderId="14" xfId="0" applyNumberFormat="1" applyFont="1" applyBorder="1" applyAlignment="1">
      <alignment vertical="center"/>
    </xf>
    <xf numFmtId="10" fontId="25" fillId="0" borderId="15" xfId="0" applyNumberFormat="1" applyFont="1" applyBorder="1" applyAlignment="1">
      <alignment vertical="center"/>
    </xf>
    <xf numFmtId="49" fontId="27" fillId="0" borderId="50" xfId="0" applyNumberFormat="1" applyFont="1" applyBorder="1" applyAlignment="1">
      <alignment horizontal="left" vertical="center"/>
    </xf>
    <xf numFmtId="0" fontId="27" fillId="0" borderId="50" xfId="0" applyFont="1" applyBorder="1" applyAlignment="1">
      <alignment horizontal="center" vertical="center" wrapText="1"/>
    </xf>
    <xf numFmtId="0" fontId="0" fillId="0" borderId="50" xfId="0" applyBorder="1"/>
    <xf numFmtId="49" fontId="26" fillId="0" borderId="0" xfId="0" applyNumberFormat="1" applyFont="1" applyAlignment="1">
      <alignment horizontal="left"/>
    </xf>
    <xf numFmtId="49" fontId="26" fillId="0" borderId="0" xfId="0" applyNumberFormat="1" applyFont="1" applyAlignment="1">
      <alignment horizontal="center"/>
    </xf>
    <xf numFmtId="0" fontId="26" fillId="0" borderId="0" xfId="0" applyFont="1" applyAlignment="1">
      <alignment vertical="center" wrapText="1"/>
    </xf>
    <xf numFmtId="0" fontId="21" fillId="0" borderId="0" xfId="0" applyFont="1"/>
    <xf numFmtId="3" fontId="26" fillId="0" borderId="0" xfId="0" applyNumberFormat="1" applyFont="1"/>
    <xf numFmtId="166" fontId="29" fillId="0" borderId="0" xfId="45" applyNumberFormat="1" applyFont="1" applyAlignment="1">
      <alignment horizontal="left" vertical="center"/>
    </xf>
    <xf numFmtId="49" fontId="27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3" fontId="30" fillId="0" borderId="0" xfId="0" applyNumberFormat="1" applyFont="1" applyAlignment="1">
      <alignment horizontal="right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3" fontId="27" fillId="0" borderId="13" xfId="0" applyNumberFormat="1" applyFont="1" applyBorder="1" applyAlignment="1">
      <alignment horizontal="center" vertical="center" wrapText="1"/>
    </xf>
    <xf numFmtId="3" fontId="27" fillId="0" borderId="14" xfId="0" applyNumberFormat="1" applyFont="1" applyBorder="1" applyAlignment="1">
      <alignment horizontal="center" vertical="center" wrapText="1"/>
    </xf>
    <xf numFmtId="3" fontId="27" fillId="0" borderId="15" xfId="0" applyNumberFormat="1" applyFont="1" applyBorder="1" applyAlignment="1">
      <alignment horizontal="center" vertical="center" wrapText="1"/>
    </xf>
    <xf numFmtId="49" fontId="27" fillId="0" borderId="12" xfId="0" applyNumberFormat="1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49" fontId="26" fillId="0" borderId="35" xfId="0" applyNumberFormat="1" applyFont="1" applyBorder="1" applyAlignment="1">
      <alignment horizontal="left" vertical="center"/>
    </xf>
    <xf numFmtId="49" fontId="26" fillId="0" borderId="36" xfId="0" applyNumberFormat="1" applyFont="1" applyBorder="1" applyAlignment="1">
      <alignment horizontal="center" vertical="center"/>
    </xf>
    <xf numFmtId="0" fontId="26" fillId="0" borderId="36" xfId="0" applyFont="1" applyBorder="1" applyAlignment="1">
      <alignment vertical="center" wrapText="1"/>
    </xf>
    <xf numFmtId="0" fontId="26" fillId="0" borderId="37" xfId="0" applyFont="1" applyBorder="1" applyAlignment="1">
      <alignment vertical="center" wrapText="1"/>
    </xf>
    <xf numFmtId="3" fontId="26" fillId="0" borderId="38" xfId="0" applyNumberFormat="1" applyFont="1" applyBorder="1" applyAlignment="1">
      <alignment vertical="center"/>
    </xf>
    <xf numFmtId="3" fontId="26" fillId="0" borderId="22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49" fontId="26" fillId="0" borderId="23" xfId="0" applyNumberFormat="1" applyFont="1" applyBorder="1" applyAlignment="1">
      <alignment horizontal="left" vertical="center"/>
    </xf>
    <xf numFmtId="49" fontId="26" fillId="0" borderId="24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vertical="center" wrapText="1"/>
    </xf>
    <xf numFmtId="0" fontId="26" fillId="0" borderId="24" xfId="35" applyFont="1" applyBorder="1" applyAlignment="1">
      <alignment vertical="center" wrapText="1"/>
    </xf>
    <xf numFmtId="0" fontId="26" fillId="0" borderId="37" xfId="35" applyFont="1" applyBorder="1" applyAlignment="1">
      <alignment vertical="center" wrapText="1"/>
    </xf>
    <xf numFmtId="0" fontId="26" fillId="0" borderId="24" xfId="0" applyFont="1" applyBorder="1" applyAlignment="1">
      <alignment vertical="center"/>
    </xf>
    <xf numFmtId="0" fontId="26" fillId="0" borderId="23" xfId="0" applyFont="1" applyBorder="1" applyAlignment="1">
      <alignment horizontal="left" vertical="center"/>
    </xf>
    <xf numFmtId="0" fontId="26" fillId="0" borderId="24" xfId="0" applyFont="1" applyBorder="1" applyAlignment="1">
      <alignment horizontal="left" vertical="center"/>
    </xf>
    <xf numFmtId="49" fontId="26" fillId="0" borderId="40" xfId="0" applyNumberFormat="1" applyFont="1" applyBorder="1" applyAlignment="1">
      <alignment horizontal="left" vertical="center"/>
    </xf>
    <xf numFmtId="49" fontId="26" fillId="0" borderId="41" xfId="0" applyNumberFormat="1" applyFont="1" applyBorder="1" applyAlignment="1">
      <alignment horizontal="center" vertical="center"/>
    </xf>
    <xf numFmtId="0" fontId="26" fillId="0" borderId="41" xfId="0" applyFont="1" applyBorder="1" applyAlignment="1">
      <alignment vertical="center" wrapText="1"/>
    </xf>
    <xf numFmtId="0" fontId="26" fillId="0" borderId="51" xfId="0" applyFont="1" applyBorder="1" applyAlignment="1">
      <alignment vertical="center" wrapText="1"/>
    </xf>
    <xf numFmtId="3" fontId="27" fillId="0" borderId="14" xfId="0" applyNumberFormat="1" applyFont="1" applyBorder="1" applyAlignment="1">
      <alignment vertical="center"/>
    </xf>
    <xf numFmtId="49" fontId="26" fillId="0" borderId="37" xfId="0" applyNumberFormat="1" applyFont="1" applyBorder="1" applyAlignment="1">
      <alignment horizontal="left" vertical="center"/>
    </xf>
    <xf numFmtId="0" fontId="26" fillId="0" borderId="23" xfId="0" applyFont="1" applyBorder="1" applyAlignment="1">
      <alignment horizontal="left" vertical="center" wrapText="1"/>
    </xf>
    <xf numFmtId="49" fontId="26" fillId="0" borderId="23" xfId="0" applyNumberFormat="1" applyFont="1" applyBorder="1" applyAlignment="1">
      <alignment horizontal="left" vertical="center" wrapText="1"/>
    </xf>
    <xf numFmtId="49" fontId="26" fillId="0" borderId="24" xfId="0" applyNumberFormat="1" applyFont="1" applyBorder="1" applyAlignment="1">
      <alignment horizontal="center" vertical="center" wrapText="1"/>
    </xf>
    <xf numFmtId="0" fontId="26" fillId="0" borderId="44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49" fontId="26" fillId="0" borderId="0" xfId="0" applyNumberFormat="1" applyFont="1" applyAlignment="1">
      <alignment horizontal="center" vertical="center" wrapText="1"/>
    </xf>
    <xf numFmtId="0" fontId="26" fillId="0" borderId="51" xfId="0" applyFont="1" applyBorder="1" applyAlignment="1">
      <alignment horizontal="left" vertical="center" wrapText="1"/>
    </xf>
    <xf numFmtId="0" fontId="26" fillId="0" borderId="37" xfId="0" applyFont="1" applyBorder="1" applyAlignment="1">
      <alignment horizontal="left" vertical="center"/>
    </xf>
    <xf numFmtId="0" fontId="26" fillId="0" borderId="40" xfId="0" applyFont="1" applyBorder="1" applyAlignment="1">
      <alignment horizontal="left" vertical="center"/>
    </xf>
    <xf numFmtId="0" fontId="26" fillId="0" borderId="41" xfId="0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3" fontId="34" fillId="0" borderId="13" xfId="0" applyNumberFormat="1" applyFont="1" applyBorder="1" applyAlignment="1">
      <alignment vertical="center"/>
    </xf>
    <xf numFmtId="3" fontId="34" fillId="0" borderId="14" xfId="0" applyNumberFormat="1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49" fontId="27" fillId="0" borderId="50" xfId="0" applyNumberFormat="1" applyFont="1" applyBorder="1" applyAlignment="1">
      <alignment horizontal="center" vertical="center"/>
    </xf>
    <xf numFmtId="3" fontId="27" fillId="0" borderId="52" xfId="0" applyNumberFormat="1" applyFont="1" applyBorder="1" applyAlignment="1">
      <alignment vertical="center"/>
    </xf>
    <xf numFmtId="49" fontId="26" fillId="0" borderId="33" xfId="0" applyNumberFormat="1" applyFont="1" applyBorder="1" applyAlignment="1">
      <alignment horizontal="left" vertical="center"/>
    </xf>
    <xf numFmtId="3" fontId="27" fillId="0" borderId="43" xfId="0" applyNumberFormat="1" applyFont="1" applyBorder="1" applyAlignment="1">
      <alignment vertical="center"/>
    </xf>
    <xf numFmtId="3" fontId="27" fillId="0" borderId="29" xfId="0" applyNumberFormat="1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3" fontId="27" fillId="0" borderId="0" xfId="0" applyNumberFormat="1" applyFont="1" applyAlignment="1">
      <alignment horizontal="center" vertical="center" wrapText="1"/>
    </xf>
    <xf numFmtId="0" fontId="31" fillId="0" borderId="0" xfId="45" applyFont="1" applyAlignment="1">
      <alignment horizontal="center"/>
    </xf>
    <xf numFmtId="3" fontId="27" fillId="0" borderId="0" xfId="0" applyNumberFormat="1" applyFont="1" applyAlignment="1">
      <alignment vertical="center"/>
    </xf>
    <xf numFmtId="10" fontId="27" fillId="0" borderId="0" xfId="0" applyNumberFormat="1" applyFont="1" applyAlignment="1">
      <alignment vertical="center"/>
    </xf>
    <xf numFmtId="166" fontId="29" fillId="0" borderId="53" xfId="45" applyNumberFormat="1" applyFont="1" applyBorder="1" applyAlignment="1">
      <alignment horizontal="left" vertical="center"/>
    </xf>
    <xf numFmtId="0" fontId="16" fillId="0" borderId="0" xfId="45"/>
    <xf numFmtId="3" fontId="35" fillId="0" borderId="0" xfId="45" applyNumberFormat="1" applyFont="1"/>
    <xf numFmtId="166" fontId="35" fillId="0" borderId="0" xfId="45" applyNumberFormat="1" applyFont="1"/>
    <xf numFmtId="10" fontId="26" fillId="0" borderId="0" xfId="0" applyNumberFormat="1" applyFont="1" applyAlignment="1">
      <alignment vertical="center"/>
    </xf>
    <xf numFmtId="0" fontId="36" fillId="0" borderId="13" xfId="45" applyFont="1" applyBorder="1" applyAlignment="1">
      <alignment horizontal="left" vertical="center" wrapText="1" indent="1"/>
    </xf>
    <xf numFmtId="0" fontId="37" fillId="0" borderId="54" xfId="45" applyFont="1" applyBorder="1" applyAlignment="1">
      <alignment horizontal="left" vertical="center" wrapText="1"/>
    </xf>
    <xf numFmtId="166" fontId="37" fillId="0" borderId="14" xfId="45" applyNumberFormat="1" applyFont="1" applyBorder="1" applyAlignment="1">
      <alignment horizontal="right" vertical="center" wrapText="1"/>
    </xf>
    <xf numFmtId="0" fontId="38" fillId="0" borderId="0" xfId="45" applyFont="1"/>
    <xf numFmtId="0" fontId="31" fillId="0" borderId="0" xfId="45" applyFont="1" applyAlignment="1">
      <alignment horizontal="center" wrapText="1"/>
    </xf>
    <xf numFmtId="166" fontId="39" fillId="0" borderId="0" xfId="45" applyNumberFormat="1" applyFont="1" applyAlignment="1">
      <alignment horizontal="left" vertical="center"/>
    </xf>
    <xf numFmtId="0" fontId="36" fillId="0" borderId="20" xfId="45" applyFont="1" applyBorder="1" applyAlignment="1">
      <alignment horizontal="left" vertical="center" wrapText="1" indent="1"/>
    </xf>
    <xf numFmtId="0" fontId="40" fillId="0" borderId="55" xfId="45" applyFont="1" applyBorder="1" applyAlignment="1">
      <alignment horizontal="left" vertical="center" wrapText="1"/>
    </xf>
    <xf numFmtId="166" fontId="37" fillId="0" borderId="21" xfId="45" applyNumberFormat="1" applyFont="1" applyBorder="1" applyAlignment="1">
      <alignment horizontal="right" vertical="center" wrapText="1"/>
    </xf>
    <xf numFmtId="49" fontId="36" fillId="0" borderId="26" xfId="45" applyNumberFormat="1" applyFont="1" applyBorder="1" applyAlignment="1">
      <alignment horizontal="left" vertical="center" wrapText="1" indent="1"/>
    </xf>
    <xf numFmtId="0" fontId="40" fillId="0" borderId="56" xfId="45" applyFont="1" applyBorder="1" applyAlignment="1">
      <alignment horizontal="left" vertical="center" wrapText="1"/>
    </xf>
    <xf numFmtId="166" fontId="37" fillId="0" borderId="27" xfId="45" applyNumberFormat="1" applyFont="1" applyBorder="1" applyAlignment="1">
      <alignment horizontal="right" vertical="center" wrapText="1"/>
    </xf>
    <xf numFmtId="49" fontId="36" fillId="0" borderId="47" xfId="45" applyNumberFormat="1" applyFont="1" applyBorder="1" applyAlignment="1">
      <alignment horizontal="left" vertical="center" wrapText="1" indent="1"/>
    </xf>
    <xf numFmtId="0" fontId="40" fillId="0" borderId="57" xfId="45" applyFont="1" applyBorder="1" applyAlignment="1">
      <alignment horizontal="left" vertical="center" wrapText="1"/>
    </xf>
    <xf numFmtId="166" fontId="37" fillId="0" borderId="58" xfId="45" applyNumberFormat="1" applyFont="1" applyBorder="1" applyAlignment="1">
      <alignment horizontal="right" vertical="center" wrapText="1"/>
    </xf>
    <xf numFmtId="49" fontId="35" fillId="0" borderId="0" xfId="45" applyNumberFormat="1" applyFont="1" applyAlignment="1">
      <alignment horizontal="left" vertical="center" wrapText="1" indent="1"/>
    </xf>
    <xf numFmtId="0" fontId="35" fillId="0" borderId="0" xfId="45" applyFont="1" applyAlignment="1">
      <alignment horizontal="left" indent="5"/>
    </xf>
    <xf numFmtId="3" fontId="35" fillId="0" borderId="0" xfId="45" applyNumberFormat="1" applyFont="1" applyAlignment="1">
      <alignment horizontal="right" vertical="center" wrapText="1"/>
    </xf>
    <xf numFmtId="3" fontId="37" fillId="0" borderId="21" xfId="45" applyNumberFormat="1" applyFont="1" applyBorder="1" applyAlignment="1">
      <alignment horizontal="right" vertical="center" wrapText="1"/>
    </xf>
    <xf numFmtId="3" fontId="37" fillId="0" borderId="27" xfId="45" applyNumberFormat="1" applyFont="1" applyBorder="1" applyAlignment="1">
      <alignment horizontal="right" vertical="center" wrapText="1"/>
    </xf>
    <xf numFmtId="0" fontId="40" fillId="0" borderId="59" xfId="45" applyFont="1" applyBorder="1" applyAlignment="1">
      <alignment horizontal="left" vertical="center" wrapText="1"/>
    </xf>
    <xf numFmtId="3" fontId="37" fillId="0" borderId="34" xfId="45" applyNumberFormat="1" applyFont="1" applyBorder="1" applyAlignment="1">
      <alignment horizontal="right" vertical="center" wrapText="1"/>
    </xf>
    <xf numFmtId="0" fontId="35" fillId="0" borderId="0" xfId="45" applyFont="1"/>
    <xf numFmtId="0" fontId="39" fillId="0" borderId="0" xfId="45" applyFont="1" applyAlignment="1">
      <alignment horizontal="left"/>
    </xf>
    <xf numFmtId="0" fontId="37" fillId="0" borderId="20" xfId="45" applyFont="1" applyBorder="1" applyAlignment="1">
      <alignment horizontal="center"/>
    </xf>
    <xf numFmtId="0" fontId="37" fillId="0" borderId="21" xfId="45" applyFont="1" applyBorder="1" applyAlignment="1">
      <alignment horizontal="left"/>
    </xf>
    <xf numFmtId="3" fontId="37" fillId="0" borderId="21" xfId="45" applyNumberFormat="1" applyFont="1" applyBorder="1"/>
    <xf numFmtId="49" fontId="41" fillId="0" borderId="40" xfId="45" applyNumberFormat="1" applyFont="1" applyBorder="1" applyAlignment="1">
      <alignment horizontal="left" vertical="center" wrapText="1"/>
    </xf>
    <xf numFmtId="0" fontId="40" fillId="0" borderId="41" xfId="45" applyFont="1" applyBorder="1" applyAlignment="1">
      <alignment horizontal="left"/>
    </xf>
    <xf numFmtId="3" fontId="40" fillId="0" borderId="41" xfId="45" applyNumberFormat="1" applyFont="1" applyBorder="1"/>
    <xf numFmtId="3" fontId="40" fillId="0" borderId="56" xfId="45" applyNumberFormat="1" applyFont="1" applyBorder="1"/>
    <xf numFmtId="3" fontId="40" fillId="0" borderId="27" xfId="45" applyNumberFormat="1" applyFont="1" applyBorder="1"/>
    <xf numFmtId="49" fontId="41" fillId="0" borderId="0" xfId="45" applyNumberFormat="1" applyFont="1" applyAlignment="1">
      <alignment horizontal="left" vertical="center" wrapText="1"/>
    </xf>
    <xf numFmtId="0" fontId="41" fillId="0" borderId="0" xfId="45" applyFont="1" applyAlignment="1">
      <alignment horizontal="left"/>
    </xf>
    <xf numFmtId="3" fontId="40" fillId="0" borderId="0" xfId="45" applyNumberFormat="1" applyFont="1"/>
    <xf numFmtId="49" fontId="40" fillId="0" borderId="0" xfId="45" applyNumberFormat="1" applyFont="1" applyAlignment="1">
      <alignment horizontal="left"/>
    </xf>
    <xf numFmtId="49" fontId="40" fillId="0" borderId="0" xfId="45" applyNumberFormat="1" applyFont="1" applyAlignment="1">
      <alignment horizontal="left" vertical="center" wrapText="1"/>
    </xf>
    <xf numFmtId="0" fontId="40" fillId="0" borderId="0" xfId="45" applyFont="1" applyAlignment="1">
      <alignment horizontal="left"/>
    </xf>
    <xf numFmtId="166" fontId="40" fillId="0" borderId="0" xfId="45" applyNumberFormat="1" applyFont="1"/>
    <xf numFmtId="166" fontId="40" fillId="0" borderId="56" xfId="45" applyNumberFormat="1" applyFont="1" applyBorder="1"/>
    <xf numFmtId="166" fontId="40" fillId="0" borderId="27" xfId="45" applyNumberFormat="1" applyFont="1" applyBorder="1"/>
    <xf numFmtId="49" fontId="41" fillId="0" borderId="0" xfId="45" applyNumberFormat="1" applyFont="1" applyAlignment="1">
      <alignment horizontal="left"/>
    </xf>
    <xf numFmtId="3" fontId="40" fillId="0" borderId="59" xfId="45" applyNumberFormat="1" applyFont="1" applyBorder="1"/>
    <xf numFmtId="3" fontId="40" fillId="0" borderId="34" xfId="45" applyNumberFormat="1" applyFont="1" applyBorder="1"/>
    <xf numFmtId="0" fontId="14" fillId="0" borderId="0" xfId="42" applyAlignment="1">
      <alignment vertical="center"/>
    </xf>
    <xf numFmtId="0" fontId="44" fillId="0" borderId="0" xfId="42" applyFont="1" applyAlignment="1">
      <alignment horizontal="center" vertical="center"/>
    </xf>
    <xf numFmtId="0" fontId="45" fillId="0" borderId="10" xfId="42" applyFont="1" applyBorder="1" applyAlignment="1">
      <alignment horizontal="center" vertical="center"/>
    </xf>
    <xf numFmtId="0" fontId="45" fillId="0" borderId="15" xfId="42" applyFont="1" applyBorder="1" applyAlignment="1">
      <alignment horizontal="center" vertical="center"/>
    </xf>
    <xf numFmtId="0" fontId="45" fillId="0" borderId="11" xfId="42" applyFont="1" applyBorder="1" applyAlignment="1">
      <alignment horizontal="center" vertical="center"/>
    </xf>
    <xf numFmtId="0" fontId="14" fillId="0" borderId="35" xfId="42" applyBorder="1" applyAlignment="1">
      <alignment vertical="center" wrapText="1"/>
    </xf>
    <xf numFmtId="3" fontId="14" fillId="0" borderId="22" xfId="42" applyNumberFormat="1" applyBorder="1" applyAlignment="1">
      <alignment vertical="center"/>
    </xf>
    <xf numFmtId="0" fontId="14" fillId="0" borderId="36" xfId="42" applyBorder="1" applyAlignment="1">
      <alignment vertical="center" wrapText="1"/>
    </xf>
    <xf numFmtId="0" fontId="14" fillId="0" borderId="23" xfId="42" applyBorder="1" applyAlignment="1">
      <alignment vertical="center" wrapText="1"/>
    </xf>
    <xf numFmtId="3" fontId="14" fillId="0" borderId="27" xfId="42" applyNumberFormat="1" applyBorder="1" applyAlignment="1">
      <alignment vertical="center"/>
    </xf>
    <xf numFmtId="0" fontId="14" fillId="0" borderId="24" xfId="42" applyBorder="1" applyAlignment="1">
      <alignment vertical="center" wrapText="1"/>
    </xf>
    <xf numFmtId="0" fontId="14" fillId="0" borderId="40" xfId="42" applyBorder="1" applyAlignment="1">
      <alignment vertical="center" wrapText="1"/>
    </xf>
    <xf numFmtId="3" fontId="14" fillId="0" borderId="29" xfId="42" applyNumberFormat="1" applyBorder="1" applyAlignment="1">
      <alignment vertical="center"/>
    </xf>
    <xf numFmtId="0" fontId="14" fillId="0" borderId="41" xfId="42" applyBorder="1" applyAlignment="1">
      <alignment vertical="center" wrapText="1"/>
    </xf>
    <xf numFmtId="0" fontId="14" fillId="0" borderId="31" xfId="42" applyBorder="1" applyAlignment="1">
      <alignment vertical="center" wrapText="1"/>
    </xf>
    <xf numFmtId="3" fontId="14" fillId="0" borderId="34" xfId="42" applyNumberFormat="1" applyBorder="1" applyAlignment="1">
      <alignment vertical="center"/>
    </xf>
    <xf numFmtId="0" fontId="14" fillId="0" borderId="32" xfId="42" applyBorder="1" applyAlignment="1">
      <alignment vertical="center" wrapText="1"/>
    </xf>
    <xf numFmtId="0" fontId="45" fillId="0" borderId="60" xfId="42" applyFont="1" applyBorder="1" applyAlignment="1">
      <alignment vertical="center" wrapText="1"/>
    </xf>
    <xf numFmtId="0" fontId="14" fillId="0" borderId="35" xfId="42" applyBorder="1" applyAlignment="1">
      <alignment vertical="center"/>
    </xf>
    <xf numFmtId="0" fontId="14" fillId="0" borderId="40" xfId="42" applyBorder="1" applyAlignment="1">
      <alignment vertical="center"/>
    </xf>
    <xf numFmtId="3" fontId="45" fillId="0" borderId="14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6" fillId="0" borderId="53" xfId="42" applyFont="1" applyBorder="1" applyAlignment="1">
      <alignment horizontal="center" vertical="center"/>
    </xf>
    <xf numFmtId="0" fontId="46" fillId="0" borderId="53" xfId="42" applyFont="1" applyBorder="1" applyAlignment="1">
      <alignment horizontal="center" vertical="center" wrapText="1"/>
    </xf>
    <xf numFmtId="3" fontId="14" fillId="0" borderId="0" xfId="42" applyNumberFormat="1" applyAlignment="1">
      <alignment vertical="center"/>
    </xf>
    <xf numFmtId="0" fontId="14" fillId="0" borderId="18" xfId="42" applyBorder="1" applyAlignment="1">
      <alignment vertical="center" wrapText="1"/>
    </xf>
    <xf numFmtId="0" fontId="15" fillId="0" borderId="40" xfId="42" applyFont="1" applyBorder="1" applyAlignment="1">
      <alignment vertical="center" wrapText="1"/>
    </xf>
    <xf numFmtId="0" fontId="45" fillId="0" borderId="10" xfId="42" applyFont="1" applyBorder="1" applyAlignment="1">
      <alignment vertical="center" wrapText="1"/>
    </xf>
    <xf numFmtId="0" fontId="45" fillId="0" borderId="11" xfId="42" applyFont="1" applyBorder="1" applyAlignment="1">
      <alignment vertical="center"/>
    </xf>
    <xf numFmtId="3" fontId="14" fillId="0" borderId="14" xfId="42" applyNumberFormat="1" applyBorder="1" applyAlignment="1">
      <alignment vertical="center"/>
    </xf>
    <xf numFmtId="3" fontId="46" fillId="0" borderId="29" xfId="42" applyNumberFormat="1" applyFont="1" applyBorder="1" applyAlignment="1">
      <alignment vertical="center"/>
    </xf>
    <xf numFmtId="0" fontId="14" fillId="0" borderId="41" xfId="42" applyBorder="1" applyAlignment="1">
      <alignment vertical="center"/>
    </xf>
    <xf numFmtId="0" fontId="45" fillId="0" borderId="10" xfId="42" applyFont="1" applyBorder="1" applyAlignment="1">
      <alignment vertical="center"/>
    </xf>
    <xf numFmtId="0" fontId="42" fillId="0" borderId="60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3" fontId="46" fillId="0" borderId="58" xfId="42" applyNumberFormat="1" applyFont="1" applyBorder="1" applyAlignment="1">
      <alignment vertical="center"/>
    </xf>
    <xf numFmtId="3" fontId="27" fillId="0" borderId="14" xfId="0" applyNumberFormat="1" applyFont="1" applyBorder="1" applyAlignment="1">
      <alignment horizontal="right" vertical="center" wrapText="1"/>
    </xf>
    <xf numFmtId="49" fontId="27" fillId="0" borderId="0" xfId="0" applyNumberFormat="1" applyFont="1" applyAlignment="1">
      <alignment horizontal="left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0" fontId="27" fillId="0" borderId="14" xfId="0" applyNumberFormat="1" applyFont="1" applyBorder="1" applyAlignment="1">
      <alignment horizontal="center" vertical="center" wrapText="1"/>
    </xf>
    <xf numFmtId="3" fontId="26" fillId="0" borderId="30" xfId="0" applyNumberFormat="1" applyFont="1" applyBorder="1" applyAlignment="1">
      <alignment vertical="center"/>
    </xf>
    <xf numFmtId="3" fontId="26" fillId="0" borderId="45" xfId="0" applyNumberFormat="1" applyFont="1" applyBorder="1" applyAlignment="1">
      <alignment vertical="center"/>
    </xf>
    <xf numFmtId="49" fontId="26" fillId="0" borderId="44" xfId="0" applyNumberFormat="1" applyFont="1" applyBorder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3" fontId="26" fillId="0" borderId="61" xfId="0" applyNumberFormat="1" applyFont="1" applyBorder="1" applyAlignment="1">
      <alignment vertical="center"/>
    </xf>
    <xf numFmtId="49" fontId="26" fillId="0" borderId="50" xfId="0" applyNumberFormat="1" applyFont="1" applyBorder="1" applyAlignment="1">
      <alignment horizontal="left" vertical="center"/>
    </xf>
    <xf numFmtId="3" fontId="21" fillId="0" borderId="50" xfId="0" applyNumberFormat="1" applyFont="1" applyBorder="1" applyAlignment="1">
      <alignment vertical="center"/>
    </xf>
    <xf numFmtId="3" fontId="26" fillId="0" borderId="50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166" fontId="16" fillId="0" borderId="0" xfId="0" applyNumberFormat="1" applyFont="1" applyAlignment="1">
      <alignment horizontal="left" vertical="center" wrapText="1"/>
    </xf>
    <xf numFmtId="166" fontId="16" fillId="0" borderId="0" xfId="0" applyNumberFormat="1" applyFont="1" applyAlignment="1">
      <alignment vertical="center" wrapText="1"/>
    </xf>
    <xf numFmtId="166" fontId="49" fillId="0" borderId="0" xfId="0" applyNumberFormat="1" applyFont="1" applyAlignment="1" applyProtection="1">
      <alignment vertical="center" wrapText="1"/>
      <protection locked="0"/>
    </xf>
    <xf numFmtId="0" fontId="50" fillId="0" borderId="0" xfId="0" applyFont="1" applyAlignment="1" applyProtection="1">
      <alignment horizontal="right" vertical="top"/>
      <protection locked="0"/>
    </xf>
    <xf numFmtId="0" fontId="52" fillId="0" borderId="0" xfId="0" applyFont="1" applyAlignment="1" applyProtection="1">
      <alignment horizontal="right" vertical="top"/>
      <protection locked="0"/>
    </xf>
    <xf numFmtId="0" fontId="31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54" fillId="0" borderId="0" xfId="0" applyFont="1" applyAlignment="1">
      <alignment vertical="center"/>
    </xf>
    <xf numFmtId="0" fontId="55" fillId="0" borderId="0" xfId="0" applyFont="1" applyAlignment="1">
      <alignment horizontal="right"/>
    </xf>
    <xf numFmtId="0" fontId="49" fillId="0" borderId="62" xfId="0" applyFont="1" applyBorder="1" applyAlignment="1">
      <alignment horizontal="center" vertical="center" wrapText="1"/>
    </xf>
    <xf numFmtId="0" fontId="49" fillId="0" borderId="63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41" xfId="0" applyFont="1" applyBorder="1" applyAlignment="1">
      <alignment horizontal="center" vertical="center" wrapText="1"/>
    </xf>
    <xf numFmtId="166" fontId="49" fillId="0" borderId="43" xfId="0" applyNumberFormat="1" applyFont="1" applyBorder="1" applyAlignment="1">
      <alignment horizontal="center" vertical="center" wrapText="1"/>
    </xf>
    <xf numFmtId="166" fontId="49" fillId="0" borderId="30" xfId="0" applyNumberFormat="1" applyFont="1" applyBorder="1" applyAlignment="1">
      <alignment horizontal="center" vertical="center" wrapText="1"/>
    </xf>
    <xf numFmtId="166" fontId="49" fillId="0" borderId="63" xfId="0" applyNumberFormat="1" applyFont="1" applyBorder="1" applyAlignment="1">
      <alignment horizontal="center" vertical="center" wrapText="1"/>
    </xf>
    <xf numFmtId="166" fontId="49" fillId="0" borderId="52" xfId="0" applyNumberFormat="1" applyFont="1" applyBorder="1" applyAlignment="1">
      <alignment horizontal="center" vertical="center" wrapText="1"/>
    </xf>
    <xf numFmtId="0" fontId="56" fillId="0" borderId="1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left" vertical="center" wrapText="1" indent="1"/>
    </xf>
    <xf numFmtId="166" fontId="36" fillId="0" borderId="13" xfId="0" applyNumberFormat="1" applyFont="1" applyBorder="1" applyAlignment="1">
      <alignment horizontal="right" vertical="center" wrapText="1" indent="1"/>
    </xf>
    <xf numFmtId="166" fontId="36" fillId="0" borderId="14" xfId="0" applyNumberFormat="1" applyFont="1" applyBorder="1" applyAlignment="1">
      <alignment horizontal="right" vertical="center" wrapText="1" indent="1"/>
    </xf>
    <xf numFmtId="166" fontId="36" fillId="0" borderId="15" xfId="0" applyNumberFormat="1" applyFont="1" applyBorder="1" applyAlignment="1">
      <alignment horizontal="right" vertical="center" wrapText="1" indent="1"/>
    </xf>
    <xf numFmtId="0" fontId="41" fillId="0" borderId="0" xfId="0" applyFont="1" applyAlignment="1">
      <alignment vertical="center" wrapText="1"/>
    </xf>
    <xf numFmtId="0" fontId="36" fillId="0" borderId="26" xfId="0" applyFont="1" applyBorder="1" applyAlignment="1">
      <alignment horizontal="center" vertical="center" wrapText="1"/>
    </xf>
    <xf numFmtId="49" fontId="35" fillId="0" borderId="27" xfId="0" applyNumberFormat="1" applyFont="1" applyBorder="1" applyAlignment="1">
      <alignment horizontal="center" vertical="center" wrapText="1"/>
    </xf>
    <xf numFmtId="0" fontId="35" fillId="0" borderId="39" xfId="45" applyFont="1" applyBorder="1" applyAlignment="1">
      <alignment horizontal="left" vertical="center" wrapText="1" indent="1"/>
    </xf>
    <xf numFmtId="166" fontId="35" fillId="0" borderId="26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42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35" fillId="0" borderId="28" xfId="45" applyFont="1" applyBorder="1" applyAlignment="1">
      <alignment horizontal="left" vertical="center" wrapText="1" indent="1"/>
    </xf>
    <xf numFmtId="0" fontId="36" fillId="0" borderId="14" xfId="45" applyFont="1" applyBorder="1" applyAlignment="1">
      <alignment horizontal="left" vertical="center" wrapText="1" indent="1"/>
    </xf>
    <xf numFmtId="0" fontId="36" fillId="0" borderId="16" xfId="45" applyFont="1" applyBorder="1" applyAlignment="1">
      <alignment horizontal="left" vertical="center" wrapText="1" indent="1"/>
    </xf>
    <xf numFmtId="0" fontId="36" fillId="0" borderId="20" xfId="0" applyFont="1" applyBorder="1" applyAlignment="1">
      <alignment horizontal="center" vertical="center" wrapText="1"/>
    </xf>
    <xf numFmtId="49" fontId="35" fillId="0" borderId="21" xfId="0" applyNumberFormat="1" applyFont="1" applyBorder="1" applyAlignment="1">
      <alignment horizontal="center" vertical="center" wrapText="1"/>
    </xf>
    <xf numFmtId="0" fontId="35" fillId="0" borderId="64" xfId="45" applyFont="1" applyBorder="1" applyAlignment="1">
      <alignment horizontal="left" vertical="center" wrapText="1" indent="1"/>
    </xf>
    <xf numFmtId="166" fontId="35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1" xfId="0" applyNumberFormat="1" applyFont="1" applyBorder="1" applyAlignment="1" applyProtection="1">
      <alignment horizontal="right" vertical="center" wrapText="1" indent="1"/>
      <protection locked="0"/>
    </xf>
    <xf numFmtId="0" fontId="36" fillId="0" borderId="61" xfId="0" applyFont="1" applyBorder="1" applyAlignment="1">
      <alignment horizontal="center" vertical="center" wrapText="1"/>
    </xf>
    <xf numFmtId="49" fontId="35" fillId="0" borderId="22" xfId="0" applyNumberFormat="1" applyFont="1" applyBorder="1" applyAlignment="1">
      <alignment horizontal="center" vertical="center" wrapText="1"/>
    </xf>
    <xf numFmtId="0" fontId="35" fillId="0" borderId="65" xfId="45" applyFont="1" applyBorder="1" applyAlignment="1">
      <alignment horizontal="left" vertical="center" wrapText="1" indent="1"/>
    </xf>
    <xf numFmtId="166" fontId="35" fillId="0" borderId="61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58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36" fillId="0" borderId="14" xfId="45" applyNumberFormat="1" applyFont="1" applyBorder="1" applyAlignment="1">
      <alignment horizontal="left" vertical="center" wrapText="1" indent="1"/>
    </xf>
    <xf numFmtId="0" fontId="57" fillId="0" borderId="63" xfId="0" applyFont="1" applyBorder="1" applyAlignment="1">
      <alignment horizontal="center" vertical="center" wrapText="1"/>
    </xf>
    <xf numFmtId="0" fontId="36" fillId="0" borderId="62" xfId="45" applyFont="1" applyBorder="1" applyAlignment="1">
      <alignment horizontal="left" vertical="center" wrapText="1" indent="1"/>
    </xf>
    <xf numFmtId="166" fontId="36" fillId="0" borderId="63" xfId="0" applyNumberFormat="1" applyFont="1" applyBorder="1" applyAlignment="1">
      <alignment horizontal="right" vertical="center" wrapText="1" indent="1"/>
    </xf>
    <xf numFmtId="166" fontId="36" fillId="0" borderId="52" xfId="0" applyNumberFormat="1" applyFont="1" applyBorder="1" applyAlignment="1">
      <alignment horizontal="right" vertical="center" wrapText="1" indent="1"/>
    </xf>
    <xf numFmtId="49" fontId="35" fillId="0" borderId="21" xfId="45" applyNumberFormat="1" applyFont="1" applyBorder="1" applyAlignment="1">
      <alignment horizontal="left" vertical="center" wrapText="1" indent="1"/>
    </xf>
    <xf numFmtId="166" fontId="35" fillId="0" borderId="38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66" xfId="0" applyNumberFormat="1" applyFont="1" applyBorder="1" applyAlignment="1" applyProtection="1">
      <alignment horizontal="right" vertical="center" wrapText="1" indent="1"/>
      <protection locked="0"/>
    </xf>
    <xf numFmtId="0" fontId="36" fillId="0" borderId="45" xfId="0" applyFont="1" applyBorder="1" applyAlignment="1">
      <alignment horizontal="center" vertical="center" wrapText="1"/>
    </xf>
    <xf numFmtId="49" fontId="35" fillId="0" borderId="30" xfId="45" applyNumberFormat="1" applyFont="1" applyBorder="1" applyAlignment="1">
      <alignment horizontal="left" vertical="center" wrapText="1" indent="1"/>
    </xf>
    <xf numFmtId="166" fontId="35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0" xfId="0" applyNumberFormat="1" applyFont="1" applyBorder="1" applyAlignment="1" applyProtection="1">
      <alignment horizontal="right" vertical="center" wrapText="1" indent="1"/>
      <protection locked="0"/>
    </xf>
    <xf numFmtId="0" fontId="40" fillId="0" borderId="47" xfId="0" applyFont="1" applyBorder="1" applyAlignment="1">
      <alignment vertical="center" wrapText="1"/>
    </xf>
    <xf numFmtId="49" fontId="35" fillId="0" borderId="34" xfId="45" applyNumberFormat="1" applyFont="1" applyBorder="1" applyAlignment="1">
      <alignment horizontal="left" vertical="center" wrapText="1" indent="1"/>
    </xf>
    <xf numFmtId="0" fontId="35" fillId="0" borderId="67" xfId="45" applyFont="1" applyBorder="1" applyAlignment="1">
      <alignment horizontal="left" vertical="center" wrapText="1" indent="1"/>
    </xf>
    <xf numFmtId="166" fontId="35" fillId="0" borderId="47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34" xfId="0" applyNumberFormat="1" applyFont="1" applyBorder="1" applyAlignment="1" applyProtection="1">
      <alignment horizontal="right" vertical="center" wrapText="1" indent="1"/>
      <protection locked="0"/>
    </xf>
    <xf numFmtId="0" fontId="57" fillId="0" borderId="13" xfId="0" applyFont="1" applyBorder="1" applyAlignment="1">
      <alignment horizontal="center" vertical="center" wrapText="1"/>
    </xf>
    <xf numFmtId="0" fontId="58" fillId="0" borderId="54" xfId="0" applyFont="1" applyBorder="1" applyAlignment="1">
      <alignment horizontal="center" wrapText="1"/>
    </xf>
    <xf numFmtId="0" fontId="36" fillId="0" borderId="11" xfId="45" applyFont="1" applyBorder="1" applyAlignment="1">
      <alignment horizontal="left" vertical="center" wrapText="1" indent="1"/>
    </xf>
    <xf numFmtId="0" fontId="52" fillId="0" borderId="54" xfId="0" applyFont="1" applyBorder="1" applyAlignment="1">
      <alignment horizontal="center" wrapText="1"/>
    </xf>
    <xf numFmtId="0" fontId="50" fillId="0" borderId="11" xfId="0" applyFont="1" applyBorder="1" applyAlignment="1">
      <alignment horizontal="left" wrapText="1" indent="1"/>
    </xf>
    <xf numFmtId="0" fontId="35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 indent="1"/>
    </xf>
    <xf numFmtId="166" fontId="36" fillId="0" borderId="0" xfId="0" applyNumberFormat="1" applyFont="1" applyAlignment="1">
      <alignment horizontal="right" vertical="center" wrapText="1" indent="1"/>
    </xf>
    <xf numFmtId="0" fontId="59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right" vertical="center" wrapText="1" inden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36" fillId="0" borderId="38" xfId="0" applyFont="1" applyBorder="1" applyAlignment="1">
      <alignment horizontal="center" vertical="center" wrapText="1"/>
    </xf>
    <xf numFmtId="49" fontId="35" fillId="0" borderId="22" xfId="45" applyNumberFormat="1" applyFont="1" applyBorder="1" applyAlignment="1">
      <alignment horizontal="left" vertical="center" wrapText="1" indent="1"/>
    </xf>
    <xf numFmtId="49" fontId="35" fillId="0" borderId="27" xfId="45" applyNumberFormat="1" applyFont="1" applyBorder="1" applyAlignment="1">
      <alignment horizontal="left" vertical="center" wrapText="1" indent="1"/>
    </xf>
    <xf numFmtId="0" fontId="35" fillId="0" borderId="14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left" vertical="center" wrapText="1" indent="1"/>
    </xf>
    <xf numFmtId="0" fontId="0" fillId="0" borderId="45" xfId="0" applyBorder="1" applyAlignment="1">
      <alignment horizontal="right" vertical="center" wrapText="1" indent="1"/>
    </xf>
    <xf numFmtId="0" fontId="0" fillId="0" borderId="30" xfId="0" applyBorder="1" applyAlignment="1">
      <alignment horizontal="right" vertical="center" wrapText="1" indent="1"/>
    </xf>
    <xf numFmtId="0" fontId="0" fillId="0" borderId="68" xfId="0" applyBorder="1" applyAlignment="1">
      <alignment horizontal="right" vertical="center" wrapText="1" indent="1"/>
    </xf>
    <xf numFmtId="0" fontId="54" fillId="0" borderId="13" xfId="0" applyFont="1" applyBorder="1" applyAlignment="1">
      <alignment horizontal="left" vertical="center"/>
    </xf>
    <xf numFmtId="0" fontId="60" fillId="0" borderId="11" xfId="0" applyFont="1" applyBorder="1" applyAlignment="1">
      <alignment vertical="center" wrapText="1"/>
    </xf>
    <xf numFmtId="0" fontId="54" fillId="0" borderId="11" xfId="0" applyFont="1" applyBorder="1" applyAlignment="1">
      <alignment vertical="center" wrapText="1"/>
    </xf>
    <xf numFmtId="3" fontId="54" fillId="0" borderId="13" xfId="0" applyNumberFormat="1" applyFont="1" applyBorder="1" applyAlignment="1" applyProtection="1">
      <alignment horizontal="right" vertical="center" wrapText="1" indent="1"/>
      <protection locked="0"/>
    </xf>
    <xf numFmtId="3" fontId="54" fillId="0" borderId="14" xfId="0" applyNumberFormat="1" applyFont="1" applyBorder="1" applyAlignment="1" applyProtection="1">
      <alignment horizontal="right" vertical="center" wrapText="1" indent="1"/>
      <protection locked="0"/>
    </xf>
    <xf numFmtId="3" fontId="54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61" fillId="0" borderId="0" xfId="0" applyFont="1" applyAlignment="1">
      <alignment horizontal="left" vertical="center" wrapText="1"/>
    </xf>
    <xf numFmtId="0" fontId="15" fillId="0" borderId="0" xfId="43" applyAlignment="1">
      <alignment horizontal="left" vertical="center" wrapText="1"/>
    </xf>
    <xf numFmtId="0" fontId="62" fillId="0" borderId="0" xfId="43" applyFont="1" applyAlignment="1">
      <alignment horizontal="center" vertical="center"/>
    </xf>
    <xf numFmtId="0" fontId="63" fillId="0" borderId="0" xfId="43" applyFont="1" applyAlignment="1">
      <alignment horizontal="right" vertical="center"/>
    </xf>
    <xf numFmtId="0" fontId="64" fillId="0" borderId="0" xfId="43" applyFont="1" applyAlignment="1">
      <alignment horizontal="center" vertical="center"/>
    </xf>
    <xf numFmtId="0" fontId="65" fillId="0" borderId="34" xfId="43" applyFont="1" applyBorder="1" applyAlignment="1">
      <alignment horizontal="center" vertical="center" wrapText="1"/>
    </xf>
    <xf numFmtId="0" fontId="65" fillId="0" borderId="48" xfId="43" applyFont="1" applyBorder="1" applyAlignment="1">
      <alignment horizontal="center" vertical="center" wrapText="1"/>
    </xf>
    <xf numFmtId="0" fontId="65" fillId="0" borderId="47" xfId="43" applyFont="1" applyBorder="1" applyAlignment="1">
      <alignment horizontal="center" vertical="center" wrapText="1"/>
    </xf>
    <xf numFmtId="0" fontId="62" fillId="0" borderId="47" xfId="43" applyFont="1" applyBorder="1" applyAlignment="1">
      <alignment horizontal="center" vertical="center"/>
    </xf>
    <xf numFmtId="0" fontId="62" fillId="0" borderId="48" xfId="43" applyFont="1" applyBorder="1" applyAlignment="1">
      <alignment horizontal="center" vertical="center"/>
    </xf>
    <xf numFmtId="0" fontId="67" fillId="0" borderId="26" xfId="43" applyFont="1" applyBorder="1" applyAlignment="1">
      <alignment horizontal="left" vertical="center" wrapText="1"/>
    </xf>
    <xf numFmtId="2" fontId="68" fillId="0" borderId="27" xfId="43" applyNumberFormat="1" applyFont="1" applyBorder="1" applyAlignment="1">
      <alignment horizontal="center" vertical="center" wrapText="1"/>
    </xf>
    <xf numFmtId="2" fontId="68" fillId="0" borderId="22" xfId="43" applyNumberFormat="1" applyFont="1" applyBorder="1" applyAlignment="1">
      <alignment horizontal="center" vertical="center" wrapText="1"/>
    </xf>
    <xf numFmtId="1" fontId="68" fillId="0" borderId="42" xfId="43" applyNumberFormat="1" applyFont="1" applyBorder="1" applyAlignment="1">
      <alignment horizontal="center" vertical="center" wrapText="1"/>
    </xf>
    <xf numFmtId="2" fontId="68" fillId="0" borderId="26" xfId="43" applyNumberFormat="1" applyFont="1" applyBorder="1" applyAlignment="1">
      <alignment horizontal="center" vertical="center" wrapText="1"/>
    </xf>
    <xf numFmtId="1" fontId="68" fillId="0" borderId="69" xfId="43" applyNumberFormat="1" applyFont="1" applyBorder="1" applyAlignment="1">
      <alignment horizontal="center" vertical="center" wrapText="1"/>
    </xf>
    <xf numFmtId="0" fontId="62" fillId="0" borderId="38" xfId="43" applyFont="1" applyBorder="1" applyAlignment="1">
      <alignment horizontal="center" vertical="center"/>
    </xf>
    <xf numFmtId="10" fontId="62" fillId="0" borderId="66" xfId="43" applyNumberFormat="1" applyFont="1" applyBorder="1" applyAlignment="1">
      <alignment horizontal="center" vertical="center"/>
    </xf>
    <xf numFmtId="0" fontId="62" fillId="0" borderId="26" xfId="43" applyFont="1" applyBorder="1" applyAlignment="1">
      <alignment horizontal="center" vertical="center"/>
    </xf>
    <xf numFmtId="10" fontId="62" fillId="0" borderId="42" xfId="43" applyNumberFormat="1" applyFont="1" applyBorder="1" applyAlignment="1">
      <alignment horizontal="center" vertical="center"/>
    </xf>
    <xf numFmtId="2" fontId="68" fillId="0" borderId="34" xfId="43" applyNumberFormat="1" applyFont="1" applyBorder="1" applyAlignment="1">
      <alignment horizontal="center" vertical="center" wrapText="1"/>
    </xf>
    <xf numFmtId="2" fontId="68" fillId="0" borderId="47" xfId="43" applyNumberFormat="1" applyFont="1" applyBorder="1" applyAlignment="1">
      <alignment horizontal="center" vertical="center" wrapText="1"/>
    </xf>
    <xf numFmtId="1" fontId="68" fillId="0" borderId="48" xfId="43" applyNumberFormat="1" applyFont="1" applyBorder="1" applyAlignment="1">
      <alignment horizontal="center" vertical="center" wrapText="1"/>
    </xf>
    <xf numFmtId="0" fontId="62" fillId="0" borderId="43" xfId="43" applyFont="1" applyBorder="1" applyAlignment="1">
      <alignment horizontal="center" vertical="center"/>
    </xf>
    <xf numFmtId="10" fontId="62" fillId="0" borderId="70" xfId="43" applyNumberFormat="1" applyFont="1" applyBorder="1" applyAlignment="1">
      <alignment horizontal="center" vertical="center"/>
    </xf>
    <xf numFmtId="2" fontId="69" fillId="0" borderId="58" xfId="43" applyNumberFormat="1" applyFont="1" applyBorder="1" applyAlignment="1">
      <alignment horizontal="center" vertical="center"/>
    </xf>
    <xf numFmtId="1" fontId="69" fillId="0" borderId="71" xfId="43" applyNumberFormat="1" applyFont="1" applyBorder="1" applyAlignment="1">
      <alignment horizontal="center" vertical="center"/>
    </xf>
    <xf numFmtId="1" fontId="69" fillId="0" borderId="13" xfId="43" applyNumberFormat="1" applyFont="1" applyBorder="1" applyAlignment="1">
      <alignment horizontal="center" vertical="center"/>
    </xf>
    <xf numFmtId="10" fontId="62" fillId="0" borderId="15" xfId="43" applyNumberFormat="1" applyFont="1" applyBorder="1" applyAlignment="1">
      <alignment horizontal="center" vertical="center"/>
    </xf>
    <xf numFmtId="10" fontId="62" fillId="0" borderId="0" xfId="43" applyNumberFormat="1" applyFont="1" applyAlignment="1">
      <alignment horizontal="center" vertical="center"/>
    </xf>
    <xf numFmtId="1" fontId="69" fillId="0" borderId="10" xfId="43" applyNumberFormat="1" applyFont="1" applyBorder="1" applyAlignment="1">
      <alignment horizontal="center" vertical="center" wrapText="1"/>
    </xf>
    <xf numFmtId="1" fontId="69" fillId="0" borderId="11" xfId="43" applyNumberFormat="1" applyFont="1" applyBorder="1" applyAlignment="1">
      <alignment horizontal="center" vertical="center" wrapText="1"/>
    </xf>
    <xf numFmtId="1" fontId="69" fillId="0" borderId="72" xfId="43" applyNumberFormat="1" applyFont="1" applyBorder="1" applyAlignment="1">
      <alignment horizontal="center" vertical="center" wrapText="1"/>
    </xf>
    <xf numFmtId="0" fontId="62" fillId="0" borderId="10" xfId="43" applyFont="1" applyBorder="1" applyAlignment="1">
      <alignment horizontal="center" vertical="center"/>
    </xf>
    <xf numFmtId="10" fontId="62" fillId="0" borderId="72" xfId="43" applyNumberFormat="1" applyFont="1" applyBorder="1" applyAlignment="1">
      <alignment horizontal="center" vertical="center"/>
    </xf>
    <xf numFmtId="0" fontId="14" fillId="0" borderId="0" xfId="42"/>
    <xf numFmtId="0" fontId="70" fillId="0" borderId="0" xfId="42" applyFont="1"/>
    <xf numFmtId="3" fontId="14" fillId="0" borderId="0" xfId="42" applyNumberFormat="1"/>
    <xf numFmtId="0" fontId="70" fillId="0" borderId="0" xfId="42" applyFont="1" applyAlignment="1">
      <alignment horizontal="right"/>
    </xf>
    <xf numFmtId="3" fontId="46" fillId="0" borderId="0" xfId="42" applyNumberFormat="1" applyFont="1" applyAlignment="1">
      <alignment horizontal="right"/>
    </xf>
    <xf numFmtId="0" fontId="71" fillId="0" borderId="0" xfId="42" applyFont="1" applyAlignment="1">
      <alignment horizontal="center"/>
    </xf>
    <xf numFmtId="0" fontId="72" fillId="0" borderId="0" xfId="42" applyFont="1" applyAlignment="1">
      <alignment horizontal="center"/>
    </xf>
    <xf numFmtId="0" fontId="15" fillId="0" borderId="0" xfId="42" applyFont="1" applyAlignment="1">
      <alignment horizontal="center"/>
    </xf>
    <xf numFmtId="0" fontId="15" fillId="0" borderId="0" xfId="44"/>
    <xf numFmtId="0" fontId="45" fillId="0" borderId="13" xfId="42" applyFont="1" applyBorder="1" applyAlignment="1">
      <alignment horizontal="center" vertical="center" wrapText="1"/>
    </xf>
    <xf numFmtId="0" fontId="14" fillId="0" borderId="44" xfId="42" applyBorder="1" applyAlignment="1">
      <alignment vertical="center" wrapText="1"/>
    </xf>
    <xf numFmtId="0" fontId="14" fillId="0" borderId="0" xfId="42" applyAlignment="1">
      <alignment vertical="center" wrapText="1"/>
    </xf>
    <xf numFmtId="0" fontId="45" fillId="0" borderId="63" xfId="42" applyFont="1" applyBorder="1" applyAlignment="1">
      <alignment horizontal="center" vertical="center" wrapText="1"/>
    </xf>
    <xf numFmtId="168" fontId="73" fillId="0" borderId="50" xfId="44" applyNumberFormat="1" applyFont="1" applyBorder="1" applyAlignment="1">
      <alignment horizontal="center" vertical="center" wrapText="1"/>
    </xf>
    <xf numFmtId="3" fontId="73" fillId="0" borderId="63" xfId="44" applyNumberFormat="1" applyFont="1" applyBorder="1" applyAlignment="1">
      <alignment horizontal="center" vertical="center" wrapText="1"/>
    </xf>
    <xf numFmtId="3" fontId="73" fillId="0" borderId="52" xfId="44" applyNumberFormat="1" applyFont="1" applyBorder="1" applyAlignment="1">
      <alignment horizontal="center" vertical="center" wrapText="1"/>
    </xf>
    <xf numFmtId="3" fontId="73" fillId="0" borderId="73" xfId="44" applyNumberFormat="1" applyFont="1" applyBorder="1" applyAlignment="1">
      <alignment horizontal="center" vertical="center" wrapText="1"/>
    </xf>
    <xf numFmtId="3" fontId="73" fillId="0" borderId="74" xfId="44" applyNumberFormat="1" applyFont="1" applyBorder="1" applyAlignment="1">
      <alignment horizontal="center" vertical="center" wrapText="1"/>
    </xf>
    <xf numFmtId="3" fontId="73" fillId="0" borderId="75" xfId="44" applyNumberFormat="1" applyFont="1" applyBorder="1" applyAlignment="1">
      <alignment horizontal="center" vertical="center" wrapText="1"/>
    </xf>
    <xf numFmtId="3" fontId="74" fillId="0" borderId="12" xfId="44" applyNumberFormat="1" applyFont="1" applyBorder="1" applyAlignment="1">
      <alignment horizontal="right" vertical="center" wrapText="1"/>
    </xf>
    <xf numFmtId="3" fontId="74" fillId="0" borderId="12" xfId="44" applyNumberFormat="1" applyFont="1" applyBorder="1" applyAlignment="1">
      <alignment horizontal="center" vertical="center" wrapText="1"/>
    </xf>
    <xf numFmtId="3" fontId="75" fillId="0" borderId="12" xfId="44" applyNumberFormat="1" applyFont="1" applyBorder="1" applyAlignment="1">
      <alignment vertical="top"/>
    </xf>
    <xf numFmtId="3" fontId="75" fillId="0" borderId="56" xfId="44" applyNumberFormat="1" applyFont="1" applyBorder="1" applyAlignment="1">
      <alignment vertical="top"/>
    </xf>
    <xf numFmtId="3" fontId="75" fillId="0" borderId="27" xfId="44" applyNumberFormat="1" applyFont="1" applyBorder="1" applyAlignment="1">
      <alignment vertical="top"/>
    </xf>
    <xf numFmtId="3" fontId="75" fillId="0" borderId="55" xfId="44" applyNumberFormat="1" applyFont="1" applyBorder="1" applyAlignment="1">
      <alignment vertical="top"/>
    </xf>
    <xf numFmtId="3" fontId="75" fillId="0" borderId="21" xfId="44" applyNumberFormat="1" applyFont="1" applyBorder="1" applyAlignment="1">
      <alignment vertical="top"/>
    </xf>
    <xf numFmtId="3" fontId="75" fillId="0" borderId="69" xfId="44" applyNumberFormat="1" applyFont="1" applyBorder="1" applyAlignment="1">
      <alignment vertical="top"/>
    </xf>
    <xf numFmtId="3" fontId="75" fillId="0" borderId="42" xfId="44" applyNumberFormat="1" applyFont="1" applyBorder="1" applyAlignment="1">
      <alignment vertical="top"/>
    </xf>
    <xf numFmtId="3" fontId="76" fillId="0" borderId="14" xfId="44" applyNumberFormat="1" applyFont="1" applyBorder="1" applyAlignment="1">
      <alignment vertical="center"/>
    </xf>
    <xf numFmtId="10" fontId="76" fillId="0" borderId="15" xfId="44" applyNumberFormat="1" applyFont="1" applyBorder="1" applyAlignment="1">
      <alignment vertical="center"/>
    </xf>
    <xf numFmtId="3" fontId="76" fillId="0" borderId="15" xfId="44" applyNumberFormat="1" applyFont="1" applyBorder="1" applyAlignment="1">
      <alignment vertical="center"/>
    </xf>
    <xf numFmtId="3" fontId="76" fillId="0" borderId="54" xfId="44" applyNumberFormat="1" applyFont="1" applyBorder="1" applyAlignment="1">
      <alignment vertical="center"/>
    </xf>
    <xf numFmtId="0" fontId="79" fillId="0" borderId="0" xfId="42" applyFont="1" applyAlignment="1">
      <alignment vertical="center"/>
    </xf>
    <xf numFmtId="3" fontId="46" fillId="0" borderId="0" xfId="42" applyNumberFormat="1" applyFont="1" applyAlignment="1">
      <alignment horizontal="right" vertical="center"/>
    </xf>
    <xf numFmtId="0" fontId="81" fillId="0" borderId="44" xfId="42" applyFont="1" applyBorder="1" applyAlignment="1">
      <alignment vertical="center"/>
    </xf>
    <xf numFmtId="0" fontId="14" fillId="0" borderId="44" xfId="42" applyBorder="1" applyAlignment="1">
      <alignment vertical="center"/>
    </xf>
    <xf numFmtId="0" fontId="80" fillId="5" borderId="40" xfId="42" applyFont="1" applyFill="1" applyBorder="1" applyAlignment="1">
      <alignment horizontal="center" vertical="center" wrapText="1"/>
    </xf>
    <xf numFmtId="0" fontId="80" fillId="5" borderId="30" xfId="42" applyFont="1" applyFill="1" applyBorder="1" applyAlignment="1">
      <alignment horizontal="center" vertical="center" wrapText="1"/>
    </xf>
    <xf numFmtId="3" fontId="80" fillId="5" borderId="76" xfId="42" applyNumberFormat="1" applyFont="1" applyFill="1" applyBorder="1" applyAlignment="1">
      <alignment horizontal="center" vertical="center" wrapText="1"/>
    </xf>
    <xf numFmtId="3" fontId="80" fillId="5" borderId="77" xfId="42" applyNumberFormat="1" applyFont="1" applyFill="1" applyBorder="1" applyAlignment="1">
      <alignment horizontal="center" vertical="center" wrapText="1"/>
    </xf>
    <xf numFmtId="3" fontId="80" fillId="5" borderId="78" xfId="42" applyNumberFormat="1" applyFont="1" applyFill="1" applyBorder="1" applyAlignment="1">
      <alignment horizontal="center" vertical="center" wrapText="1"/>
    </xf>
    <xf numFmtId="0" fontId="74" fillId="0" borderId="23" xfId="0" applyFont="1" applyBorder="1" applyAlignment="1">
      <alignment vertical="center" wrapText="1"/>
    </xf>
    <xf numFmtId="0" fontId="74" fillId="0" borderId="27" xfId="0" applyFont="1" applyBorder="1" applyAlignment="1">
      <alignment horizontal="center" vertical="center" wrapText="1"/>
    </xf>
    <xf numFmtId="3" fontId="82" fillId="0" borderId="27" xfId="42" applyNumberFormat="1" applyFont="1" applyBorder="1" applyAlignment="1">
      <alignment horizontal="right" vertical="center" wrapText="1"/>
    </xf>
    <xf numFmtId="3" fontId="82" fillId="0" borderId="22" xfId="42" applyNumberFormat="1" applyFont="1" applyBorder="1" applyAlignment="1">
      <alignment horizontal="right" vertical="center" wrapText="1"/>
    </xf>
    <xf numFmtId="10" fontId="82" fillId="0" borderId="22" xfId="42" applyNumberFormat="1" applyFont="1" applyBorder="1" applyAlignment="1">
      <alignment horizontal="right" vertical="center" wrapText="1"/>
    </xf>
    <xf numFmtId="10" fontId="82" fillId="0" borderId="66" xfId="42" applyNumberFormat="1" applyFont="1" applyBorder="1" applyAlignment="1">
      <alignment horizontal="right" vertical="center" wrapText="1"/>
    </xf>
    <xf numFmtId="10" fontId="82" fillId="0" borderId="27" xfId="42" applyNumberFormat="1" applyFont="1" applyBorder="1" applyAlignment="1">
      <alignment horizontal="right" vertical="center" wrapText="1"/>
    </xf>
    <xf numFmtId="10" fontId="82" fillId="0" borderId="42" xfId="42" applyNumberFormat="1" applyFont="1" applyBorder="1" applyAlignment="1">
      <alignment horizontal="right" vertical="center" wrapText="1"/>
    </xf>
    <xf numFmtId="3" fontId="82" fillId="0" borderId="27" xfId="42" applyNumberFormat="1" applyFont="1" applyBorder="1" applyAlignment="1">
      <alignment vertical="center"/>
    </xf>
    <xf numFmtId="3" fontId="80" fillId="5" borderId="79" xfId="42" applyNumberFormat="1" applyFont="1" applyFill="1" applyBorder="1" applyAlignment="1">
      <alignment horizontal="center" vertical="center" wrapText="1"/>
    </xf>
    <xf numFmtId="3" fontId="80" fillId="5" borderId="80" xfId="42" applyNumberFormat="1" applyFont="1" applyFill="1" applyBorder="1" applyAlignment="1">
      <alignment horizontal="center" vertical="center" wrapText="1"/>
    </xf>
    <xf numFmtId="3" fontId="48" fillId="5" borderId="80" xfId="42" applyNumberFormat="1" applyFont="1" applyFill="1" applyBorder="1" applyAlignment="1">
      <alignment horizontal="right" vertical="center" wrapText="1"/>
    </xf>
    <xf numFmtId="10" fontId="48" fillId="5" borderId="80" xfId="42" applyNumberFormat="1" applyFont="1" applyFill="1" applyBorder="1" applyAlignment="1">
      <alignment horizontal="right" vertical="center" wrapText="1"/>
    </xf>
    <xf numFmtId="10" fontId="48" fillId="5" borderId="81" xfId="42" applyNumberFormat="1" applyFont="1" applyFill="1" applyBorder="1" applyAlignment="1">
      <alignment horizontal="right" vertical="center" wrapText="1"/>
    </xf>
    <xf numFmtId="3" fontId="80" fillId="0" borderId="0" xfId="42" applyNumberFormat="1" applyFont="1" applyAlignment="1">
      <alignment horizontal="center" vertical="center" wrapText="1"/>
    </xf>
    <xf numFmtId="3" fontId="48" fillId="0" borderId="0" xfId="42" applyNumberFormat="1" applyFont="1" applyAlignment="1">
      <alignment horizontal="right" vertical="center" wrapText="1"/>
    </xf>
    <xf numFmtId="0" fontId="81" fillId="0" borderId="0" xfId="42" applyFont="1" applyAlignment="1">
      <alignment vertical="center"/>
    </xf>
    <xf numFmtId="0" fontId="80" fillId="5" borderId="77" xfId="42" applyFont="1" applyFill="1" applyBorder="1" applyAlignment="1">
      <alignment horizontal="center" vertical="center" wrapText="1"/>
    </xf>
    <xf numFmtId="0" fontId="74" fillId="0" borderId="22" xfId="0" applyFont="1" applyBorder="1" applyAlignment="1">
      <alignment horizontal="center" vertical="center" wrapText="1"/>
    </xf>
    <xf numFmtId="0" fontId="78" fillId="0" borderId="0" xfId="42" applyFont="1" applyAlignment="1">
      <alignment vertical="center"/>
    </xf>
    <xf numFmtId="0" fontId="14" fillId="0" borderId="0" xfId="42" applyAlignment="1">
      <alignment wrapText="1"/>
    </xf>
    <xf numFmtId="0" fontId="46" fillId="0" borderId="0" xfId="42" applyFont="1" applyAlignment="1">
      <alignment horizontal="center"/>
    </xf>
    <xf numFmtId="0" fontId="78" fillId="18" borderId="27" xfId="42" applyFont="1" applyFill="1" applyBorder="1" applyAlignment="1">
      <alignment horizontal="center" vertical="center"/>
    </xf>
    <xf numFmtId="0" fontId="78" fillId="18" borderId="38" xfId="42" applyFont="1" applyFill="1" applyBorder="1" applyAlignment="1">
      <alignment horizontal="center" vertical="center" wrapText="1"/>
    </xf>
    <xf numFmtId="0" fontId="78" fillId="18" borderId="22" xfId="42" applyFont="1" applyFill="1" applyBorder="1" applyAlignment="1">
      <alignment horizontal="center" vertical="center"/>
    </xf>
    <xf numFmtId="0" fontId="78" fillId="18" borderId="22" xfId="42" applyFont="1" applyFill="1" applyBorder="1" applyAlignment="1">
      <alignment horizontal="center" vertical="center" wrapText="1"/>
    </xf>
    <xf numFmtId="0" fontId="86" fillId="0" borderId="26" xfId="42" applyFont="1" applyBorder="1" applyAlignment="1">
      <alignment wrapText="1"/>
    </xf>
    <xf numFmtId="3" fontId="87" fillId="0" borderId="27" xfId="42" applyNumberFormat="1" applyFont="1" applyBorder="1" applyAlignment="1">
      <alignment horizontal="right"/>
    </xf>
    <xf numFmtId="0" fontId="86" fillId="0" borderId="43" xfId="42" applyFont="1" applyBorder="1" applyAlignment="1">
      <alignment wrapText="1"/>
    </xf>
    <xf numFmtId="3" fontId="87" fillId="0" borderId="28" xfId="42" applyNumberFormat="1" applyFont="1" applyBorder="1" applyAlignment="1">
      <alignment horizontal="right"/>
    </xf>
    <xf numFmtId="0" fontId="86" fillId="0" borderId="0" xfId="42" applyFont="1" applyAlignment="1">
      <alignment wrapText="1"/>
    </xf>
    <xf numFmtId="0" fontId="86" fillId="0" borderId="0" xfId="42" applyFont="1"/>
    <xf numFmtId="3" fontId="86" fillId="0" borderId="0" xfId="42" applyNumberFormat="1" applyFont="1"/>
    <xf numFmtId="3" fontId="87" fillId="0" borderId="29" xfId="42" applyNumberFormat="1" applyFont="1" applyBorder="1" applyAlignment="1">
      <alignment horizontal="right"/>
    </xf>
    <xf numFmtId="3" fontId="87" fillId="0" borderId="49" xfId="42" applyNumberFormat="1" applyFont="1" applyBorder="1" applyAlignment="1">
      <alignment horizontal="right"/>
    </xf>
    <xf numFmtId="0" fontId="45" fillId="0" borderId="0" xfId="42" applyFont="1"/>
    <xf numFmtId="0" fontId="14" fillId="0" borderId="0" xfId="42" applyAlignment="1">
      <alignment horizontal="center" vertical="center"/>
    </xf>
    <xf numFmtId="0" fontId="78" fillId="0" borderId="0" xfId="42" applyFont="1" applyAlignment="1">
      <alignment horizontal="center" vertical="center"/>
    </xf>
    <xf numFmtId="0" fontId="14" fillId="0" borderId="53" xfId="42" applyBorder="1" applyAlignment="1">
      <alignment vertical="center"/>
    </xf>
    <xf numFmtId="3" fontId="78" fillId="0" borderId="0" xfId="42" applyNumberFormat="1" applyFont="1" applyAlignment="1">
      <alignment horizontal="center" vertical="center"/>
    </xf>
    <xf numFmtId="0" fontId="89" fillId="16" borderId="13" xfId="42" applyFont="1" applyFill="1" applyBorder="1" applyAlignment="1">
      <alignment horizontal="center" vertical="center"/>
    </xf>
    <xf numFmtId="0" fontId="89" fillId="16" borderId="54" xfId="42" applyFont="1" applyFill="1" applyBorder="1" applyAlignment="1">
      <alignment horizontal="center" vertical="center"/>
    </xf>
    <xf numFmtId="0" fontId="89" fillId="16" borderId="14" xfId="42" applyFont="1" applyFill="1" applyBorder="1" applyAlignment="1">
      <alignment horizontal="center" vertical="center"/>
    </xf>
    <xf numFmtId="0" fontId="89" fillId="16" borderId="16" xfId="42" applyFont="1" applyFill="1" applyBorder="1" applyAlignment="1">
      <alignment horizontal="center" vertical="center"/>
    </xf>
    <xf numFmtId="3" fontId="89" fillId="16" borderId="12" xfId="42" applyNumberFormat="1" applyFont="1" applyFill="1" applyBorder="1" applyAlignment="1">
      <alignment horizontal="center" vertical="center"/>
    </xf>
    <xf numFmtId="0" fontId="45" fillId="0" borderId="44" xfId="42" applyFont="1" applyBorder="1" applyAlignment="1">
      <alignment vertical="center"/>
    </xf>
    <xf numFmtId="0" fontId="45" fillId="0" borderId="0" xfId="42" applyFont="1" applyAlignment="1">
      <alignment vertical="center"/>
    </xf>
    <xf numFmtId="0" fontId="89" fillId="16" borderId="45" xfId="42" applyFont="1" applyFill="1" applyBorder="1" applyAlignment="1">
      <alignment horizontal="center" vertical="center"/>
    </xf>
    <xf numFmtId="0" fontId="89" fillId="16" borderId="82" xfId="42" applyFont="1" applyFill="1" applyBorder="1" applyAlignment="1">
      <alignment horizontal="center" vertical="center"/>
    </xf>
    <xf numFmtId="0" fontId="89" fillId="16" borderId="30" xfId="42" applyFont="1" applyFill="1" applyBorder="1" applyAlignment="1">
      <alignment horizontal="center" vertical="center"/>
    </xf>
    <xf numFmtId="0" fontId="89" fillId="16" borderId="83" xfId="42" applyFont="1" applyFill="1" applyBorder="1" applyAlignment="1">
      <alignment horizontal="center" vertical="center"/>
    </xf>
    <xf numFmtId="3" fontId="89" fillId="16" borderId="45" xfId="42" applyNumberFormat="1" applyFont="1" applyFill="1" applyBorder="1" applyAlignment="1">
      <alignment horizontal="center" vertical="center"/>
    </xf>
    <xf numFmtId="3" fontId="89" fillId="16" borderId="68" xfId="42" applyNumberFormat="1" applyFont="1" applyFill="1" applyBorder="1" applyAlignment="1">
      <alignment horizontal="center" vertical="center" wrapText="1"/>
    </xf>
    <xf numFmtId="3" fontId="89" fillId="16" borderId="82" xfId="42" applyNumberFormat="1" applyFont="1" applyFill="1" applyBorder="1" applyAlignment="1">
      <alignment horizontal="center" vertical="center"/>
    </xf>
    <xf numFmtId="3" fontId="89" fillId="16" borderId="83" xfId="42" applyNumberFormat="1" applyFont="1" applyFill="1" applyBorder="1" applyAlignment="1">
      <alignment horizontal="center" vertical="center"/>
    </xf>
    <xf numFmtId="3" fontId="89" fillId="16" borderId="30" xfId="42" applyNumberFormat="1" applyFont="1" applyFill="1" applyBorder="1" applyAlignment="1">
      <alignment horizontal="center" vertical="center"/>
    </xf>
    <xf numFmtId="3" fontId="89" fillId="16" borderId="68" xfId="42" applyNumberFormat="1" applyFont="1" applyFill="1" applyBorder="1" applyAlignment="1">
      <alignment horizontal="center" vertical="center"/>
    </xf>
    <xf numFmtId="3" fontId="89" fillId="16" borderId="19" xfId="42" applyNumberFormat="1" applyFont="1" applyFill="1" applyBorder="1" applyAlignment="1">
      <alignment horizontal="center" vertical="center"/>
    </xf>
    <xf numFmtId="3" fontId="89" fillId="16" borderId="51" xfId="42" applyNumberFormat="1" applyFont="1" applyFill="1" applyBorder="1" applyAlignment="1">
      <alignment horizontal="center" vertical="center" wrapText="1"/>
    </xf>
    <xf numFmtId="0" fontId="85" fillId="0" borderId="27" xfId="0" applyFont="1" applyBorder="1" applyAlignment="1">
      <alignment vertical="center" wrapText="1"/>
    </xf>
    <xf numFmtId="0" fontId="85" fillId="0" borderId="28" xfId="0" applyFont="1" applyBorder="1" applyAlignment="1">
      <alignment horizontal="center" vertical="center"/>
    </xf>
    <xf numFmtId="3" fontId="86" fillId="0" borderId="26" xfId="42" applyNumberFormat="1" applyFont="1" applyBorder="1" applyAlignment="1">
      <alignment vertical="center"/>
    </xf>
    <xf numFmtId="10" fontId="86" fillId="0" borderId="28" xfId="42" applyNumberFormat="1" applyFont="1" applyBorder="1" applyAlignment="1">
      <alignment vertical="center"/>
    </xf>
    <xf numFmtId="3" fontId="86" fillId="0" borderId="27" xfId="42" applyNumberFormat="1" applyFont="1" applyBorder="1" applyAlignment="1">
      <alignment vertical="center"/>
    </xf>
    <xf numFmtId="10" fontId="86" fillId="0" borderId="42" xfId="42" applyNumberFormat="1" applyFont="1" applyBorder="1" applyAlignment="1">
      <alignment vertical="center"/>
    </xf>
    <xf numFmtId="3" fontId="86" fillId="0" borderId="25" xfId="0" applyNumberFormat="1" applyFont="1" applyBorder="1" applyAlignment="1">
      <alignment horizontal="right" vertical="center"/>
    </xf>
    <xf numFmtId="3" fontId="86" fillId="0" borderId="26" xfId="0" applyNumberFormat="1" applyFont="1" applyBorder="1" applyAlignment="1">
      <alignment horizontal="right" vertical="center"/>
    </xf>
    <xf numFmtId="3" fontId="86" fillId="0" borderId="42" xfId="0" applyNumberFormat="1" applyFont="1" applyBorder="1" applyAlignment="1">
      <alignment horizontal="right" vertical="center"/>
    </xf>
    <xf numFmtId="3" fontId="86" fillId="0" borderId="56" xfId="0" applyNumberFormat="1" applyFont="1" applyBorder="1" applyAlignment="1">
      <alignment horizontal="right" vertical="center"/>
    </xf>
    <xf numFmtId="3" fontId="86" fillId="0" borderId="26" xfId="0" applyNumberFormat="1" applyFont="1" applyBorder="1" applyAlignment="1">
      <alignment vertical="center"/>
    </xf>
    <xf numFmtId="3" fontId="86" fillId="0" borderId="27" xfId="0" applyNumberFormat="1" applyFont="1" applyBorder="1" applyAlignment="1">
      <alignment horizontal="right" vertical="center"/>
    </xf>
    <xf numFmtId="0" fontId="85" fillId="0" borderId="28" xfId="42" applyFont="1" applyBorder="1" applyAlignment="1">
      <alignment horizontal="center" vertical="center"/>
    </xf>
    <xf numFmtId="3" fontId="86" fillId="0" borderId="26" xfId="42" applyNumberFormat="1" applyFont="1" applyBorder="1" applyAlignment="1">
      <alignment horizontal="right" vertical="center"/>
    </xf>
    <xf numFmtId="3" fontId="86" fillId="0" borderId="27" xfId="42" applyNumberFormat="1" applyFont="1" applyBorder="1" applyAlignment="1">
      <alignment horizontal="right" vertical="center"/>
    </xf>
    <xf numFmtId="3" fontId="86" fillId="0" borderId="25" xfId="42" applyNumberFormat="1" applyFont="1" applyBorder="1" applyAlignment="1">
      <alignment horizontal="right" vertical="center"/>
    </xf>
    <xf numFmtId="0" fontId="14" fillId="0" borderId="82" xfId="42" applyBorder="1" applyAlignment="1">
      <alignment horizontal="center" vertical="center"/>
    </xf>
    <xf numFmtId="3" fontId="86" fillId="0" borderId="33" xfId="42" applyNumberFormat="1" applyFont="1" applyBorder="1" applyAlignment="1">
      <alignment horizontal="right" vertical="center"/>
    </xf>
    <xf numFmtId="0" fontId="89" fillId="0" borderId="16" xfId="42" applyFont="1" applyBorder="1" applyAlignment="1">
      <alignment horizontal="center" vertical="center"/>
    </xf>
    <xf numFmtId="3" fontId="78" fillId="0" borderId="13" xfId="42" applyNumberFormat="1" applyFont="1" applyBorder="1" applyAlignment="1">
      <alignment horizontal="right" vertical="center"/>
    </xf>
    <xf numFmtId="3" fontId="78" fillId="0" borderId="54" xfId="42" applyNumberFormat="1" applyFont="1" applyBorder="1" applyAlignment="1">
      <alignment horizontal="right" vertical="center"/>
    </xf>
    <xf numFmtId="3" fontId="78" fillId="0" borderId="12" xfId="42" applyNumberFormat="1" applyFont="1" applyBorder="1" applyAlignment="1">
      <alignment horizontal="right" vertical="center"/>
    </xf>
    <xf numFmtId="0" fontId="89" fillId="0" borderId="0" xfId="42" applyFont="1" applyAlignment="1">
      <alignment horizontal="center" vertical="center"/>
    </xf>
    <xf numFmtId="3" fontId="78" fillId="0" borderId="0" xfId="42" applyNumberFormat="1" applyFont="1" applyAlignment="1">
      <alignment horizontal="right" vertical="center"/>
    </xf>
    <xf numFmtId="10" fontId="78" fillId="0" borderId="0" xfId="42" applyNumberFormat="1" applyFont="1" applyAlignment="1">
      <alignment horizontal="right" vertical="center"/>
    </xf>
    <xf numFmtId="3" fontId="14" fillId="0" borderId="0" xfId="42" applyNumberFormat="1" applyAlignment="1">
      <alignment horizontal="right" vertical="center"/>
    </xf>
    <xf numFmtId="0" fontId="89" fillId="16" borderId="63" xfId="42" applyFont="1" applyFill="1" applyBorder="1" applyAlignment="1">
      <alignment horizontal="center" vertical="center"/>
    </xf>
    <xf numFmtId="0" fontId="89" fillId="16" borderId="75" xfId="42" applyFont="1" applyFill="1" applyBorder="1" applyAlignment="1">
      <alignment horizontal="center" vertical="center"/>
    </xf>
    <xf numFmtId="0" fontId="89" fillId="16" borderId="52" xfId="42" applyFont="1" applyFill="1" applyBorder="1" applyAlignment="1">
      <alignment horizontal="center" vertical="center"/>
    </xf>
    <xf numFmtId="0" fontId="89" fillId="16" borderId="50" xfId="42" applyFont="1" applyFill="1" applyBorder="1" applyAlignment="1">
      <alignment horizontal="center" vertical="center"/>
    </xf>
    <xf numFmtId="3" fontId="89" fillId="16" borderId="12" xfId="42" applyNumberFormat="1" applyFont="1" applyFill="1" applyBorder="1" applyAlignment="1">
      <alignment horizontal="center" vertical="center" wrapText="1"/>
    </xf>
    <xf numFmtId="0" fontId="14" fillId="0" borderId="20" xfId="42" applyBorder="1" applyAlignment="1">
      <alignment horizontal="center" vertical="center"/>
    </xf>
    <xf numFmtId="0" fontId="14" fillId="0" borderId="55" xfId="42" applyBorder="1" applyAlignment="1">
      <alignment horizontal="center" vertical="center"/>
    </xf>
    <xf numFmtId="0" fontId="85" fillId="0" borderId="21" xfId="0" applyFont="1" applyBorder="1" applyAlignment="1">
      <alignment vertical="center"/>
    </xf>
    <xf numFmtId="0" fontId="85" fillId="0" borderId="18" xfId="0" applyFont="1" applyBorder="1" applyAlignment="1">
      <alignment horizontal="center" vertical="center"/>
    </xf>
    <xf numFmtId="3" fontId="86" fillId="0" borderId="69" xfId="0" applyNumberFormat="1" applyFont="1" applyBorder="1" applyAlignment="1">
      <alignment horizontal="right" vertical="center"/>
    </xf>
    <xf numFmtId="3" fontId="86" fillId="0" borderId="55" xfId="0" applyNumberFormat="1" applyFont="1" applyBorder="1" applyAlignment="1">
      <alignment horizontal="right" vertical="center"/>
    </xf>
    <xf numFmtId="3" fontId="86" fillId="0" borderId="20" xfId="42" applyNumberFormat="1" applyFont="1" applyBorder="1" applyAlignment="1">
      <alignment vertical="center"/>
    </xf>
    <xf numFmtId="3" fontId="86" fillId="0" borderId="21" xfId="0" applyNumberFormat="1" applyFont="1" applyBorder="1" applyAlignment="1">
      <alignment horizontal="right" vertical="center"/>
    </xf>
    <xf numFmtId="3" fontId="86" fillId="0" borderId="22" xfId="0" applyNumberFormat="1" applyFont="1" applyBorder="1" applyAlignment="1">
      <alignment horizontal="right" vertical="center"/>
    </xf>
    <xf numFmtId="3" fontId="86" fillId="0" borderId="37" xfId="42" applyNumberFormat="1" applyFont="1" applyBorder="1" applyAlignment="1">
      <alignment horizontal="right" vertical="center"/>
    </xf>
    <xf numFmtId="0" fontId="14" fillId="0" borderId="38" xfId="42" applyBorder="1" applyAlignment="1">
      <alignment horizontal="center" vertical="center"/>
    </xf>
    <xf numFmtId="0" fontId="14" fillId="0" borderId="84" xfId="42" applyBorder="1" applyAlignment="1">
      <alignment horizontal="center" vertical="center"/>
    </xf>
    <xf numFmtId="0" fontId="85" fillId="0" borderId="84" xfId="0" applyFont="1" applyBorder="1" applyAlignment="1">
      <alignment vertical="center"/>
    </xf>
    <xf numFmtId="0" fontId="85" fillId="0" borderId="36" xfId="0" applyFont="1" applyBorder="1" applyAlignment="1">
      <alignment horizontal="center" vertical="center"/>
    </xf>
    <xf numFmtId="3" fontId="86" fillId="0" borderId="38" xfId="0" applyNumberFormat="1" applyFont="1" applyBorder="1" applyAlignment="1">
      <alignment horizontal="right" vertical="center"/>
    </xf>
    <xf numFmtId="3" fontId="86" fillId="0" borderId="66" xfId="0" applyNumberFormat="1" applyFont="1" applyBorder="1" applyAlignment="1">
      <alignment horizontal="right" vertical="center"/>
    </xf>
    <xf numFmtId="3" fontId="86" fillId="0" borderId="84" xfId="0" applyNumberFormat="1" applyFont="1" applyBorder="1" applyAlignment="1">
      <alignment horizontal="right" vertical="center"/>
    </xf>
    <xf numFmtId="0" fontId="85" fillId="0" borderId="49" xfId="0" applyFont="1" applyBorder="1" applyAlignment="1">
      <alignment horizontal="center" vertical="center"/>
    </xf>
    <xf numFmtId="0" fontId="85" fillId="0" borderId="85" xfId="0" applyFont="1" applyBorder="1" applyAlignment="1">
      <alignment vertical="center"/>
    </xf>
    <xf numFmtId="3" fontId="16" fillId="0" borderId="0" xfId="46" applyNumberFormat="1"/>
    <xf numFmtId="3" fontId="16" fillId="0" borderId="0" xfId="46" applyNumberFormat="1" applyAlignment="1" applyProtection="1">
      <alignment wrapText="1"/>
      <protection locked="0"/>
    </xf>
    <xf numFmtId="3" fontId="16" fillId="0" borderId="0" xfId="46" applyNumberFormat="1" applyProtection="1">
      <protection locked="0"/>
    </xf>
    <xf numFmtId="3" fontId="55" fillId="0" borderId="0" xfId="41" applyNumberFormat="1" applyFont="1" applyAlignment="1">
      <alignment horizontal="right"/>
    </xf>
    <xf numFmtId="3" fontId="49" fillId="0" borderId="63" xfId="46" applyNumberFormat="1" applyFont="1" applyBorder="1" applyAlignment="1">
      <alignment horizontal="center" vertical="center" wrapText="1"/>
    </xf>
    <xf numFmtId="3" fontId="49" fillId="0" borderId="52" xfId="46" applyNumberFormat="1" applyFont="1" applyBorder="1" applyAlignment="1">
      <alignment horizontal="center" vertical="center" wrapText="1"/>
    </xf>
    <xf numFmtId="3" fontId="49" fillId="0" borderId="52" xfId="46" applyNumberFormat="1" applyFont="1" applyBorder="1" applyAlignment="1">
      <alignment horizontal="center" vertical="center"/>
    </xf>
    <xf numFmtId="3" fontId="49" fillId="0" borderId="73" xfId="46" applyNumberFormat="1" applyFont="1" applyBorder="1" applyAlignment="1">
      <alignment horizontal="center" vertical="center"/>
    </xf>
    <xf numFmtId="3" fontId="35" fillId="0" borderId="13" xfId="46" applyNumberFormat="1" applyFont="1" applyBorder="1" applyAlignment="1">
      <alignment horizontal="left" vertical="center" indent="1"/>
    </xf>
    <xf numFmtId="3" fontId="16" fillId="0" borderId="0" xfId="46" applyNumberFormat="1" applyAlignment="1">
      <alignment vertical="center"/>
    </xf>
    <xf numFmtId="3" fontId="35" fillId="0" borderId="45" xfId="46" applyNumberFormat="1" applyFont="1" applyBorder="1" applyAlignment="1">
      <alignment horizontal="left" vertical="center" indent="1"/>
    </xf>
    <xf numFmtId="3" fontId="35" fillId="0" borderId="30" xfId="46" applyNumberFormat="1" applyFont="1" applyBorder="1" applyAlignment="1">
      <alignment horizontal="left" vertical="center" wrapText="1"/>
    </xf>
    <xf numFmtId="3" fontId="35" fillId="0" borderId="30" xfId="46" applyNumberFormat="1" applyFont="1" applyBorder="1" applyAlignment="1" applyProtection="1">
      <alignment vertical="center"/>
      <protection locked="0"/>
    </xf>
    <xf numFmtId="3" fontId="35" fillId="0" borderId="66" xfId="46" applyNumberFormat="1" applyFont="1" applyBorder="1" applyAlignment="1">
      <alignment vertical="center"/>
    </xf>
    <xf numFmtId="3" fontId="35" fillId="0" borderId="26" xfId="46" applyNumberFormat="1" applyFont="1" applyBorder="1" applyAlignment="1">
      <alignment horizontal="left" vertical="center" indent="1"/>
    </xf>
    <xf numFmtId="3" fontId="35" fillId="0" borderId="27" xfId="46" applyNumberFormat="1" applyFont="1" applyBorder="1" applyAlignment="1">
      <alignment horizontal="left" vertical="center" wrapText="1"/>
    </xf>
    <xf numFmtId="3" fontId="35" fillId="0" borderId="27" xfId="46" applyNumberFormat="1" applyFont="1" applyBorder="1" applyAlignment="1" applyProtection="1">
      <alignment vertical="center"/>
      <protection locked="0"/>
    </xf>
    <xf numFmtId="3" fontId="16" fillId="0" borderId="0" xfId="46" applyNumberFormat="1" applyAlignment="1" applyProtection="1">
      <alignment vertical="center"/>
      <protection locked="0"/>
    </xf>
    <xf numFmtId="3" fontId="35" fillId="0" borderId="22" xfId="46" applyNumberFormat="1" applyFont="1" applyBorder="1" applyAlignment="1">
      <alignment horizontal="left" vertical="center" wrapText="1"/>
    </xf>
    <xf numFmtId="3" fontId="35" fillId="0" borderId="22" xfId="46" applyNumberFormat="1" applyFont="1" applyBorder="1" applyAlignment="1" applyProtection="1">
      <alignment vertical="center"/>
      <protection locked="0"/>
    </xf>
    <xf numFmtId="3" fontId="36" fillId="0" borderId="14" xfId="46" applyNumberFormat="1" applyFont="1" applyBorder="1" applyAlignment="1">
      <alignment vertical="center"/>
    </xf>
    <xf numFmtId="3" fontId="49" fillId="0" borderId="14" xfId="46" applyNumberFormat="1" applyFont="1" applyBorder="1" applyAlignment="1">
      <alignment horizontal="left" vertical="center" wrapText="1"/>
    </xf>
    <xf numFmtId="3" fontId="49" fillId="0" borderId="14" xfId="46" applyNumberFormat="1" applyFont="1" applyBorder="1" applyAlignment="1">
      <alignment horizontal="left" wrapText="1"/>
    </xf>
    <xf numFmtId="3" fontId="36" fillId="0" borderId="14" xfId="46" applyNumberFormat="1" applyFont="1" applyBorder="1"/>
    <xf numFmtId="0" fontId="40" fillId="0" borderId="0" xfId="45" applyFont="1" applyAlignment="1">
      <alignment vertical="center"/>
    </xf>
    <xf numFmtId="166" fontId="37" fillId="0" borderId="0" xfId="45" applyNumberFormat="1" applyFont="1" applyAlignment="1">
      <alignment horizontal="center" vertical="center"/>
    </xf>
    <xf numFmtId="0" fontId="56" fillId="0" borderId="0" xfId="0" applyFont="1" applyAlignment="1">
      <alignment horizontal="right" vertical="center"/>
    </xf>
    <xf numFmtId="0" fontId="31" fillId="0" borderId="20" xfId="45" applyFont="1" applyBorder="1" applyAlignment="1">
      <alignment horizontal="center" vertical="center" wrapText="1"/>
    </xf>
    <xf numFmtId="0" fontId="31" fillId="0" borderId="21" xfId="45" applyFont="1" applyBorder="1" applyAlignment="1">
      <alignment horizontal="center" vertical="center" wrapText="1"/>
    </xf>
    <xf numFmtId="0" fontId="31" fillId="0" borderId="69" xfId="45" applyFont="1" applyBorder="1" applyAlignment="1">
      <alignment horizontal="center" vertical="center" wrapText="1"/>
    </xf>
    <xf numFmtId="0" fontId="16" fillId="0" borderId="13" xfId="45" applyBorder="1" applyAlignment="1">
      <alignment horizontal="center" vertical="center"/>
    </xf>
    <xf numFmtId="0" fontId="16" fillId="0" borderId="14" xfId="45" applyBorder="1" applyAlignment="1">
      <alignment horizontal="center" vertical="center"/>
    </xf>
    <xf numFmtId="0" fontId="16" fillId="0" borderId="15" xfId="45" applyBorder="1" applyAlignment="1">
      <alignment horizontal="center" vertical="center"/>
    </xf>
    <xf numFmtId="0" fontId="16" fillId="0" borderId="20" xfId="45" applyBorder="1" applyAlignment="1">
      <alignment horizontal="center" vertical="center"/>
    </xf>
    <xf numFmtId="0" fontId="16" fillId="0" borderId="22" xfId="45" applyBorder="1" applyAlignment="1">
      <alignment vertical="center"/>
    </xf>
    <xf numFmtId="0" fontId="16" fillId="0" borderId="38" xfId="45" applyBorder="1" applyAlignment="1">
      <alignment horizontal="center" vertical="center"/>
    </xf>
    <xf numFmtId="170" fontId="16" fillId="0" borderId="66" xfId="29" applyNumberFormat="1" applyFont="1" applyBorder="1" applyAlignment="1" applyProtection="1">
      <alignment vertical="center"/>
      <protection locked="0"/>
    </xf>
    <xf numFmtId="0" fontId="16" fillId="0" borderId="26" xfId="45" applyBorder="1" applyAlignment="1">
      <alignment horizontal="center" vertical="center"/>
    </xf>
    <xf numFmtId="0" fontId="75" fillId="0" borderId="27" xfId="0" applyFont="1" applyBorder="1" applyAlignment="1">
      <alignment horizontal="justify" vertical="center" wrapText="1"/>
    </xf>
    <xf numFmtId="170" fontId="16" fillId="0" borderId="42" xfId="29" applyNumberFormat="1" applyFont="1" applyBorder="1" applyAlignment="1" applyProtection="1">
      <alignment vertical="center"/>
      <protection locked="0"/>
    </xf>
    <xf numFmtId="0" fontId="75" fillId="0" borderId="27" xfId="0" applyFont="1" applyBorder="1" applyAlignment="1">
      <alignment vertical="center" wrapText="1"/>
    </xf>
    <xf numFmtId="170" fontId="16" fillId="0" borderId="70" xfId="29" applyNumberFormat="1" applyFont="1" applyBorder="1" applyAlignment="1" applyProtection="1">
      <alignment vertical="center"/>
      <protection locked="0"/>
    </xf>
    <xf numFmtId="0" fontId="75" fillId="0" borderId="34" xfId="0" applyFont="1" applyBorder="1" applyAlignment="1">
      <alignment vertical="center" wrapText="1"/>
    </xf>
    <xf numFmtId="170" fontId="31" fillId="0" borderId="15" xfId="29" applyNumberFormat="1" applyFont="1" applyBorder="1" applyAlignment="1">
      <alignment vertical="center"/>
    </xf>
    <xf numFmtId="3" fontId="91" fillId="0" borderId="86" xfId="45" applyNumberFormat="1" applyFont="1" applyBorder="1" applyAlignment="1">
      <alignment horizontal="right" vertical="center" wrapText="1"/>
    </xf>
    <xf numFmtId="0" fontId="40" fillId="0" borderId="0" xfId="45" applyFont="1" applyAlignment="1">
      <alignment horizontal="right" vertical="center"/>
    </xf>
    <xf numFmtId="0" fontId="1" fillId="0" borderId="0" xfId="41"/>
    <xf numFmtId="0" fontId="1" fillId="0" borderId="0" xfId="41" applyAlignment="1">
      <alignment wrapText="1"/>
    </xf>
    <xf numFmtId="0" fontId="93" fillId="0" borderId="0" xfId="41" applyFont="1" applyAlignment="1">
      <alignment horizontal="right"/>
    </xf>
    <xf numFmtId="0" fontId="50" fillId="0" borderId="10" xfId="41" applyFont="1" applyBorder="1" applyAlignment="1">
      <alignment horizontal="center" vertical="center" wrapText="1"/>
    </xf>
    <xf numFmtId="0" fontId="50" fillId="0" borderId="14" xfId="41" applyFont="1" applyBorder="1" applyAlignment="1">
      <alignment horizontal="center" vertical="center" wrapText="1"/>
    </xf>
    <xf numFmtId="0" fontId="50" fillId="0" borderId="15" xfId="41" applyFont="1" applyBorder="1" applyAlignment="1">
      <alignment horizontal="center" vertical="center" wrapText="1"/>
    </xf>
    <xf numFmtId="0" fontId="19" fillId="0" borderId="26" xfId="41" applyFont="1" applyBorder="1"/>
    <xf numFmtId="3" fontId="19" fillId="0" borderId="22" xfId="41" applyNumberFormat="1" applyFont="1" applyBorder="1" applyAlignment="1">
      <alignment horizontal="right"/>
    </xf>
    <xf numFmtId="3" fontId="19" fillId="0" borderId="66" xfId="41" applyNumberFormat="1" applyFont="1" applyBorder="1" applyAlignment="1">
      <alignment horizontal="right"/>
    </xf>
    <xf numFmtId="0" fontId="59" fillId="0" borderId="0" xfId="41" applyFont="1" applyAlignment="1">
      <alignment vertical="center"/>
    </xf>
    <xf numFmtId="0" fontId="1" fillId="0" borderId="26" xfId="41" applyBorder="1"/>
    <xf numFmtId="3" fontId="1" fillId="0" borderId="27" xfId="41" applyNumberFormat="1" applyBorder="1" applyAlignment="1">
      <alignment horizontal="right"/>
    </xf>
    <xf numFmtId="3" fontId="1" fillId="0" borderId="42" xfId="41" applyNumberFormat="1" applyBorder="1" applyAlignment="1">
      <alignment horizontal="right"/>
    </xf>
    <xf numFmtId="3" fontId="19" fillId="0" borderId="27" xfId="41" applyNumberFormat="1" applyFont="1" applyBorder="1" applyAlignment="1">
      <alignment horizontal="right"/>
    </xf>
    <xf numFmtId="3" fontId="19" fillId="0" borderId="42" xfId="41" applyNumberFormat="1" applyFont="1" applyBorder="1" applyAlignment="1">
      <alignment horizontal="right"/>
    </xf>
    <xf numFmtId="0" fontId="19" fillId="0" borderId="23" xfId="41" applyFont="1" applyBorder="1"/>
    <xf numFmtId="0" fontId="19" fillId="0" borderId="40" xfId="41" applyFont="1" applyBorder="1"/>
    <xf numFmtId="3" fontId="19" fillId="0" borderId="29" xfId="41" applyNumberFormat="1" applyFont="1" applyBorder="1" applyAlignment="1">
      <alignment horizontal="right"/>
    </xf>
    <xf numFmtId="3" fontId="19" fillId="0" borderId="70" xfId="41" applyNumberFormat="1" applyFont="1" applyBorder="1" applyAlignment="1">
      <alignment horizontal="right"/>
    </xf>
    <xf numFmtId="3" fontId="19" fillId="0" borderId="30" xfId="41" applyNumberFormat="1" applyFont="1" applyBorder="1" applyAlignment="1">
      <alignment horizontal="right"/>
    </xf>
    <xf numFmtId="3" fontId="19" fillId="0" borderId="68" xfId="41" applyNumberFormat="1" applyFont="1" applyBorder="1" applyAlignment="1">
      <alignment horizontal="right"/>
    </xf>
    <xf numFmtId="0" fontId="19" fillId="19" borderId="10" xfId="41" applyFont="1" applyFill="1" applyBorder="1" applyAlignment="1">
      <alignment vertical="center"/>
    </xf>
    <xf numFmtId="3" fontId="19" fillId="19" borderId="14" xfId="41" applyNumberFormat="1" applyFont="1" applyFill="1" applyBorder="1" applyAlignment="1">
      <alignment horizontal="right" vertical="center"/>
    </xf>
    <xf numFmtId="3" fontId="19" fillId="0" borderId="14" xfId="41" applyNumberFormat="1" applyFont="1" applyBorder="1" applyAlignment="1">
      <alignment horizontal="right" vertical="center"/>
    </xf>
    <xf numFmtId="3" fontId="19" fillId="0" borderId="15" xfId="41" applyNumberFormat="1" applyFont="1" applyBorder="1" applyAlignment="1">
      <alignment horizontal="right" vertical="center"/>
    </xf>
    <xf numFmtId="0" fontId="1" fillId="0" borderId="0" xfId="41" applyAlignment="1">
      <alignment vertical="center"/>
    </xf>
    <xf numFmtId="0" fontId="19" fillId="0" borderId="35" xfId="41" applyFont="1" applyBorder="1"/>
    <xf numFmtId="3" fontId="19" fillId="19" borderId="14" xfId="41" applyNumberFormat="1" applyFont="1" applyFill="1" applyBorder="1" applyAlignment="1">
      <alignment vertical="center"/>
    </xf>
    <xf numFmtId="3" fontId="19" fillId="0" borderId="14" xfId="41" applyNumberFormat="1" applyFont="1" applyBorder="1" applyAlignment="1">
      <alignment vertical="center"/>
    </xf>
    <xf numFmtId="3" fontId="19" fillId="0" borderId="15" xfId="41" applyNumberFormat="1" applyFont="1" applyBorder="1" applyAlignment="1">
      <alignment vertical="center"/>
    </xf>
    <xf numFmtId="3" fontId="19" fillId="19" borderId="14" xfId="41" applyNumberFormat="1" applyFont="1" applyFill="1" applyBorder="1"/>
    <xf numFmtId="3" fontId="19" fillId="0" borderId="22" xfId="41" applyNumberFormat="1" applyFont="1" applyBorder="1"/>
    <xf numFmtId="3" fontId="19" fillId="0" borderId="66" xfId="41" applyNumberFormat="1" applyFont="1" applyBorder="1"/>
    <xf numFmtId="0" fontId="1" fillId="0" borderId="38" xfId="41" applyBorder="1"/>
    <xf numFmtId="3" fontId="1" fillId="0" borderId="22" xfId="41" applyNumberFormat="1" applyBorder="1"/>
    <xf numFmtId="3" fontId="1" fillId="0" borderId="27" xfId="41" applyNumberFormat="1" applyBorder="1"/>
    <xf numFmtId="0" fontId="1" fillId="0" borderId="44" xfId="41" applyBorder="1"/>
    <xf numFmtId="3" fontId="1" fillId="0" borderId="29" xfId="41" applyNumberFormat="1" applyBorder="1"/>
    <xf numFmtId="0" fontId="19" fillId="19" borderId="13" xfId="41" applyFont="1" applyFill="1" applyBorder="1"/>
    <xf numFmtId="3" fontId="19" fillId="19" borderId="22" xfId="41" applyNumberFormat="1" applyFont="1" applyFill="1" applyBorder="1"/>
    <xf numFmtId="3" fontId="19" fillId="0" borderId="14" xfId="41" applyNumberFormat="1" applyFont="1" applyBorder="1"/>
    <xf numFmtId="3" fontId="19" fillId="0" borderId="15" xfId="41" applyNumberFormat="1" applyFont="1" applyBorder="1"/>
    <xf numFmtId="0" fontId="19" fillId="0" borderId="0" xfId="41" applyFont="1"/>
    <xf numFmtId="3" fontId="19" fillId="0" borderId="27" xfId="41" applyNumberFormat="1" applyFont="1" applyBorder="1"/>
    <xf numFmtId="3" fontId="19" fillId="0" borderId="42" xfId="41" applyNumberFormat="1" applyFont="1" applyBorder="1"/>
    <xf numFmtId="3" fontId="19" fillId="0" borderId="29" xfId="41" applyNumberFormat="1" applyFont="1" applyBorder="1"/>
    <xf numFmtId="3" fontId="19" fillId="0" borderId="70" xfId="41" applyNumberFormat="1" applyFont="1" applyBorder="1"/>
    <xf numFmtId="0" fontId="94" fillId="0" borderId="31" xfId="41" applyFont="1" applyBorder="1" applyAlignment="1">
      <alignment vertical="center"/>
    </xf>
    <xf numFmtId="3" fontId="94" fillId="0" borderId="34" xfId="41" applyNumberFormat="1" applyFont="1" applyBorder="1" applyAlignment="1">
      <alignment vertical="center"/>
    </xf>
    <xf numFmtId="3" fontId="94" fillId="0" borderId="48" xfId="41" applyNumberFormat="1" applyFont="1" applyBorder="1" applyAlignment="1">
      <alignment vertical="center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96" fillId="0" borderId="34" xfId="41" applyNumberFormat="1" applyFont="1" applyBorder="1" applyAlignment="1">
      <alignment horizontal="center" vertical="center"/>
    </xf>
    <xf numFmtId="3" fontId="96" fillId="0" borderId="59" xfId="41" applyNumberFormat="1" applyFont="1" applyBorder="1" applyAlignment="1">
      <alignment horizontal="center" vertical="center"/>
    </xf>
    <xf numFmtId="3" fontId="96" fillId="0" borderId="48" xfId="41" applyNumberFormat="1" applyFont="1" applyBorder="1" applyAlignment="1">
      <alignment horizontal="center" vertical="center"/>
    </xf>
    <xf numFmtId="3" fontId="67" fillId="0" borderId="38" xfId="41" applyNumberFormat="1" applyFont="1" applyBorder="1" applyAlignment="1">
      <alignment vertical="center" wrapText="1"/>
    </xf>
    <xf numFmtId="3" fontId="67" fillId="0" borderId="22" xfId="41" applyNumberFormat="1" applyFont="1" applyBorder="1" applyAlignment="1">
      <alignment vertical="center"/>
    </xf>
    <xf numFmtId="3" fontId="67" fillId="0" borderId="22" xfId="41" applyNumberFormat="1" applyFont="1" applyBorder="1" applyAlignment="1">
      <alignment horizontal="right" vertical="center"/>
    </xf>
    <xf numFmtId="3" fontId="67" fillId="0" borderId="66" xfId="41" applyNumberFormat="1" applyFont="1" applyBorder="1" applyAlignment="1">
      <alignment horizontal="right" vertical="center"/>
    </xf>
    <xf numFmtId="3" fontId="67" fillId="0" borderId="26" xfId="41" applyNumberFormat="1" applyFont="1" applyBorder="1" applyAlignment="1">
      <alignment vertical="center" wrapText="1"/>
    </xf>
    <xf numFmtId="3" fontId="67" fillId="0" borderId="27" xfId="41" applyNumberFormat="1" applyFont="1" applyBorder="1" applyAlignment="1">
      <alignment vertical="center"/>
    </xf>
    <xf numFmtId="3" fontId="67" fillId="0" borderId="27" xfId="41" applyNumberFormat="1" applyFont="1" applyBorder="1" applyAlignment="1">
      <alignment horizontal="right" vertical="center"/>
    </xf>
    <xf numFmtId="3" fontId="67" fillId="0" borderId="42" xfId="41" applyNumberFormat="1" applyFont="1" applyBorder="1" applyAlignment="1">
      <alignment horizontal="right" vertical="center"/>
    </xf>
    <xf numFmtId="3" fontId="67" fillId="0" borderId="43" xfId="41" applyNumberFormat="1" applyFont="1" applyBorder="1" applyAlignment="1">
      <alignment vertical="center" wrapText="1"/>
    </xf>
    <xf numFmtId="3" fontId="67" fillId="0" borderId="29" xfId="41" applyNumberFormat="1" applyFont="1" applyBorder="1" applyAlignment="1">
      <alignment vertical="center"/>
    </xf>
    <xf numFmtId="3" fontId="67" fillId="0" borderId="29" xfId="41" applyNumberFormat="1" applyFont="1" applyBorder="1" applyAlignment="1">
      <alignment horizontal="right" vertical="center"/>
    </xf>
    <xf numFmtId="3" fontId="67" fillId="0" borderId="47" xfId="41" applyNumberFormat="1" applyFont="1" applyBorder="1" applyAlignment="1">
      <alignment vertical="center" wrapText="1"/>
    </xf>
    <xf numFmtId="3" fontId="67" fillId="0" borderId="34" xfId="41" applyNumberFormat="1" applyFont="1" applyBorder="1" applyAlignment="1">
      <alignment vertical="center"/>
    </xf>
    <xf numFmtId="3" fontId="67" fillId="0" borderId="34" xfId="41" applyNumberFormat="1" applyFont="1" applyBorder="1" applyAlignment="1">
      <alignment horizontal="right" vertical="center"/>
    </xf>
    <xf numFmtId="3" fontId="67" fillId="0" borderId="48" xfId="41" applyNumberFormat="1" applyFont="1" applyBorder="1" applyAlignment="1">
      <alignment horizontal="right" vertical="center"/>
    </xf>
    <xf numFmtId="3" fontId="66" fillId="0" borderId="61" xfId="41" applyNumberFormat="1" applyFont="1" applyBorder="1" applyAlignment="1">
      <alignment vertical="center" wrapText="1"/>
    </xf>
    <xf numFmtId="3" fontId="66" fillId="0" borderId="58" xfId="41" applyNumberFormat="1" applyFont="1" applyBorder="1" applyAlignment="1">
      <alignment vertical="center"/>
    </xf>
    <xf numFmtId="3" fontId="66" fillId="0" borderId="71" xfId="41" applyNumberFormat="1" applyFont="1" applyBorder="1" applyAlignment="1">
      <alignment vertical="center"/>
    </xf>
    <xf numFmtId="3" fontId="1" fillId="0" borderId="20" xfId="41" applyNumberFormat="1" applyBorder="1" applyAlignment="1">
      <alignment vertical="center" wrapText="1"/>
    </xf>
    <xf numFmtId="3" fontId="15" fillId="0" borderId="21" xfId="41" applyNumberFormat="1" applyFont="1" applyBorder="1" applyAlignment="1">
      <alignment horizontal="center" vertical="center" wrapText="1"/>
    </xf>
    <xf numFmtId="0" fontId="47" fillId="0" borderId="21" xfId="41" applyFont="1" applyBorder="1" applyAlignment="1">
      <alignment horizontal="center" vertical="center" wrapText="1"/>
    </xf>
    <xf numFmtId="3" fontId="47" fillId="0" borderId="21" xfId="41" applyNumberFormat="1" applyFont="1" applyBorder="1" applyAlignment="1">
      <alignment horizontal="center" vertical="center" wrapText="1"/>
    </xf>
    <xf numFmtId="3" fontId="1" fillId="0" borderId="21" xfId="41" applyNumberFormat="1" applyBorder="1" applyAlignment="1">
      <alignment vertical="center"/>
    </xf>
    <xf numFmtId="3" fontId="1" fillId="0" borderId="69" xfId="41" applyNumberFormat="1" applyBorder="1" applyAlignment="1">
      <alignment vertical="center"/>
    </xf>
    <xf numFmtId="3" fontId="1" fillId="0" borderId="43" xfId="41" applyNumberFormat="1" applyBorder="1" applyAlignment="1">
      <alignment vertical="center" wrapText="1"/>
    </xf>
    <xf numFmtId="3" fontId="15" fillId="0" borderId="29" xfId="41" applyNumberFormat="1" applyFont="1" applyBorder="1" applyAlignment="1">
      <alignment horizontal="center" vertical="center"/>
    </xf>
    <xf numFmtId="3" fontId="47" fillId="0" borderId="29" xfId="41" applyNumberFormat="1" applyFont="1" applyBorder="1" applyAlignment="1">
      <alignment horizontal="center" vertical="center"/>
    </xf>
    <xf numFmtId="3" fontId="1" fillId="0" borderId="29" xfId="41" applyNumberFormat="1" applyBorder="1" applyAlignment="1">
      <alignment vertical="center"/>
    </xf>
    <xf numFmtId="3" fontId="1" fillId="0" borderId="70" xfId="41" applyNumberFormat="1" applyBorder="1" applyAlignment="1">
      <alignment vertical="center"/>
    </xf>
    <xf numFmtId="3" fontId="1" fillId="0" borderId="13" xfId="41" applyNumberFormat="1" applyBorder="1" applyAlignment="1">
      <alignment vertical="center" wrapText="1"/>
    </xf>
    <xf numFmtId="3" fontId="47" fillId="0" borderId="14" xfId="41" applyNumberFormat="1" applyFont="1" applyBorder="1" applyAlignment="1">
      <alignment horizontal="center" vertical="center"/>
    </xf>
    <xf numFmtId="3" fontId="1" fillId="0" borderId="14" xfId="41" applyNumberFormat="1" applyBorder="1" applyAlignment="1">
      <alignment vertical="center"/>
    </xf>
    <xf numFmtId="3" fontId="1" fillId="0" borderId="15" xfId="41" applyNumberFormat="1" applyBorder="1" applyAlignment="1">
      <alignment vertical="center"/>
    </xf>
    <xf numFmtId="3" fontId="28" fillId="0" borderId="0" xfId="41" applyNumberFormat="1" applyFont="1" applyAlignment="1">
      <alignment vertical="center"/>
    </xf>
    <xf numFmtId="0" fontId="72" fillId="0" borderId="0" xfId="0" applyFont="1" applyAlignment="1">
      <alignment horizontal="center"/>
    </xf>
    <xf numFmtId="0" fontId="51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29" fillId="0" borderId="0" xfId="0" applyFont="1"/>
    <xf numFmtId="0" fontId="41" fillId="0" borderId="0" xfId="0" applyFont="1"/>
    <xf numFmtId="0" fontId="0" fillId="0" borderId="0" xfId="0" applyProtection="1">
      <protection locked="0"/>
    </xf>
    <xf numFmtId="0" fontId="54" fillId="0" borderId="13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0" fontId="54" fillId="0" borderId="14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60" fillId="0" borderId="38" xfId="0" applyFont="1" applyBorder="1" applyAlignment="1">
      <alignment horizontal="center" vertical="center"/>
    </xf>
    <xf numFmtId="0" fontId="0" fillId="0" borderId="22" xfId="0" applyBorder="1" applyAlignment="1">
      <alignment vertical="center" wrapText="1"/>
    </xf>
    <xf numFmtId="166" fontId="0" fillId="0" borderId="22" xfId="0" applyNumberFormat="1" applyBorder="1" applyProtection="1">
      <protection locked="0"/>
    </xf>
    <xf numFmtId="166" fontId="0" fillId="0" borderId="66" xfId="0" applyNumberFormat="1" applyBorder="1"/>
    <xf numFmtId="0" fontId="60" fillId="0" borderId="26" xfId="0" applyFont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166" fontId="0" fillId="0" borderId="27" xfId="0" applyNumberFormat="1" applyBorder="1" applyProtection="1">
      <protection locked="0"/>
    </xf>
    <xf numFmtId="166" fontId="0" fillId="0" borderId="42" xfId="0" applyNumberFormat="1" applyBorder="1"/>
    <xf numFmtId="0" fontId="60" fillId="0" borderId="43" xfId="0" applyFont="1" applyBorder="1" applyAlignment="1">
      <alignment horizontal="center" vertical="center"/>
    </xf>
    <xf numFmtId="0" fontId="0" fillId="0" borderId="29" xfId="0" applyBorder="1" applyAlignment="1">
      <alignment vertical="center" wrapText="1"/>
    </xf>
    <xf numFmtId="166" fontId="0" fillId="0" borderId="29" xfId="0" applyNumberFormat="1" applyBorder="1" applyProtection="1">
      <protection locked="0"/>
    </xf>
    <xf numFmtId="166" fontId="0" fillId="0" borderId="70" xfId="0" applyNumberFormat="1" applyBorder="1"/>
    <xf numFmtId="0" fontId="54" fillId="0" borderId="13" xfId="0" applyFont="1" applyBorder="1" applyAlignment="1">
      <alignment horizontal="center" vertical="center"/>
    </xf>
    <xf numFmtId="0" fontId="37" fillId="0" borderId="14" xfId="0" applyFont="1" applyBorder="1" applyAlignment="1">
      <alignment vertical="center" wrapText="1"/>
    </xf>
    <xf numFmtId="166" fontId="54" fillId="0" borderId="14" xfId="0" applyNumberFormat="1" applyFont="1" applyBorder="1"/>
    <xf numFmtId="166" fontId="54" fillId="0" borderId="15" xfId="0" applyNumberFormat="1" applyFont="1" applyBorder="1"/>
    <xf numFmtId="0" fontId="0" fillId="0" borderId="87" xfId="0" applyBorder="1"/>
    <xf numFmtId="0" fontId="55" fillId="0" borderId="87" xfId="0" applyFont="1" applyBorder="1" applyAlignment="1">
      <alignment horizontal="center"/>
    </xf>
    <xf numFmtId="0" fontId="42" fillId="0" borderId="0" xfId="42" applyFont="1" applyAlignment="1">
      <alignment horizontal="right" vertical="center"/>
    </xf>
    <xf numFmtId="3" fontId="26" fillId="16" borderId="63" xfId="0" applyNumberFormat="1" applyFont="1" applyFill="1" applyBorder="1" applyAlignment="1">
      <alignment horizontal="right" vertical="center" wrapText="1"/>
    </xf>
    <xf numFmtId="3" fontId="26" fillId="0" borderId="63" xfId="0" applyNumberFormat="1" applyFont="1" applyBorder="1" applyAlignment="1">
      <alignment horizontal="right" vertical="center"/>
    </xf>
    <xf numFmtId="3" fontId="74" fillId="0" borderId="50" xfId="44" applyNumberFormat="1" applyFont="1" applyBorder="1" applyAlignment="1">
      <alignment horizontal="center" vertical="center" wrapText="1"/>
    </xf>
    <xf numFmtId="3" fontId="74" fillId="0" borderId="88" xfId="44" applyNumberFormat="1" applyFont="1" applyBorder="1" applyAlignment="1">
      <alignment horizontal="right" vertical="center" wrapText="1"/>
    </xf>
    <xf numFmtId="0" fontId="1" fillId="0" borderId="47" xfId="41" applyBorder="1"/>
    <xf numFmtId="3" fontId="1" fillId="0" borderId="34" xfId="41" applyNumberFormat="1" applyBorder="1"/>
    <xf numFmtId="1" fontId="68" fillId="0" borderId="27" xfId="43" applyNumberFormat="1" applyFont="1" applyBorder="1" applyAlignment="1">
      <alignment horizontal="center" vertical="center" wrapText="1"/>
    </xf>
    <xf numFmtId="0" fontId="66" fillId="0" borderId="0" xfId="43" applyFont="1" applyAlignment="1">
      <alignment horizontal="left" vertical="center"/>
    </xf>
    <xf numFmtId="1" fontId="69" fillId="0" borderId="0" xfId="43" applyNumberFormat="1" applyFont="1" applyAlignment="1">
      <alignment horizontal="center" vertical="center" wrapText="1"/>
    </xf>
    <xf numFmtId="0" fontId="48" fillId="0" borderId="0" xfId="43" applyFont="1" applyAlignment="1">
      <alignment horizontal="left" vertical="center" wrapText="1"/>
    </xf>
    <xf numFmtId="1" fontId="69" fillId="0" borderId="0" xfId="43" applyNumberFormat="1" applyFont="1" applyAlignment="1">
      <alignment horizontal="center" vertical="center"/>
    </xf>
    <xf numFmtId="2" fontId="69" fillId="0" borderId="0" xfId="43" applyNumberFormat="1" applyFont="1" applyAlignment="1">
      <alignment horizontal="center" vertical="center"/>
    </xf>
    <xf numFmtId="0" fontId="66" fillId="0" borderId="27" xfId="43" applyFont="1" applyBorder="1" applyAlignment="1">
      <alignment horizontal="left" vertical="center"/>
    </xf>
    <xf numFmtId="0" fontId="62" fillId="0" borderId="0" xfId="43" applyFont="1" applyAlignment="1">
      <alignment vertical="center"/>
    </xf>
    <xf numFmtId="0" fontId="67" fillId="0" borderId="40" xfId="43" applyFont="1" applyBorder="1" applyAlignment="1">
      <alignment horizontal="left" vertical="center" wrapText="1"/>
    </xf>
    <xf numFmtId="1" fontId="68" fillId="0" borderId="29" xfId="43" applyNumberFormat="1" applyFont="1" applyBorder="1" applyAlignment="1">
      <alignment horizontal="center" vertical="center" wrapText="1"/>
    </xf>
    <xf numFmtId="2" fontId="68" fillId="0" borderId="43" xfId="43" applyNumberFormat="1" applyFont="1" applyBorder="1" applyAlignment="1">
      <alignment horizontal="center" vertical="center" wrapText="1"/>
    </xf>
    <xf numFmtId="2" fontId="68" fillId="0" borderId="29" xfId="43" applyNumberFormat="1" applyFont="1" applyBorder="1" applyAlignment="1">
      <alignment horizontal="center" vertical="center" wrapText="1"/>
    </xf>
    <xf numFmtId="1" fontId="68" fillId="0" borderId="70" xfId="43" applyNumberFormat="1" applyFont="1" applyBorder="1" applyAlignment="1">
      <alignment horizontal="center" vertical="center" wrapText="1"/>
    </xf>
    <xf numFmtId="0" fontId="36" fillId="0" borderId="63" xfId="0" applyFont="1" applyBorder="1" applyAlignment="1">
      <alignment horizontal="center" vertical="center" wrapText="1"/>
    </xf>
    <xf numFmtId="0" fontId="56" fillId="0" borderId="52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left" vertical="center" wrapText="1" indent="1"/>
    </xf>
    <xf numFmtId="0" fontId="36" fillId="0" borderId="89" xfId="0" applyFont="1" applyBorder="1" applyAlignment="1">
      <alignment horizontal="center" vertical="center" wrapText="1"/>
    </xf>
    <xf numFmtId="166" fontId="36" fillId="0" borderId="89" xfId="0" applyNumberFormat="1" applyFont="1" applyBorder="1" applyAlignment="1">
      <alignment horizontal="right" vertical="center" wrapText="1" indent="1"/>
    </xf>
    <xf numFmtId="166" fontId="36" fillId="0" borderId="75" xfId="0" applyNumberFormat="1" applyFont="1" applyBorder="1" applyAlignment="1">
      <alignment horizontal="right" vertical="center" wrapText="1" indent="1"/>
    </xf>
    <xf numFmtId="166" fontId="36" fillId="0" borderId="90" xfId="0" applyNumberFormat="1" applyFont="1" applyBorder="1" applyAlignment="1">
      <alignment horizontal="right" vertical="center" wrapText="1" indent="1"/>
    </xf>
    <xf numFmtId="166" fontId="36" fillId="0" borderId="91" xfId="0" applyNumberFormat="1" applyFont="1" applyBorder="1" applyAlignment="1">
      <alignment horizontal="right" vertical="center" wrapText="1" indent="1"/>
    </xf>
    <xf numFmtId="166" fontId="36" fillId="0" borderId="62" xfId="0" applyNumberFormat="1" applyFont="1" applyBorder="1" applyAlignment="1">
      <alignment horizontal="right" vertical="center" wrapText="1" indent="1"/>
    </xf>
    <xf numFmtId="166" fontId="36" fillId="0" borderId="92" xfId="0" applyNumberFormat="1" applyFont="1" applyBorder="1" applyAlignment="1">
      <alignment horizontal="right" vertical="center" wrapText="1" indent="1"/>
    </xf>
    <xf numFmtId="0" fontId="100" fillId="0" borderId="92" xfId="0" applyFont="1" applyBorder="1" applyAlignment="1">
      <alignment horizontal="left" vertical="center" wrapText="1" indent="1"/>
    </xf>
    <xf numFmtId="166" fontId="100" fillId="0" borderId="93" xfId="0" applyNumberFormat="1" applyFont="1" applyBorder="1" applyAlignment="1">
      <alignment horizontal="right" vertical="center" wrapText="1" indent="1"/>
    </xf>
    <xf numFmtId="0" fontId="49" fillId="0" borderId="94" xfId="0" applyFont="1" applyBorder="1" applyAlignment="1">
      <alignment horizontal="center" vertical="center" wrapText="1"/>
    </xf>
    <xf numFmtId="0" fontId="36" fillId="0" borderId="95" xfId="0" applyFont="1" applyBorder="1" applyAlignment="1">
      <alignment horizontal="center" vertical="center" wrapText="1"/>
    </xf>
    <xf numFmtId="166" fontId="49" fillId="0" borderId="96" xfId="0" applyNumberFormat="1" applyFont="1" applyBorder="1" applyAlignment="1">
      <alignment horizontal="center" vertical="center" wrapText="1"/>
    </xf>
    <xf numFmtId="166" fontId="36" fillId="0" borderId="97" xfId="0" applyNumberFormat="1" applyFont="1" applyBorder="1" applyAlignment="1">
      <alignment horizontal="right" vertical="center" wrapText="1" indent="1"/>
    </xf>
    <xf numFmtId="166" fontId="35" fillId="0" borderId="98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95" xfId="0" applyNumberFormat="1" applyFont="1" applyBorder="1" applyAlignment="1">
      <alignment horizontal="right" vertical="center" wrapText="1" indent="1"/>
    </xf>
    <xf numFmtId="166" fontId="35" fillId="0" borderId="99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97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95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94" xfId="0" applyNumberFormat="1" applyFont="1" applyBorder="1" applyAlignment="1">
      <alignment horizontal="right" vertical="center" wrapText="1" indent="1"/>
    </xf>
    <xf numFmtId="166" fontId="35" fillId="0" borderId="100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01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02" xfId="0" applyNumberFormat="1" applyFont="1" applyBorder="1" applyAlignment="1">
      <alignment horizontal="right" vertical="center" wrapText="1" indent="1"/>
    </xf>
    <xf numFmtId="166" fontId="36" fillId="0" borderId="103" xfId="0" applyNumberFormat="1" applyFont="1" applyBorder="1" applyAlignment="1">
      <alignment horizontal="right" vertical="center" wrapText="1" indent="1"/>
    </xf>
    <xf numFmtId="0" fontId="35" fillId="0" borderId="104" xfId="45" applyFont="1" applyBorder="1" applyAlignment="1">
      <alignment horizontal="left" vertical="center" wrapText="1" indent="1"/>
    </xf>
    <xf numFmtId="3" fontId="48" fillId="5" borderId="58" xfId="42" applyNumberFormat="1" applyFont="1" applyFill="1" applyBorder="1" applyAlignment="1">
      <alignment horizontal="right" vertical="center" wrapText="1"/>
    </xf>
    <xf numFmtId="3" fontId="82" fillId="0" borderId="105" xfId="42" applyNumberFormat="1" applyFont="1" applyBorder="1" applyAlignment="1">
      <alignment vertical="center"/>
    </xf>
    <xf numFmtId="3" fontId="75" fillId="0" borderId="82" xfId="44" applyNumberFormat="1" applyFont="1" applyBorder="1" applyAlignment="1">
      <alignment vertical="top"/>
    </xf>
    <xf numFmtId="3" fontId="75" fillId="0" borderId="30" xfId="44" applyNumberFormat="1" applyFont="1" applyBorder="1" applyAlignment="1">
      <alignment vertical="top"/>
    </xf>
    <xf numFmtId="3" fontId="75" fillId="0" borderId="68" xfId="44" applyNumberFormat="1" applyFont="1" applyBorder="1" applyAlignment="1">
      <alignment vertical="top"/>
    </xf>
    <xf numFmtId="3" fontId="27" fillId="0" borderId="45" xfId="0" applyNumberFormat="1" applyFont="1" applyBorder="1" applyAlignment="1">
      <alignment vertical="center"/>
    </xf>
    <xf numFmtId="3" fontId="27" fillId="0" borderId="30" xfId="0" applyNumberFormat="1" applyFont="1" applyBorder="1" applyAlignment="1">
      <alignment vertical="center"/>
    </xf>
    <xf numFmtId="0" fontId="74" fillId="0" borderId="72" xfId="44" applyFont="1" applyBorder="1" applyAlignment="1">
      <alignment horizontal="left"/>
    </xf>
    <xf numFmtId="0" fontId="14" fillId="0" borderId="72" xfId="42" applyBorder="1"/>
    <xf numFmtId="0" fontId="14" fillId="0" borderId="61" xfId="42" applyBorder="1" applyAlignment="1">
      <alignment horizontal="center" vertical="center"/>
    </xf>
    <xf numFmtId="0" fontId="45" fillId="0" borderId="106" xfId="42" applyFont="1" applyBorder="1" applyAlignment="1">
      <alignment horizontal="center" vertical="center" wrapText="1"/>
    </xf>
    <xf numFmtId="0" fontId="45" fillId="0" borderId="107" xfId="42" applyFont="1" applyBorder="1" applyAlignment="1">
      <alignment horizontal="center" vertical="center" wrapText="1"/>
    </xf>
    <xf numFmtId="0" fontId="14" fillId="0" borderId="107" xfId="42" applyBorder="1" applyAlignment="1">
      <alignment horizontal="center" vertical="center"/>
    </xf>
    <xf numFmtId="3" fontId="76" fillId="0" borderId="61" xfId="44" applyNumberFormat="1" applyFont="1" applyBorder="1" applyAlignment="1">
      <alignment vertical="center"/>
    </xf>
    <xf numFmtId="3" fontId="74" fillId="0" borderId="91" xfId="44" applyNumberFormat="1" applyFont="1" applyBorder="1" applyAlignment="1">
      <alignment horizontal="center" vertical="center" wrapText="1"/>
    </xf>
    <xf numFmtId="3" fontId="74" fillId="0" borderId="108" xfId="44" applyNumberFormat="1" applyFont="1" applyBorder="1" applyAlignment="1">
      <alignment horizontal="center" vertical="center" wrapText="1"/>
    </xf>
    <xf numFmtId="3" fontId="74" fillId="0" borderId="107" xfId="44" applyNumberFormat="1" applyFont="1" applyBorder="1" applyAlignment="1">
      <alignment horizontal="right" vertical="center" wrapText="1"/>
    </xf>
    <xf numFmtId="3" fontId="74" fillId="0" borderId="107" xfId="44" applyNumberFormat="1" applyFont="1" applyBorder="1" applyAlignment="1">
      <alignment horizontal="center" vertical="center" wrapText="1"/>
    </xf>
    <xf numFmtId="3" fontId="75" fillId="0" borderId="107" xfId="44" applyNumberFormat="1" applyFont="1" applyBorder="1" applyAlignment="1">
      <alignment vertical="top"/>
    </xf>
    <xf numFmtId="49" fontId="27" fillId="0" borderId="44" xfId="0" applyNumberFormat="1" applyFont="1" applyBorder="1" applyAlignment="1">
      <alignment horizontal="left" vertical="center"/>
    </xf>
    <xf numFmtId="49" fontId="27" fillId="0" borderId="51" xfId="0" applyNumberFormat="1" applyFont="1" applyBorder="1" applyAlignment="1">
      <alignment horizontal="center" vertical="center"/>
    </xf>
    <xf numFmtId="49" fontId="26" fillId="0" borderId="109" xfId="0" applyNumberFormat="1" applyFont="1" applyBorder="1" applyAlignment="1">
      <alignment horizontal="left" vertical="center"/>
    </xf>
    <xf numFmtId="49" fontId="26" fillId="0" borderId="110" xfId="0" applyNumberFormat="1" applyFont="1" applyBorder="1" applyAlignment="1">
      <alignment horizontal="center" vertical="center"/>
    </xf>
    <xf numFmtId="49" fontId="26" fillId="0" borderId="111" xfId="0" applyNumberFormat="1" applyFont="1" applyBorder="1" applyAlignment="1">
      <alignment horizontal="left" vertical="center" wrapText="1"/>
    </xf>
    <xf numFmtId="3" fontId="26" fillId="0" borderId="112" xfId="0" applyNumberFormat="1" applyFont="1" applyBorder="1" applyAlignment="1">
      <alignment vertical="center"/>
    </xf>
    <xf numFmtId="3" fontId="26" fillId="0" borderId="113" xfId="0" applyNumberFormat="1" applyFont="1" applyBorder="1" applyAlignment="1">
      <alignment vertical="center"/>
    </xf>
    <xf numFmtId="3" fontId="46" fillId="0" borderId="54" xfId="42" applyNumberFormat="1" applyFont="1" applyBorder="1" applyAlignment="1">
      <alignment vertical="center"/>
    </xf>
    <xf numFmtId="0" fontId="45" fillId="0" borderId="88" xfId="42" applyFont="1" applyBorder="1" applyAlignment="1">
      <alignment vertical="center"/>
    </xf>
    <xf numFmtId="0" fontId="46" fillId="0" borderId="114" xfId="42" applyFont="1" applyBorder="1" applyAlignment="1">
      <alignment horizontal="center" vertical="center"/>
    </xf>
    <xf numFmtId="0" fontId="46" fillId="0" borderId="115" xfId="42" applyFont="1" applyBorder="1" applyAlignment="1">
      <alignment horizontal="center" vertical="center" wrapText="1"/>
    </xf>
    <xf numFmtId="3" fontId="86" fillId="0" borderId="27" xfId="42" applyNumberFormat="1" applyFont="1" applyBorder="1" applyAlignment="1">
      <alignment horizontal="right"/>
    </xf>
    <xf numFmtId="3" fontId="86" fillId="0" borderId="28" xfId="42" applyNumberFormat="1" applyFont="1" applyBorder="1" applyAlignment="1">
      <alignment horizontal="right"/>
    </xf>
    <xf numFmtId="0" fontId="86" fillId="0" borderId="27" xfId="42" applyFont="1" applyBorder="1" applyAlignment="1">
      <alignment horizontal="right"/>
    </xf>
    <xf numFmtId="3" fontId="86" fillId="0" borderId="29" xfId="42" applyNumberFormat="1" applyFont="1" applyBorder="1" applyAlignment="1">
      <alignment horizontal="right"/>
    </xf>
    <xf numFmtId="3" fontId="86" fillId="0" borderId="49" xfId="42" applyNumberFormat="1" applyFont="1" applyBorder="1" applyAlignment="1">
      <alignment horizontal="right"/>
    </xf>
    <xf numFmtId="3" fontId="85" fillId="0" borderId="26" xfId="42" applyNumberFormat="1" applyFont="1" applyBorder="1" applyAlignment="1">
      <alignment vertical="center"/>
    </xf>
    <xf numFmtId="3" fontId="85" fillId="0" borderId="26" xfId="0" applyNumberFormat="1" applyFont="1" applyBorder="1" applyAlignment="1">
      <alignment horizontal="right" vertical="center"/>
    </xf>
    <xf numFmtId="3" fontId="85" fillId="0" borderId="26" xfId="42" applyNumberFormat="1" applyFont="1" applyBorder="1" applyAlignment="1">
      <alignment horizontal="right" vertical="center"/>
    </xf>
    <xf numFmtId="3" fontId="85" fillId="0" borderId="20" xfId="0" applyNumberFormat="1" applyFont="1" applyBorder="1" applyAlignment="1">
      <alignment horizontal="right" vertical="center"/>
    </xf>
    <xf numFmtId="170" fontId="40" fillId="0" borderId="69" xfId="29" applyNumberFormat="1" applyFont="1" applyBorder="1" applyAlignment="1" applyProtection="1">
      <alignment vertical="center"/>
      <protection locked="0"/>
    </xf>
    <xf numFmtId="3" fontId="85" fillId="0" borderId="37" xfId="42" applyNumberFormat="1" applyFont="1" applyBorder="1" applyAlignment="1">
      <alignment horizontal="right" vertical="center"/>
    </xf>
    <xf numFmtId="3" fontId="88" fillId="0" borderId="116" xfId="42" applyNumberFormat="1" applyFont="1" applyBorder="1" applyAlignment="1">
      <alignment horizontal="right"/>
    </xf>
    <xf numFmtId="3" fontId="88" fillId="0" borderId="117" xfId="42" applyNumberFormat="1" applyFont="1" applyBorder="1" applyAlignment="1">
      <alignment horizontal="right"/>
    </xf>
    <xf numFmtId="0" fontId="78" fillId="0" borderId="118" xfId="42" applyFont="1" applyBorder="1" applyAlignment="1">
      <alignment vertical="center" wrapText="1"/>
    </xf>
    <xf numFmtId="3" fontId="88" fillId="0" borderId="116" xfId="29" applyNumberFormat="1" applyFont="1" applyBorder="1" applyAlignment="1">
      <alignment horizontal="right" vertical="center"/>
    </xf>
    <xf numFmtId="0" fontId="19" fillId="0" borderId="44" xfId="41" applyFont="1" applyBorder="1"/>
    <xf numFmtId="0" fontId="132" fillId="0" borderId="0" xfId="0" applyFont="1"/>
    <xf numFmtId="0" fontId="45" fillId="0" borderId="54" xfId="42" applyFont="1" applyBorder="1" applyAlignment="1">
      <alignment horizontal="center" vertical="center"/>
    </xf>
    <xf numFmtId="3" fontId="14" fillId="0" borderId="84" xfId="42" applyNumberFormat="1" applyBorder="1" applyAlignment="1">
      <alignment vertical="center"/>
    </xf>
    <xf numFmtId="3" fontId="14" fillId="0" borderId="56" xfId="42" applyNumberFormat="1" applyBorder="1" applyAlignment="1">
      <alignment vertical="center"/>
    </xf>
    <xf numFmtId="3" fontId="14" fillId="0" borderId="85" xfId="42" applyNumberFormat="1" applyBorder="1" applyAlignment="1">
      <alignment vertical="center"/>
    </xf>
    <xf numFmtId="3" fontId="14" fillId="0" borderId="59" xfId="42" applyNumberFormat="1" applyBorder="1" applyAlignment="1">
      <alignment vertical="center"/>
    </xf>
    <xf numFmtId="3" fontId="46" fillId="0" borderId="119" xfId="42" applyNumberFormat="1" applyFont="1" applyBorder="1" applyAlignment="1">
      <alignment vertical="center"/>
    </xf>
    <xf numFmtId="0" fontId="45" fillId="0" borderId="106" xfId="42" applyFont="1" applyBorder="1" applyAlignment="1">
      <alignment horizontal="center" vertical="center"/>
    </xf>
    <xf numFmtId="3" fontId="14" fillId="0" borderId="120" xfId="42" applyNumberFormat="1" applyBorder="1" applyAlignment="1">
      <alignment vertical="center"/>
    </xf>
    <xf numFmtId="3" fontId="14" fillId="0" borderId="121" xfId="42" applyNumberFormat="1" applyBorder="1" applyAlignment="1">
      <alignment vertical="center"/>
    </xf>
    <xf numFmtId="3" fontId="14" fillId="0" borderId="122" xfId="42" applyNumberFormat="1" applyBorder="1" applyAlignment="1">
      <alignment vertical="center"/>
    </xf>
    <xf numFmtId="3" fontId="14" fillId="0" borderId="123" xfId="42" applyNumberFormat="1" applyBorder="1" applyAlignment="1">
      <alignment vertical="center"/>
    </xf>
    <xf numFmtId="3" fontId="99" fillId="0" borderId="124" xfId="42" applyNumberFormat="1" applyFont="1" applyBorder="1" applyAlignment="1">
      <alignment vertical="center"/>
    </xf>
    <xf numFmtId="3" fontId="98" fillId="0" borderId="120" xfId="42" applyNumberFormat="1" applyFont="1" applyBorder="1" applyAlignment="1">
      <alignment vertical="center"/>
    </xf>
    <xf numFmtId="3" fontId="46" fillId="0" borderId="125" xfId="42" applyNumberFormat="1" applyFont="1" applyBorder="1" applyAlignment="1">
      <alignment vertical="center"/>
    </xf>
    <xf numFmtId="3" fontId="46" fillId="0" borderId="126" xfId="42" applyNumberFormat="1" applyFont="1" applyBorder="1" applyAlignment="1">
      <alignment vertical="center"/>
    </xf>
    <xf numFmtId="3" fontId="45" fillId="0" borderId="54" xfId="42" applyNumberFormat="1" applyFont="1" applyBorder="1" applyAlignment="1">
      <alignment vertical="center"/>
    </xf>
    <xf numFmtId="3" fontId="14" fillId="0" borderId="127" xfId="42" applyNumberFormat="1" applyBorder="1" applyAlignment="1">
      <alignment vertical="center"/>
    </xf>
    <xf numFmtId="3" fontId="46" fillId="0" borderId="124" xfId="42" applyNumberFormat="1" applyFont="1" applyBorder="1" applyAlignment="1">
      <alignment vertical="center"/>
    </xf>
    <xf numFmtId="3" fontId="46" fillId="0" borderId="128" xfId="42" applyNumberFormat="1" applyFont="1" applyBorder="1" applyAlignment="1">
      <alignment vertical="center"/>
    </xf>
    <xf numFmtId="3" fontId="46" fillId="0" borderId="85" xfId="42" applyNumberFormat="1" applyFont="1" applyBorder="1" applyAlignment="1">
      <alignment vertical="center"/>
    </xf>
    <xf numFmtId="3" fontId="46" fillId="0" borderId="57" xfId="42" applyNumberFormat="1" applyFont="1" applyBorder="1" applyAlignment="1">
      <alignment vertical="center"/>
    </xf>
    <xf numFmtId="3" fontId="14" fillId="0" borderId="129" xfId="42" applyNumberFormat="1" applyBorder="1" applyAlignment="1">
      <alignment vertical="center"/>
    </xf>
    <xf numFmtId="3" fontId="46" fillId="0" borderId="107" xfId="42" applyNumberFormat="1" applyFont="1" applyBorder="1" applyAlignment="1">
      <alignment vertical="center"/>
    </xf>
    <xf numFmtId="3" fontId="46" fillId="0" borderId="122" xfId="42" applyNumberFormat="1" applyFont="1" applyBorder="1" applyAlignment="1">
      <alignment vertical="center"/>
    </xf>
    <xf numFmtId="3" fontId="45" fillId="0" borderId="107" xfId="42" applyNumberFormat="1" applyFont="1" applyBorder="1" applyAlignment="1">
      <alignment vertical="center"/>
    </xf>
    <xf numFmtId="3" fontId="47" fillId="0" borderId="126" xfId="42" applyNumberFormat="1" applyFont="1" applyBorder="1" applyAlignment="1">
      <alignment vertical="center"/>
    </xf>
    <xf numFmtId="3" fontId="14" fillId="0" borderId="54" xfId="42" applyNumberFormat="1" applyBorder="1" applyAlignment="1">
      <alignment vertical="center"/>
    </xf>
    <xf numFmtId="3" fontId="98" fillId="0" borderId="129" xfId="42" applyNumberFormat="1" applyFont="1" applyBorder="1" applyAlignment="1">
      <alignment vertical="center"/>
    </xf>
    <xf numFmtId="3" fontId="98" fillId="0" borderId="121" xfId="42" applyNumberFormat="1" applyFont="1" applyBorder="1" applyAlignment="1">
      <alignment vertical="center"/>
    </xf>
    <xf numFmtId="3" fontId="99" fillId="0" borderId="122" xfId="42" applyNumberFormat="1" applyFont="1" applyBorder="1" applyAlignment="1">
      <alignment vertical="center"/>
    </xf>
    <xf numFmtId="3" fontId="99" fillId="0" borderId="107" xfId="42" applyNumberFormat="1" applyFont="1" applyBorder="1" applyAlignment="1">
      <alignment vertical="center"/>
    </xf>
    <xf numFmtId="3" fontId="48" fillId="0" borderId="128" xfId="42" applyNumberFormat="1" applyFont="1" applyBorder="1" applyAlignment="1">
      <alignment vertical="center"/>
    </xf>
    <xf numFmtId="3" fontId="67" fillId="0" borderId="30" xfId="41" applyNumberFormat="1" applyFont="1" applyBorder="1" applyAlignment="1">
      <alignment vertical="center"/>
    </xf>
    <xf numFmtId="3" fontId="67" fillId="0" borderId="130" xfId="41" applyNumberFormat="1" applyFont="1" applyBorder="1" applyAlignment="1">
      <alignment vertical="center"/>
    </xf>
    <xf numFmtId="3" fontId="1" fillId="0" borderId="131" xfId="41" applyNumberFormat="1" applyBorder="1" applyAlignment="1">
      <alignment vertical="center"/>
    </xf>
    <xf numFmtId="3" fontId="19" fillId="0" borderId="113" xfId="41" applyNumberFormat="1" applyFont="1" applyBorder="1" applyAlignment="1">
      <alignment horizontal="right"/>
    </xf>
    <xf numFmtId="0" fontId="19" fillId="0" borderId="112" xfId="41" applyFont="1" applyBorder="1"/>
    <xf numFmtId="0" fontId="19" fillId="0" borderId="132" xfId="41" applyFont="1" applyBorder="1"/>
    <xf numFmtId="0" fontId="86" fillId="0" borderId="112" xfId="42" applyFont="1" applyBorder="1" applyAlignment="1">
      <alignment wrapText="1"/>
    </xf>
    <xf numFmtId="10" fontId="27" fillId="0" borderId="16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vertical="center"/>
    </xf>
    <xf numFmtId="3" fontId="26" fillId="0" borderId="39" xfId="0" applyNumberFormat="1" applyFont="1" applyBorder="1" applyAlignment="1">
      <alignment vertical="center"/>
    </xf>
    <xf numFmtId="3" fontId="26" fillId="0" borderId="83" xfId="0" applyNumberFormat="1" applyFont="1" applyBorder="1" applyAlignment="1">
      <alignment vertical="center"/>
    </xf>
    <xf numFmtId="3" fontId="34" fillId="0" borderId="16" xfId="0" applyNumberFormat="1" applyFont="1" applyBorder="1" applyAlignment="1">
      <alignment vertical="center"/>
    </xf>
    <xf numFmtId="3" fontId="27" fillId="0" borderId="10" xfId="0" applyNumberFormat="1" applyFont="1" applyBorder="1" applyAlignment="1">
      <alignment horizontal="right" vertical="center"/>
    </xf>
    <xf numFmtId="3" fontId="27" fillId="0" borderId="54" xfId="0" applyNumberFormat="1" applyFont="1" applyBorder="1" applyAlignment="1">
      <alignment vertical="center"/>
    </xf>
    <xf numFmtId="3" fontId="26" fillId="0" borderId="84" xfId="0" applyNumberFormat="1" applyFont="1" applyBorder="1" applyAlignment="1">
      <alignment vertical="center"/>
    </xf>
    <xf numFmtId="3" fontId="26" fillId="0" borderId="56" xfId="0" applyNumberFormat="1" applyFont="1" applyBorder="1" applyAlignment="1">
      <alignment vertical="center"/>
    </xf>
    <xf numFmtId="3" fontId="26" fillId="0" borderId="85" xfId="0" applyNumberFormat="1" applyFont="1" applyBorder="1" applyAlignment="1">
      <alignment vertical="center"/>
    </xf>
    <xf numFmtId="3" fontId="26" fillId="0" borderId="82" xfId="0" applyNumberFormat="1" applyFont="1" applyBorder="1" applyAlignment="1">
      <alignment vertical="center"/>
    </xf>
    <xf numFmtId="3" fontId="34" fillId="0" borderId="54" xfId="0" applyNumberFormat="1" applyFont="1" applyBorder="1" applyAlignment="1">
      <alignment vertical="center"/>
    </xf>
    <xf numFmtId="3" fontId="27" fillId="0" borderId="54" xfId="0" applyNumberFormat="1" applyFont="1" applyBorder="1" applyAlignment="1">
      <alignment horizontal="right" vertical="center"/>
    </xf>
    <xf numFmtId="3" fontId="21" fillId="0" borderId="61" xfId="0" applyNumberFormat="1" applyFont="1" applyBorder="1" applyAlignment="1">
      <alignment vertical="center"/>
    </xf>
    <xf numFmtId="3" fontId="27" fillId="0" borderId="107" xfId="0" applyNumberFormat="1" applyFont="1" applyBorder="1" applyAlignment="1">
      <alignment vertical="center"/>
    </xf>
    <xf numFmtId="3" fontId="26" fillId="0" borderId="120" xfId="0" applyNumberFormat="1" applyFont="1" applyBorder="1" applyAlignment="1">
      <alignment vertical="center"/>
    </xf>
    <xf numFmtId="3" fontId="26" fillId="0" borderId="121" xfId="0" applyNumberFormat="1" applyFont="1" applyBorder="1" applyAlignment="1">
      <alignment vertical="center"/>
    </xf>
    <xf numFmtId="3" fontId="26" fillId="0" borderId="122" xfId="0" applyNumberFormat="1" applyFont="1" applyBorder="1" applyAlignment="1">
      <alignment vertical="center"/>
    </xf>
    <xf numFmtId="3" fontId="26" fillId="0" borderId="133" xfId="0" applyNumberFormat="1" applyFont="1" applyBorder="1" applyAlignment="1">
      <alignment vertical="center"/>
    </xf>
    <xf numFmtId="3" fontId="34" fillId="0" borderId="107" xfId="0" applyNumberFormat="1" applyFont="1" applyBorder="1" applyAlignment="1">
      <alignment vertical="center"/>
    </xf>
    <xf numFmtId="0" fontId="25" fillId="0" borderId="133" xfId="0" applyFont="1" applyBorder="1" applyAlignment="1">
      <alignment vertical="center"/>
    </xf>
    <xf numFmtId="3" fontId="27" fillId="0" borderId="107" xfId="0" applyNumberFormat="1" applyFont="1" applyBorder="1" applyAlignment="1">
      <alignment horizontal="right" vertical="center"/>
    </xf>
    <xf numFmtId="3" fontId="27" fillId="0" borderId="124" xfId="0" applyNumberFormat="1" applyFont="1" applyBorder="1" applyAlignment="1">
      <alignment vertical="center"/>
    </xf>
    <xf numFmtId="3" fontId="27" fillId="0" borderId="128" xfId="0" applyNumberFormat="1" applyFont="1" applyBorder="1" applyAlignment="1">
      <alignment vertical="center"/>
    </xf>
    <xf numFmtId="0" fontId="27" fillId="0" borderId="124" xfId="0" applyFont="1" applyBorder="1" applyAlignment="1">
      <alignment horizontal="center" vertical="center" wrapText="1"/>
    </xf>
    <xf numFmtId="3" fontId="85" fillId="0" borderId="38" xfId="0" applyNumberFormat="1" applyFont="1" applyBorder="1" applyAlignment="1">
      <alignment horizontal="right" vertical="center"/>
    </xf>
    <xf numFmtId="3" fontId="86" fillId="0" borderId="38" xfId="42" applyNumberFormat="1" applyFont="1" applyBorder="1" applyAlignment="1">
      <alignment vertical="center"/>
    </xf>
    <xf numFmtId="3" fontId="27" fillId="16" borderId="10" xfId="0" applyNumberFormat="1" applyFont="1" applyFill="1" applyBorder="1" applyAlignment="1">
      <alignment horizontal="right" vertical="center" wrapText="1"/>
    </xf>
    <xf numFmtId="3" fontId="26" fillId="16" borderId="64" xfId="0" applyNumberFormat="1" applyFont="1" applyFill="1" applyBorder="1" applyAlignment="1">
      <alignment horizontal="right" vertical="center" wrapText="1"/>
    </xf>
    <xf numFmtId="3" fontId="26" fillId="0" borderId="28" xfId="0" applyNumberFormat="1" applyFont="1" applyBorder="1" applyAlignment="1">
      <alignment horizontal="right" vertical="center" wrapText="1"/>
    </xf>
    <xf numFmtId="3" fontId="26" fillId="0" borderId="67" xfId="0" applyNumberFormat="1" applyFont="1" applyBorder="1" applyAlignment="1">
      <alignment horizontal="right" vertical="center" wrapText="1"/>
    </xf>
    <xf numFmtId="3" fontId="27" fillId="0" borderId="64" xfId="0" applyNumberFormat="1" applyFont="1" applyBorder="1" applyAlignment="1">
      <alignment horizontal="right" vertical="center"/>
    </xf>
    <xf numFmtId="3" fontId="27" fillId="0" borderId="28" xfId="0" applyNumberFormat="1" applyFont="1" applyBorder="1" applyAlignment="1">
      <alignment horizontal="right" vertical="center"/>
    </xf>
    <xf numFmtId="3" fontId="27" fillId="0" borderId="67" xfId="0" applyNumberFormat="1" applyFont="1" applyBorder="1" applyAlignment="1">
      <alignment horizontal="right" vertical="center"/>
    </xf>
    <xf numFmtId="3" fontId="26" fillId="0" borderId="67" xfId="0" applyNumberFormat="1" applyFont="1" applyBorder="1" applyAlignment="1">
      <alignment horizontal="right" vertical="center"/>
    </xf>
    <xf numFmtId="3" fontId="21" fillId="0" borderId="58" xfId="0" applyNumberFormat="1" applyFont="1" applyBorder="1" applyAlignment="1">
      <alignment vertical="center"/>
    </xf>
    <xf numFmtId="10" fontId="21" fillId="0" borderId="58" xfId="0" applyNumberFormat="1" applyFont="1" applyBorder="1" applyAlignment="1">
      <alignment vertical="center"/>
    </xf>
    <xf numFmtId="0" fontId="26" fillId="0" borderId="95" xfId="0" applyFont="1" applyBorder="1" applyAlignment="1">
      <alignment horizontal="center" vertical="center" wrapText="1"/>
    </xf>
    <xf numFmtId="0" fontId="26" fillId="0" borderId="134" xfId="0" applyFont="1" applyBorder="1" applyAlignment="1">
      <alignment horizontal="center" vertical="center" wrapText="1"/>
    </xf>
    <xf numFmtId="3" fontId="27" fillId="16" borderId="95" xfId="0" applyNumberFormat="1" applyFont="1" applyFill="1" applyBorder="1" applyAlignment="1">
      <alignment horizontal="right" vertical="center" wrapText="1"/>
    </xf>
    <xf numFmtId="3" fontId="27" fillId="16" borderId="134" xfId="0" applyNumberFormat="1" applyFont="1" applyFill="1" applyBorder="1" applyAlignment="1">
      <alignment horizontal="right" vertical="center" wrapText="1"/>
    </xf>
    <xf numFmtId="3" fontId="26" fillId="16" borderId="99" xfId="0" applyNumberFormat="1" applyFont="1" applyFill="1" applyBorder="1" applyAlignment="1">
      <alignment horizontal="right" vertical="center" wrapText="1"/>
    </xf>
    <xf numFmtId="3" fontId="26" fillId="16" borderId="135" xfId="0" applyNumberFormat="1" applyFont="1" applyFill="1" applyBorder="1" applyAlignment="1">
      <alignment horizontal="right" vertical="center" wrapText="1"/>
    </xf>
    <xf numFmtId="3" fontId="26" fillId="16" borderId="98" xfId="0" applyNumberFormat="1" applyFont="1" applyFill="1" applyBorder="1" applyAlignment="1">
      <alignment horizontal="right" vertical="center" wrapText="1"/>
    </xf>
    <xf numFmtId="3" fontId="26" fillId="16" borderId="136" xfId="0" applyNumberFormat="1" applyFont="1" applyFill="1" applyBorder="1" applyAlignment="1">
      <alignment horizontal="right" vertical="center" wrapText="1"/>
    </xf>
    <xf numFmtId="3" fontId="26" fillId="16" borderId="137" xfId="0" applyNumberFormat="1" applyFont="1" applyFill="1" applyBorder="1" applyAlignment="1">
      <alignment horizontal="right" vertical="center" wrapText="1"/>
    </xf>
    <xf numFmtId="3" fontId="26" fillId="0" borderId="137" xfId="0" applyNumberFormat="1" applyFont="1" applyBorder="1" applyAlignment="1">
      <alignment horizontal="right" vertical="center" wrapText="1"/>
    </xf>
    <xf numFmtId="3" fontId="26" fillId="0" borderId="138" xfId="0" applyNumberFormat="1" applyFont="1" applyBorder="1" applyAlignment="1">
      <alignment horizontal="right" vertical="center" wrapText="1"/>
    </xf>
    <xf numFmtId="3" fontId="26" fillId="16" borderId="101" xfId="0" applyNumberFormat="1" applyFont="1" applyFill="1" applyBorder="1" applyAlignment="1">
      <alignment horizontal="right" vertical="center" wrapText="1"/>
    </xf>
    <xf numFmtId="3" fontId="27" fillId="0" borderId="134" xfId="0" applyNumberFormat="1" applyFont="1" applyBorder="1" applyAlignment="1">
      <alignment horizontal="right" vertical="center" wrapText="1"/>
    </xf>
    <xf numFmtId="3" fontId="26" fillId="16" borderId="139" xfId="0" applyNumberFormat="1" applyFont="1" applyFill="1" applyBorder="1" applyAlignment="1">
      <alignment horizontal="right" vertical="center" wrapText="1"/>
    </xf>
    <xf numFmtId="3" fontId="26" fillId="0" borderId="135" xfId="0" applyNumberFormat="1" applyFont="1" applyBorder="1" applyAlignment="1">
      <alignment horizontal="right" vertical="center" wrapText="1"/>
    </xf>
    <xf numFmtId="3" fontId="26" fillId="0" borderId="98" xfId="0" applyNumberFormat="1" applyFont="1" applyBorder="1" applyAlignment="1">
      <alignment horizontal="right" vertical="center"/>
    </xf>
    <xf numFmtId="3" fontId="26" fillId="0" borderId="136" xfId="0" applyNumberFormat="1" applyFont="1" applyBorder="1" applyAlignment="1">
      <alignment horizontal="right" vertical="center"/>
    </xf>
    <xf numFmtId="3" fontId="27" fillId="0" borderId="95" xfId="0" applyNumberFormat="1" applyFont="1" applyBorder="1" applyAlignment="1">
      <alignment horizontal="right" vertical="center"/>
    </xf>
    <xf numFmtId="3" fontId="27" fillId="0" borderId="134" xfId="0" applyNumberFormat="1" applyFont="1" applyBorder="1" applyAlignment="1">
      <alignment horizontal="right" vertical="center"/>
    </xf>
    <xf numFmtId="3" fontId="26" fillId="0" borderId="99" xfId="0" applyNumberFormat="1" applyFont="1" applyBorder="1" applyAlignment="1">
      <alignment horizontal="right" vertical="center"/>
    </xf>
    <xf numFmtId="3" fontId="27" fillId="0" borderId="98" xfId="0" applyNumberFormat="1" applyFont="1" applyBorder="1" applyAlignment="1">
      <alignment horizontal="right" vertical="center"/>
    </xf>
    <xf numFmtId="3" fontId="27" fillId="0" borderId="101" xfId="0" applyNumberFormat="1" applyFont="1" applyBorder="1" applyAlignment="1">
      <alignment horizontal="right" vertical="center"/>
    </xf>
    <xf numFmtId="3" fontId="26" fillId="0" borderId="139" xfId="0" applyNumberFormat="1" applyFont="1" applyBorder="1" applyAlignment="1">
      <alignment horizontal="right" vertical="center"/>
    </xf>
    <xf numFmtId="3" fontId="26" fillId="0" borderId="135" xfId="0" applyNumberFormat="1" applyFont="1" applyBorder="1" applyAlignment="1">
      <alignment horizontal="right" vertical="center"/>
    </xf>
    <xf numFmtId="3" fontId="26" fillId="0" borderId="96" xfId="0" applyNumberFormat="1" applyFont="1" applyBorder="1" applyAlignment="1">
      <alignment horizontal="right" vertical="center"/>
    </xf>
    <xf numFmtId="3" fontId="26" fillId="0" borderId="137" xfId="0" applyNumberFormat="1" applyFont="1" applyBorder="1" applyAlignment="1">
      <alignment horizontal="right" vertical="center"/>
    </xf>
    <xf numFmtId="3" fontId="26" fillId="0" borderId="100" xfId="0" applyNumberFormat="1" applyFont="1" applyBorder="1" applyAlignment="1">
      <alignment horizontal="right" vertical="center"/>
    </xf>
    <xf numFmtId="3" fontId="26" fillId="0" borderId="138" xfId="0" applyNumberFormat="1" applyFont="1" applyBorder="1" applyAlignment="1">
      <alignment horizontal="right" vertical="center"/>
    </xf>
    <xf numFmtId="3" fontId="27" fillId="0" borderId="139" xfId="0" applyNumberFormat="1" applyFont="1" applyBorder="1" applyAlignment="1">
      <alignment horizontal="right" vertical="center"/>
    </xf>
    <xf numFmtId="3" fontId="27" fillId="0" borderId="135" xfId="0" applyNumberFormat="1" applyFont="1" applyBorder="1" applyAlignment="1">
      <alignment horizontal="right" vertical="center"/>
    </xf>
    <xf numFmtId="3" fontId="27" fillId="0" borderId="98" xfId="0" applyNumberFormat="1" applyFont="1" applyBorder="1" applyAlignment="1">
      <alignment vertical="center"/>
    </xf>
    <xf numFmtId="3" fontId="27" fillId="0" borderId="136" xfId="0" applyNumberFormat="1" applyFont="1" applyBorder="1" applyAlignment="1">
      <alignment vertical="center"/>
    </xf>
    <xf numFmtId="3" fontId="27" fillId="0" borderId="95" xfId="0" applyNumberFormat="1" applyFont="1" applyBorder="1" applyAlignment="1">
      <alignment vertical="center"/>
    </xf>
    <xf numFmtId="3" fontId="27" fillId="0" borderId="134" xfId="0" applyNumberFormat="1" applyFont="1" applyBorder="1" applyAlignment="1">
      <alignment vertical="center"/>
    </xf>
    <xf numFmtId="3" fontId="27" fillId="0" borderId="139" xfId="0" applyNumberFormat="1" applyFont="1" applyBorder="1" applyAlignment="1">
      <alignment vertical="center"/>
    </xf>
    <xf numFmtId="3" fontId="27" fillId="0" borderId="135" xfId="0" applyNumberFormat="1" applyFont="1" applyBorder="1" applyAlignment="1">
      <alignment vertical="center"/>
    </xf>
    <xf numFmtId="3" fontId="26" fillId="0" borderId="96" xfId="0" applyNumberFormat="1" applyFont="1" applyBorder="1" applyAlignment="1">
      <alignment vertical="center"/>
    </xf>
    <xf numFmtId="3" fontId="26" fillId="0" borderId="137" xfId="0" applyNumberFormat="1" applyFont="1" applyBorder="1" applyAlignment="1">
      <alignment vertical="center"/>
    </xf>
    <xf numFmtId="3" fontId="26" fillId="0" borderId="98" xfId="0" applyNumberFormat="1" applyFont="1" applyBorder="1" applyAlignment="1">
      <alignment vertical="center"/>
    </xf>
    <xf numFmtId="3" fontId="26" fillId="0" borderId="136" xfId="0" applyNumberFormat="1" applyFont="1" applyBorder="1" applyAlignment="1">
      <alignment vertical="center"/>
    </xf>
    <xf numFmtId="3" fontId="27" fillId="0" borderId="102" xfId="0" applyNumberFormat="1" applyFont="1" applyBorder="1" applyAlignment="1">
      <alignment vertical="center"/>
    </xf>
    <xf numFmtId="3" fontId="27" fillId="0" borderId="103" xfId="0" applyNumberFormat="1" applyFont="1" applyBorder="1" applyAlignment="1">
      <alignment vertical="center"/>
    </xf>
    <xf numFmtId="3" fontId="27" fillId="0" borderId="140" xfId="0" applyNumberFormat="1" applyFont="1" applyBorder="1" applyAlignment="1">
      <alignment vertical="center"/>
    </xf>
    <xf numFmtId="0" fontId="19" fillId="19" borderId="45" xfId="41" applyFont="1" applyFill="1" applyBorder="1"/>
    <xf numFmtId="0" fontId="19" fillId="0" borderId="114" xfId="41" applyFont="1" applyBorder="1"/>
    <xf numFmtId="3" fontId="19" fillId="0" borderId="141" xfId="41" applyNumberFormat="1" applyFont="1" applyBorder="1"/>
    <xf numFmtId="3" fontId="60" fillId="0" borderId="0" xfId="46" applyNumberFormat="1" applyFont="1" applyAlignment="1">
      <alignment vertical="center"/>
    </xf>
    <xf numFmtId="3" fontId="60" fillId="0" borderId="0" xfId="46" applyNumberFormat="1" applyFont="1" applyProtection="1">
      <protection locked="0"/>
    </xf>
    <xf numFmtId="3" fontId="60" fillId="0" borderId="0" xfId="46" applyNumberFormat="1" applyFont="1"/>
    <xf numFmtId="3" fontId="60" fillId="0" borderId="0" xfId="46" applyNumberFormat="1" applyFont="1" applyAlignment="1" applyProtection="1">
      <alignment vertical="center"/>
      <protection locked="0"/>
    </xf>
    <xf numFmtId="3" fontId="19" fillId="0" borderId="68" xfId="41" applyNumberFormat="1" applyFont="1" applyBorder="1"/>
    <xf numFmtId="0" fontId="19" fillId="19" borderId="88" xfId="41" applyFont="1" applyFill="1" applyBorder="1"/>
    <xf numFmtId="3" fontId="19" fillId="19" borderId="52" xfId="41" applyNumberFormat="1" applyFont="1" applyFill="1" applyBorder="1"/>
    <xf numFmtId="0" fontId="19" fillId="19" borderId="114" xfId="41" applyFont="1" applyFill="1" applyBorder="1"/>
    <xf numFmtId="3" fontId="19" fillId="19" borderId="142" xfId="41" applyNumberFormat="1" applyFont="1" applyFill="1" applyBorder="1"/>
    <xf numFmtId="0" fontId="14" fillId="0" borderId="108" xfId="42" applyBorder="1" applyAlignment="1">
      <alignment horizontal="center" vertical="center"/>
    </xf>
    <xf numFmtId="3" fontId="74" fillId="0" borderId="88" xfId="44" applyNumberFormat="1" applyFont="1" applyBorder="1" applyAlignment="1">
      <alignment horizontal="right" vertical="top"/>
    </xf>
    <xf numFmtId="3" fontId="75" fillId="0" borderId="88" xfId="44" applyNumberFormat="1" applyFont="1" applyBorder="1" applyAlignment="1">
      <alignment vertical="top"/>
    </xf>
    <xf numFmtId="3" fontId="75" fillId="0" borderId="108" xfId="44" applyNumberFormat="1" applyFont="1" applyBorder="1" applyAlignment="1">
      <alignment vertical="top"/>
    </xf>
    <xf numFmtId="3" fontId="75" fillId="0" borderId="143" xfId="44" applyNumberFormat="1" applyFont="1" applyBorder="1" applyAlignment="1">
      <alignment vertical="top"/>
    </xf>
    <xf numFmtId="3" fontId="75" fillId="0" borderId="144" xfId="44" applyNumberFormat="1" applyFont="1" applyBorder="1" applyAlignment="1">
      <alignment vertical="top"/>
    </xf>
    <xf numFmtId="0" fontId="14" fillId="0" borderId="125" xfId="42" applyBorder="1" applyAlignment="1">
      <alignment horizontal="center" vertical="center"/>
    </xf>
    <xf numFmtId="3" fontId="86" fillId="0" borderId="30" xfId="42" applyNumberFormat="1" applyFont="1" applyBorder="1" applyAlignment="1">
      <alignment horizontal="right"/>
    </xf>
    <xf numFmtId="3" fontId="86" fillId="0" borderId="83" xfId="42" applyNumberFormat="1" applyFont="1" applyBorder="1" applyAlignment="1">
      <alignment horizontal="right"/>
    </xf>
    <xf numFmtId="3" fontId="87" fillId="0" borderId="30" xfId="42" applyNumberFormat="1" applyFont="1" applyBorder="1" applyAlignment="1">
      <alignment horizontal="right"/>
    </xf>
    <xf numFmtId="3" fontId="86" fillId="0" borderId="113" xfId="42" applyNumberFormat="1" applyFont="1" applyBorder="1" applyAlignment="1">
      <alignment horizontal="right"/>
    </xf>
    <xf numFmtId="3" fontId="86" fillId="0" borderId="145" xfId="42" applyNumberFormat="1" applyFont="1" applyBorder="1" applyAlignment="1">
      <alignment horizontal="right"/>
    </xf>
    <xf numFmtId="3" fontId="87" fillId="0" borderId="110" xfId="42" applyNumberFormat="1" applyFont="1" applyBorder="1" applyAlignment="1">
      <alignment horizontal="right"/>
    </xf>
    <xf numFmtId="3" fontId="87" fillId="0" borderId="113" xfId="42" applyNumberFormat="1" applyFont="1" applyBorder="1" applyAlignment="1">
      <alignment horizontal="right"/>
    </xf>
    <xf numFmtId="49" fontId="26" fillId="0" borderId="146" xfId="0" applyNumberFormat="1" applyFont="1" applyBorder="1" applyAlignment="1">
      <alignment horizontal="left" vertical="center" wrapText="1"/>
    </xf>
    <xf numFmtId="49" fontId="103" fillId="0" borderId="147" xfId="0" applyNumberFormat="1" applyFont="1" applyBorder="1" applyAlignment="1">
      <alignment horizontal="left" vertical="center"/>
    </xf>
    <xf numFmtId="49" fontId="26" fillId="0" borderId="51" xfId="0" applyNumberFormat="1" applyFont="1" applyBorder="1" applyAlignment="1">
      <alignment horizontal="left" vertical="center"/>
    </xf>
    <xf numFmtId="3" fontId="27" fillId="0" borderId="82" xfId="0" applyNumberFormat="1" applyFont="1" applyBorder="1" applyAlignment="1">
      <alignment vertical="center"/>
    </xf>
    <xf numFmtId="3" fontId="103" fillId="0" borderId="45" xfId="0" applyNumberFormat="1" applyFont="1" applyBorder="1" applyAlignment="1">
      <alignment vertical="center"/>
    </xf>
    <xf numFmtId="3" fontId="103" fillId="0" borderId="38" xfId="0" applyNumberFormat="1" applyFont="1" applyBorder="1" applyAlignment="1">
      <alignment vertical="center"/>
    </xf>
    <xf numFmtId="3" fontId="27" fillId="0" borderId="13" xfId="0" applyNumberFormat="1" applyFont="1" applyBorder="1" applyAlignment="1">
      <alignment horizontal="right" vertical="center" wrapText="1"/>
    </xf>
    <xf numFmtId="3" fontId="26" fillId="0" borderId="26" xfId="0" applyNumberFormat="1" applyFont="1" applyBorder="1" applyAlignment="1">
      <alignment horizontal="right" vertical="center" wrapText="1"/>
    </xf>
    <xf numFmtId="3" fontId="26" fillId="0" borderId="38" xfId="0" applyNumberFormat="1" applyFont="1" applyBorder="1" applyAlignment="1">
      <alignment horizontal="right" vertical="center" wrapText="1"/>
    </xf>
    <xf numFmtId="0" fontId="105" fillId="0" borderId="148" xfId="0" applyFont="1" applyBorder="1" applyAlignment="1">
      <alignment horizontal="center"/>
    </xf>
    <xf numFmtId="0" fontId="105" fillId="0" borderId="149" xfId="0" applyFont="1" applyBorder="1" applyAlignment="1">
      <alignment horizontal="center"/>
    </xf>
    <xf numFmtId="0" fontId="105" fillId="0" borderId="150" xfId="0" applyFont="1" applyBorder="1" applyAlignment="1">
      <alignment horizontal="center"/>
    </xf>
    <xf numFmtId="0" fontId="0" fillId="0" borderId="151" xfId="0" applyBorder="1" applyAlignment="1">
      <alignment horizontal="center"/>
    </xf>
    <xf numFmtId="0" fontId="0" fillId="0" borderId="152" xfId="0" applyBorder="1" applyAlignment="1">
      <alignment horizontal="center"/>
    </xf>
    <xf numFmtId="0" fontId="70" fillId="0" borderId="153" xfId="0" applyFont="1" applyBorder="1"/>
    <xf numFmtId="0" fontId="70" fillId="0" borderId="89" xfId="0" applyFont="1" applyBorder="1"/>
    <xf numFmtId="0" fontId="0" fillId="0" borderId="154" xfId="0" applyBorder="1" applyAlignment="1">
      <alignment horizontal="center"/>
    </xf>
    <xf numFmtId="0" fontId="70" fillId="0" borderId="155" xfId="0" applyFont="1" applyBorder="1"/>
    <xf numFmtId="0" fontId="104" fillId="0" borderId="156" xfId="0" applyFont="1" applyBorder="1"/>
    <xf numFmtId="0" fontId="106" fillId="0" borderId="157" xfId="0" applyFont="1" applyBorder="1" applyAlignment="1">
      <alignment horizontal="center"/>
    </xf>
    <xf numFmtId="3" fontId="70" fillId="0" borderId="153" xfId="0" applyNumberFormat="1" applyFont="1" applyBorder="1"/>
    <xf numFmtId="3" fontId="70" fillId="0" borderId="158" xfId="0" applyNumberFormat="1" applyFont="1" applyBorder="1"/>
    <xf numFmtId="3" fontId="70" fillId="0" borderId="89" xfId="0" applyNumberFormat="1" applyFont="1" applyBorder="1"/>
    <xf numFmtId="3" fontId="70" fillId="0" borderId="159" xfId="0" applyNumberFormat="1" applyFont="1" applyBorder="1"/>
    <xf numFmtId="3" fontId="70" fillId="0" borderId="155" xfId="0" applyNumberFormat="1" applyFont="1" applyBorder="1"/>
    <xf numFmtId="3" fontId="70" fillId="0" borderId="160" xfId="0" applyNumberFormat="1" applyFont="1" applyBorder="1"/>
    <xf numFmtId="3" fontId="73" fillId="0" borderId="156" xfId="0" applyNumberFormat="1" applyFont="1" applyBorder="1"/>
    <xf numFmtId="3" fontId="73" fillId="0" borderId="161" xfId="0" applyNumberFormat="1" applyFont="1" applyBorder="1"/>
    <xf numFmtId="0" fontId="105" fillId="0" borderId="162" xfId="0" applyFont="1" applyBorder="1" applyAlignment="1">
      <alignment horizontal="center"/>
    </xf>
    <xf numFmtId="3" fontId="70" fillId="0" borderId="163" xfId="0" applyNumberFormat="1" applyFont="1" applyBorder="1"/>
    <xf numFmtId="3" fontId="70" fillId="0" borderId="92" xfId="0" applyNumberFormat="1" applyFont="1" applyBorder="1"/>
    <xf numFmtId="3" fontId="70" fillId="0" borderId="164" xfId="0" applyNumberFormat="1" applyFont="1" applyBorder="1"/>
    <xf numFmtId="3" fontId="73" fillId="0" borderId="165" xfId="0" applyNumberFormat="1" applyFont="1" applyBorder="1"/>
    <xf numFmtId="3" fontId="74" fillId="0" borderId="125" xfId="44" applyNumberFormat="1" applyFont="1" applyBorder="1" applyAlignment="1">
      <alignment horizontal="right" vertical="top"/>
    </xf>
    <xf numFmtId="2" fontId="69" fillId="0" borderId="57" xfId="43" applyNumberFormat="1" applyFont="1" applyBorder="1" applyAlignment="1">
      <alignment horizontal="center" vertical="center"/>
    </xf>
    <xf numFmtId="0" fontId="67" fillId="0" borderId="40" xfId="0" applyFont="1" applyBorder="1" applyAlignment="1">
      <alignment vertical="center" wrapText="1"/>
    </xf>
    <xf numFmtId="0" fontId="48" fillId="0" borderId="118" xfId="43" applyFont="1" applyBorder="1" applyAlignment="1">
      <alignment horizontal="left" vertical="center" wrapText="1"/>
    </xf>
    <xf numFmtId="1" fontId="69" fillId="0" borderId="116" xfId="43" applyNumberFormat="1" applyFont="1" applyBorder="1" applyAlignment="1">
      <alignment horizontal="center" vertical="center"/>
    </xf>
    <xf numFmtId="1" fontId="69" fillId="0" borderId="142" xfId="43" applyNumberFormat="1" applyFont="1" applyBorder="1" applyAlignment="1">
      <alignment horizontal="center" vertical="center"/>
    </xf>
    <xf numFmtId="0" fontId="66" fillId="0" borderId="61" xfId="43" applyFont="1" applyBorder="1" applyAlignment="1">
      <alignment horizontal="left" vertical="center"/>
    </xf>
    <xf numFmtId="0" fontId="66" fillId="0" borderId="58" xfId="43" applyFont="1" applyBorder="1" applyAlignment="1">
      <alignment horizontal="left" vertical="center"/>
    </xf>
    <xf numFmtId="1" fontId="69" fillId="0" borderId="71" xfId="43" applyNumberFormat="1" applyFont="1" applyBorder="1" applyAlignment="1">
      <alignment horizontal="center" vertical="center" wrapText="1"/>
    </xf>
    <xf numFmtId="0" fontId="66" fillId="0" borderId="166" xfId="43" applyFont="1" applyBorder="1" applyAlignment="1">
      <alignment horizontal="left" vertical="center"/>
    </xf>
    <xf numFmtId="0" fontId="66" fillId="0" borderId="167" xfId="43" applyFont="1" applyBorder="1" applyAlignment="1">
      <alignment horizontal="left" vertical="center"/>
    </xf>
    <xf numFmtId="1" fontId="69" fillId="0" borderId="168" xfId="43" applyNumberFormat="1" applyFont="1" applyBorder="1" applyAlignment="1">
      <alignment horizontal="center" vertical="center" wrapText="1"/>
    </xf>
    <xf numFmtId="0" fontId="67" fillId="0" borderId="98" xfId="43" applyFont="1" applyBorder="1" applyAlignment="1">
      <alignment horizontal="left" vertical="center"/>
    </xf>
    <xf numFmtId="0" fontId="62" fillId="0" borderId="0" xfId="43" applyFont="1" applyBorder="1" applyAlignment="1">
      <alignment horizontal="center" vertical="center"/>
    </xf>
    <xf numFmtId="0" fontId="67" fillId="0" borderId="136" xfId="43" applyFont="1" applyBorder="1" applyAlignment="1">
      <alignment horizontal="center" vertical="center"/>
    </xf>
    <xf numFmtId="0" fontId="67" fillId="0" borderId="169" xfId="43" applyFont="1" applyBorder="1" applyAlignment="1">
      <alignment horizontal="left" vertical="center"/>
    </xf>
    <xf numFmtId="0" fontId="66" fillId="0" borderId="170" xfId="43" applyFont="1" applyBorder="1" applyAlignment="1">
      <alignment horizontal="left" vertical="center"/>
    </xf>
    <xf numFmtId="1" fontId="68" fillId="0" borderId="171" xfId="43" applyNumberFormat="1" applyFont="1" applyBorder="1" applyAlignment="1">
      <alignment horizontal="center" vertical="center" wrapText="1"/>
    </xf>
    <xf numFmtId="0" fontId="80" fillId="5" borderId="172" xfId="42" applyFont="1" applyFill="1" applyBorder="1" applyAlignment="1">
      <alignment horizontal="center" vertical="center" wrapText="1"/>
    </xf>
    <xf numFmtId="3" fontId="80" fillId="5" borderId="173" xfId="42" applyNumberFormat="1" applyFont="1" applyFill="1" applyBorder="1" applyAlignment="1">
      <alignment horizontal="center" vertical="center" wrapText="1"/>
    </xf>
    <xf numFmtId="0" fontId="74" fillId="0" borderId="174" xfId="0" applyFont="1" applyBorder="1" applyAlignment="1">
      <alignment vertical="center" wrapText="1"/>
    </xf>
    <xf numFmtId="10" fontId="82" fillId="0" borderId="136" xfId="42" applyNumberFormat="1" applyFont="1" applyBorder="1" applyAlignment="1">
      <alignment horizontal="right" vertical="center" wrapText="1"/>
    </xf>
    <xf numFmtId="0" fontId="74" fillId="0" borderId="175" xfId="0" applyFont="1" applyBorder="1" applyAlignment="1">
      <alignment vertical="center" wrapText="1"/>
    </xf>
    <xf numFmtId="3" fontId="80" fillId="5" borderId="176" xfId="42" applyNumberFormat="1" applyFont="1" applyFill="1" applyBorder="1" applyAlignment="1">
      <alignment horizontal="center" vertical="center" wrapText="1"/>
    </xf>
    <xf numFmtId="3" fontId="80" fillId="5" borderId="177" xfId="42" applyNumberFormat="1" applyFont="1" applyFill="1" applyBorder="1" applyAlignment="1">
      <alignment horizontal="center" vertical="center" wrapText="1"/>
    </xf>
    <xf numFmtId="3" fontId="48" fillId="5" borderId="177" xfId="42" applyNumberFormat="1" applyFont="1" applyFill="1" applyBorder="1" applyAlignment="1">
      <alignment horizontal="right" vertical="center" wrapText="1"/>
    </xf>
    <xf numFmtId="10" fontId="48" fillId="5" borderId="177" xfId="42" applyNumberFormat="1" applyFont="1" applyFill="1" applyBorder="1" applyAlignment="1">
      <alignment horizontal="right" vertical="center" wrapText="1"/>
    </xf>
    <xf numFmtId="10" fontId="48" fillId="5" borderId="178" xfId="42" applyNumberFormat="1" applyFont="1" applyFill="1" applyBorder="1" applyAlignment="1">
      <alignment horizontal="right" vertical="center" wrapText="1"/>
    </xf>
    <xf numFmtId="3" fontId="80" fillId="5" borderId="179" xfId="42" applyNumberFormat="1" applyFont="1" applyFill="1" applyBorder="1" applyAlignment="1">
      <alignment horizontal="center" vertical="center" wrapText="1"/>
    </xf>
    <xf numFmtId="166" fontId="36" fillId="0" borderId="11" xfId="0" applyNumberFormat="1" applyFont="1" applyBorder="1" applyAlignment="1">
      <alignment horizontal="right" vertical="center" wrapText="1" indent="1"/>
    </xf>
    <xf numFmtId="166" fontId="35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4" xfId="0" applyNumberFormat="1" applyFont="1" applyBorder="1" applyAlignment="1" applyProtection="1">
      <alignment horizontal="right" vertical="center" wrapText="1" indent="1"/>
      <protection locked="0"/>
    </xf>
    <xf numFmtId="0" fontId="49" fillId="0" borderId="118" xfId="0" applyFont="1" applyBorder="1" applyAlignment="1">
      <alignment horizontal="center" vertical="center" wrapText="1"/>
    </xf>
    <xf numFmtId="0" fontId="49" fillId="0" borderId="144" xfId="0" applyFont="1" applyBorder="1" applyAlignment="1">
      <alignment horizontal="center" vertical="center" wrapText="1"/>
    </xf>
    <xf numFmtId="166" fontId="36" fillId="0" borderId="180" xfId="0" applyNumberFormat="1" applyFont="1" applyBorder="1" applyAlignment="1">
      <alignment horizontal="right" vertical="center" wrapText="1" indent="1"/>
    </xf>
    <xf numFmtId="166" fontId="36" fillId="0" borderId="181" xfId="0" applyNumberFormat="1" applyFont="1" applyBorder="1" applyAlignment="1">
      <alignment horizontal="right" vertical="center" wrapText="1" indent="1"/>
    </xf>
    <xf numFmtId="0" fontId="36" fillId="0" borderId="144" xfId="0" applyFont="1" applyBorder="1" applyAlignment="1">
      <alignment horizontal="center" vertical="center" wrapText="1"/>
    </xf>
    <xf numFmtId="0" fontId="49" fillId="0" borderId="157" xfId="0" applyFont="1" applyBorder="1" applyAlignment="1">
      <alignment horizontal="center" vertical="center" wrapText="1"/>
    </xf>
    <xf numFmtId="3" fontId="109" fillId="0" borderId="0" xfId="0" applyNumberFormat="1" applyFont="1" applyAlignment="1">
      <alignment vertical="center" wrapText="1"/>
    </xf>
    <xf numFmtId="3" fontId="110" fillId="0" borderId="0" xfId="0" applyNumberFormat="1" applyFont="1" applyAlignment="1">
      <alignment vertical="center" wrapText="1"/>
    </xf>
    <xf numFmtId="166" fontId="36" fillId="0" borderId="144" xfId="0" applyNumberFormat="1" applyFont="1" applyBorder="1" applyAlignment="1">
      <alignment horizontal="right" vertical="center" wrapText="1" indent="1"/>
    </xf>
    <xf numFmtId="166" fontId="36" fillId="0" borderId="50" xfId="0" applyNumberFormat="1" applyFont="1" applyBorder="1" applyAlignment="1">
      <alignment horizontal="right" vertical="center" wrapText="1" indent="1"/>
    </xf>
    <xf numFmtId="166" fontId="36" fillId="0" borderId="157" xfId="0" applyNumberFormat="1" applyFont="1" applyBorder="1" applyAlignment="1">
      <alignment horizontal="right" vertical="center" wrapText="1" indent="1"/>
    </xf>
    <xf numFmtId="166" fontId="36" fillId="0" borderId="161" xfId="0" applyNumberFormat="1" applyFont="1" applyBorder="1" applyAlignment="1">
      <alignment horizontal="right" vertical="center" wrapText="1" indent="1"/>
    </xf>
    <xf numFmtId="166" fontId="36" fillId="0" borderId="114" xfId="0" applyNumberFormat="1" applyFont="1" applyBorder="1" applyAlignment="1" applyProtection="1">
      <alignment horizontal="right" vertical="center" wrapText="1" indent="1"/>
      <protection locked="0"/>
    </xf>
    <xf numFmtId="3" fontId="54" fillId="0" borderId="11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7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75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82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48" xfId="0" applyNumberFormat="1" applyFont="1" applyBorder="1" applyAlignment="1">
      <alignment horizontal="right" vertical="center" wrapText="1" indent="1"/>
    </xf>
    <xf numFmtId="166" fontId="100" fillId="0" borderId="152" xfId="0" applyNumberFormat="1" applyFont="1" applyBorder="1" applyAlignment="1">
      <alignment horizontal="right" vertical="center" wrapText="1" indent="1"/>
    </xf>
    <xf numFmtId="166" fontId="36" fillId="0" borderId="183" xfId="0" applyNumberFormat="1" applyFont="1" applyBorder="1" applyAlignment="1">
      <alignment horizontal="right" vertical="center" wrapText="1" indent="1"/>
    </xf>
    <xf numFmtId="0" fontId="36" fillId="0" borderId="0" xfId="0" applyFont="1" applyBorder="1" applyAlignment="1">
      <alignment horizontal="center" vertical="center" wrapText="1"/>
    </xf>
    <xf numFmtId="49" fontId="35" fillId="0" borderId="30" xfId="0" applyNumberFormat="1" applyFont="1" applyBorder="1" applyAlignment="1">
      <alignment horizontal="center" vertical="center" wrapText="1"/>
    </xf>
    <xf numFmtId="0" fontId="100" fillId="0" borderId="0" xfId="0" applyFont="1" applyBorder="1" applyAlignment="1">
      <alignment horizontal="left" vertical="center" wrapText="1" indent="1"/>
    </xf>
    <xf numFmtId="166" fontId="36" fillId="0" borderId="0" xfId="0" applyNumberFormat="1" applyFont="1" applyBorder="1" applyAlignment="1">
      <alignment horizontal="right" vertical="center" wrapText="1" indent="1"/>
    </xf>
    <xf numFmtId="0" fontId="36" fillId="0" borderId="184" xfId="0" applyFont="1" applyBorder="1" applyAlignment="1">
      <alignment horizontal="center" vertical="center" wrapText="1"/>
    </xf>
    <xf numFmtId="49" fontId="35" fillId="0" borderId="185" xfId="0" applyNumberFormat="1" applyFont="1" applyBorder="1" applyAlignment="1">
      <alignment horizontal="center" vertical="center" wrapText="1"/>
    </xf>
    <xf numFmtId="0" fontId="100" fillId="0" borderId="184" xfId="0" applyFont="1" applyBorder="1" applyAlignment="1">
      <alignment horizontal="left" vertical="center" wrapText="1" indent="1"/>
    </xf>
    <xf numFmtId="166" fontId="36" fillId="0" borderId="184" xfId="0" applyNumberFormat="1" applyFont="1" applyBorder="1" applyAlignment="1">
      <alignment horizontal="right" vertical="center" wrapText="1" indent="1"/>
    </xf>
    <xf numFmtId="166" fontId="100" fillId="0" borderId="186" xfId="0" applyNumberFormat="1" applyFont="1" applyBorder="1" applyAlignment="1">
      <alignment horizontal="right" vertical="center" wrapText="1" indent="1"/>
    </xf>
    <xf numFmtId="166" fontId="100" fillId="0" borderId="126" xfId="0" applyNumberFormat="1" applyFont="1" applyBorder="1" applyAlignment="1">
      <alignment horizontal="right" vertical="center" wrapText="1" indent="1"/>
    </xf>
    <xf numFmtId="166" fontId="100" fillId="0" borderId="187" xfId="0" applyNumberFormat="1" applyFont="1" applyBorder="1" applyAlignment="1">
      <alignment horizontal="right" vertical="center" wrapText="1" indent="1"/>
    </xf>
    <xf numFmtId="166" fontId="100" fillId="0" borderId="188" xfId="0" applyNumberFormat="1" applyFont="1" applyBorder="1" applyAlignment="1">
      <alignment horizontal="right" vertical="center" wrapText="1" indent="1"/>
    </xf>
    <xf numFmtId="166" fontId="36" fillId="0" borderId="189" xfId="0" applyNumberFormat="1" applyFont="1" applyBorder="1" applyAlignment="1">
      <alignment horizontal="right" vertical="center" wrapText="1" indent="1"/>
    </xf>
    <xf numFmtId="166" fontId="35" fillId="0" borderId="39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6" xfId="0" applyNumberFormat="1" applyFont="1" applyBorder="1" applyAlignment="1" applyProtection="1">
      <alignment horizontal="right" vertical="center" wrapText="1" indent="1"/>
      <protection locked="0"/>
    </xf>
    <xf numFmtId="0" fontId="0" fillId="0" borderId="83" xfId="0" applyBorder="1" applyAlignment="1">
      <alignment horizontal="right" vertical="center" wrapText="1" indent="1"/>
    </xf>
    <xf numFmtId="3" fontId="54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39" xfId="0" applyNumberFormat="1" applyFont="1" applyBorder="1" applyAlignment="1" applyProtection="1">
      <alignment horizontal="right" vertical="center" wrapText="1" indent="1"/>
      <protection locked="0"/>
    </xf>
    <xf numFmtId="3" fontId="103" fillId="0" borderId="58" xfId="0" applyNumberFormat="1" applyFont="1" applyBorder="1" applyAlignment="1">
      <alignment vertical="center"/>
    </xf>
    <xf numFmtId="3" fontId="27" fillId="16" borderId="54" xfId="0" applyNumberFormat="1" applyFont="1" applyFill="1" applyBorder="1" applyAlignment="1">
      <alignment horizontal="right" vertical="center" wrapText="1"/>
    </xf>
    <xf numFmtId="3" fontId="26" fillId="0" borderId="55" xfId="0" applyNumberFormat="1" applyFont="1" applyBorder="1" applyAlignment="1">
      <alignment horizontal="right" vertical="center" wrapText="1"/>
    </xf>
    <xf numFmtId="3" fontId="26" fillId="16" borderId="56" xfId="0" applyNumberFormat="1" applyFont="1" applyFill="1" applyBorder="1" applyAlignment="1">
      <alignment horizontal="right" vertical="center" wrapText="1"/>
    </xf>
    <xf numFmtId="3" fontId="26" fillId="0" borderId="56" xfId="0" applyNumberFormat="1" applyFont="1" applyBorder="1" applyAlignment="1">
      <alignment horizontal="right" vertical="center" wrapText="1"/>
    </xf>
    <xf numFmtId="3" fontId="27" fillId="0" borderId="180" xfId="0" applyNumberFormat="1" applyFont="1" applyBorder="1" applyAlignment="1">
      <alignment horizontal="right" vertical="center" wrapText="1"/>
    </xf>
    <xf numFmtId="3" fontId="26" fillId="0" borderId="190" xfId="0" applyNumberFormat="1" applyFont="1" applyBorder="1" applyAlignment="1">
      <alignment horizontal="right" vertical="center" wrapText="1"/>
    </xf>
    <xf numFmtId="3" fontId="26" fillId="0" borderId="191" xfId="0" applyNumberFormat="1" applyFont="1" applyBorder="1" applyAlignment="1">
      <alignment horizontal="right" vertical="center" wrapText="1"/>
    </xf>
    <xf numFmtId="3" fontId="103" fillId="0" borderId="21" xfId="0" applyNumberFormat="1" applyFont="1" applyBorder="1" applyAlignment="1">
      <alignment horizontal="right" vertical="center"/>
    </xf>
    <xf numFmtId="3" fontId="103" fillId="0" borderId="27" xfId="0" applyNumberFormat="1" applyFont="1" applyBorder="1" applyAlignment="1">
      <alignment horizontal="right" vertical="center"/>
    </xf>
    <xf numFmtId="3" fontId="103" fillId="0" borderId="22" xfId="0" applyNumberFormat="1" applyFont="1" applyBorder="1" applyAlignment="1">
      <alignment horizontal="right" vertical="center"/>
    </xf>
    <xf numFmtId="3" fontId="103" fillId="0" borderId="27" xfId="0" applyNumberFormat="1" applyFont="1" applyBorder="1" applyAlignment="1">
      <alignment vertical="center"/>
    </xf>
    <xf numFmtId="166" fontId="36" fillId="0" borderId="58" xfId="0" applyNumberFormat="1" applyFont="1" applyBorder="1" applyAlignment="1">
      <alignment horizontal="right" vertical="center" wrapText="1" indent="1"/>
    </xf>
    <xf numFmtId="0" fontId="36" fillId="0" borderId="192" xfId="0" applyFont="1" applyBorder="1" applyAlignment="1">
      <alignment horizontal="center" vertical="center" wrapText="1"/>
    </xf>
    <xf numFmtId="166" fontId="36" fillId="0" borderId="131" xfId="0" applyNumberFormat="1" applyFont="1" applyBorder="1" applyAlignment="1">
      <alignment horizontal="right" vertical="center" wrapText="1" indent="1"/>
    </xf>
    <xf numFmtId="3" fontId="26" fillId="16" borderId="55" xfId="0" applyNumberFormat="1" applyFont="1" applyFill="1" applyBorder="1" applyAlignment="1">
      <alignment horizontal="right" vertical="center" wrapText="1"/>
    </xf>
    <xf numFmtId="3" fontId="26" fillId="16" borderId="59" xfId="0" applyNumberFormat="1" applyFont="1" applyFill="1" applyBorder="1" applyAlignment="1">
      <alignment horizontal="right" vertical="center" wrapText="1"/>
    </xf>
    <xf numFmtId="3" fontId="26" fillId="16" borderId="84" xfId="0" applyNumberFormat="1" applyFont="1" applyFill="1" applyBorder="1" applyAlignment="1">
      <alignment horizontal="right" vertical="center" wrapText="1"/>
    </xf>
    <xf numFmtId="3" fontId="26" fillId="0" borderId="56" xfId="0" applyNumberFormat="1" applyFont="1" applyBorder="1" applyAlignment="1">
      <alignment horizontal="right" vertical="center"/>
    </xf>
    <xf numFmtId="3" fontId="27" fillId="0" borderId="56" xfId="0" applyNumberFormat="1" applyFont="1" applyBorder="1" applyAlignment="1">
      <alignment horizontal="right" vertical="center"/>
    </xf>
    <xf numFmtId="3" fontId="26" fillId="0" borderId="84" xfId="0" applyNumberFormat="1" applyFont="1" applyBorder="1" applyAlignment="1">
      <alignment horizontal="right" vertical="center"/>
    </xf>
    <xf numFmtId="3" fontId="26" fillId="0" borderId="59" xfId="0" applyNumberFormat="1" applyFont="1" applyBorder="1" applyAlignment="1">
      <alignment horizontal="right" vertical="center"/>
    </xf>
    <xf numFmtId="3" fontId="103" fillId="0" borderId="84" xfId="0" applyNumberFormat="1" applyFont="1" applyBorder="1" applyAlignment="1">
      <alignment horizontal="right" vertical="center"/>
    </xf>
    <xf numFmtId="3" fontId="103" fillId="0" borderId="56" xfId="0" applyNumberFormat="1" applyFont="1" applyBorder="1" applyAlignment="1">
      <alignment vertical="center"/>
    </xf>
    <xf numFmtId="3" fontId="27" fillId="0" borderId="84" xfId="0" applyNumberFormat="1" applyFont="1" applyBorder="1" applyAlignment="1">
      <alignment vertical="center"/>
    </xf>
    <xf numFmtId="3" fontId="27" fillId="16" borderId="180" xfId="0" applyNumberFormat="1" applyFont="1" applyFill="1" applyBorder="1" applyAlignment="1">
      <alignment horizontal="right" vertical="center" wrapText="1"/>
    </xf>
    <xf numFmtId="3" fontId="26" fillId="16" borderId="190" xfId="0" applyNumberFormat="1" applyFont="1" applyFill="1" applyBorder="1" applyAlignment="1">
      <alignment horizontal="right" vertical="center" wrapText="1"/>
    </xf>
    <xf numFmtId="3" fontId="26" fillId="16" borderId="191" xfId="0" applyNumberFormat="1" applyFont="1" applyFill="1" applyBorder="1" applyAlignment="1">
      <alignment horizontal="right" vertical="center" wrapText="1"/>
    </xf>
    <xf numFmtId="3" fontId="26" fillId="16" borderId="193" xfId="0" applyNumberFormat="1" applyFont="1" applyFill="1" applyBorder="1" applyAlignment="1">
      <alignment horizontal="right" vertical="center" wrapText="1"/>
    </xf>
    <xf numFmtId="3" fontId="26" fillId="0" borderId="191" xfId="0" applyNumberFormat="1" applyFont="1" applyBorder="1" applyAlignment="1">
      <alignment horizontal="right" vertical="center"/>
    </xf>
    <xf numFmtId="3" fontId="27" fillId="0" borderId="180" xfId="0" applyNumberFormat="1" applyFont="1" applyBorder="1" applyAlignment="1">
      <alignment horizontal="right" vertical="center"/>
    </xf>
    <xf numFmtId="3" fontId="26" fillId="0" borderId="194" xfId="0" applyNumberFormat="1" applyFont="1" applyBorder="1" applyAlignment="1">
      <alignment horizontal="right" vertical="center"/>
    </xf>
    <xf numFmtId="3" fontId="27" fillId="0" borderId="180" xfId="0" applyNumberFormat="1" applyFont="1" applyBorder="1" applyAlignment="1">
      <alignment vertical="center"/>
    </xf>
    <xf numFmtId="3" fontId="27" fillId="0" borderId="193" xfId="0" applyNumberFormat="1" applyFont="1" applyBorder="1" applyAlignment="1">
      <alignment vertical="center"/>
    </xf>
    <xf numFmtId="3" fontId="26" fillId="0" borderId="195" xfId="0" applyNumberFormat="1" applyFont="1" applyBorder="1" applyAlignment="1">
      <alignment vertical="center"/>
    </xf>
    <xf numFmtId="3" fontId="26" fillId="0" borderId="193" xfId="0" applyNumberFormat="1" applyFont="1" applyBorder="1" applyAlignment="1">
      <alignment horizontal="right" vertical="center"/>
    </xf>
    <xf numFmtId="3" fontId="27" fillId="0" borderId="191" xfId="0" applyNumberFormat="1" applyFont="1" applyBorder="1" applyAlignment="1">
      <alignment vertical="center"/>
    </xf>
    <xf numFmtId="3" fontId="103" fillId="0" borderId="193" xfId="0" applyNumberFormat="1" applyFont="1" applyBorder="1" applyAlignment="1">
      <alignment vertical="center"/>
    </xf>
    <xf numFmtId="3" fontId="26" fillId="0" borderId="191" xfId="0" applyNumberFormat="1" applyFont="1" applyBorder="1" applyAlignment="1">
      <alignment vertical="center"/>
    </xf>
    <xf numFmtId="3" fontId="26" fillId="0" borderId="194" xfId="0" applyNumberFormat="1" applyFont="1" applyBorder="1" applyAlignment="1">
      <alignment vertical="center"/>
    </xf>
    <xf numFmtId="3" fontId="27" fillId="16" borderId="61" xfId="0" applyNumberFormat="1" applyFont="1" applyFill="1" applyBorder="1" applyAlignment="1">
      <alignment horizontal="right" vertical="center" wrapText="1"/>
    </xf>
    <xf numFmtId="3" fontId="26" fillId="16" borderId="152" xfId="0" applyNumberFormat="1" applyFont="1" applyFill="1" applyBorder="1" applyAlignment="1">
      <alignment horizontal="right" vertical="center" wrapText="1"/>
    </xf>
    <xf numFmtId="3" fontId="26" fillId="16" borderId="196" xfId="0" applyNumberFormat="1" applyFont="1" applyFill="1" applyBorder="1" applyAlignment="1">
      <alignment horizontal="right" vertical="center" wrapText="1"/>
    </xf>
    <xf numFmtId="3" fontId="27" fillId="0" borderId="61" xfId="0" applyNumberFormat="1" applyFont="1" applyBorder="1" applyAlignment="1">
      <alignment horizontal="right" vertical="center"/>
    </xf>
    <xf numFmtId="3" fontId="27" fillId="0" borderId="151" xfId="0" applyNumberFormat="1" applyFont="1" applyBorder="1" applyAlignment="1">
      <alignment horizontal="right" vertical="center"/>
    </xf>
    <xf numFmtId="3" fontId="27" fillId="0" borderId="152" xfId="0" applyNumberFormat="1" applyFont="1" applyBorder="1" applyAlignment="1">
      <alignment horizontal="right" vertical="center"/>
    </xf>
    <xf numFmtId="3" fontId="27" fillId="0" borderId="196" xfId="0" applyNumberFormat="1" applyFont="1" applyBorder="1" applyAlignment="1">
      <alignment horizontal="right" vertical="center"/>
    </xf>
    <xf numFmtId="0" fontId="45" fillId="0" borderId="197" xfId="42" applyFont="1" applyBorder="1" applyAlignment="1">
      <alignment horizontal="center" vertical="center"/>
    </xf>
    <xf numFmtId="3" fontId="14" fillId="0" borderId="198" xfId="42" applyNumberFormat="1" applyBorder="1" applyAlignment="1">
      <alignment vertical="center"/>
    </xf>
    <xf numFmtId="3" fontId="14" fillId="0" borderId="199" xfId="42" applyNumberFormat="1" applyBorder="1" applyAlignment="1">
      <alignment vertical="center"/>
    </xf>
    <xf numFmtId="3" fontId="14" fillId="0" borderId="200" xfId="42" applyNumberFormat="1" applyBorder="1" applyAlignment="1">
      <alignment vertical="center"/>
    </xf>
    <xf numFmtId="3" fontId="46" fillId="0" borderId="144" xfId="42" applyNumberFormat="1" applyFont="1" applyBorder="1" applyAlignment="1">
      <alignment vertical="center"/>
    </xf>
    <xf numFmtId="3" fontId="46" fillId="0" borderId="201" xfId="42" applyNumberFormat="1" applyFont="1" applyBorder="1" applyAlignment="1">
      <alignment vertical="center"/>
    </xf>
    <xf numFmtId="3" fontId="46" fillId="0" borderId="202" xfId="42" applyNumberFormat="1" applyFont="1" applyBorder="1" applyAlignment="1">
      <alignment vertical="center"/>
    </xf>
    <xf numFmtId="3" fontId="114" fillId="0" borderId="57" xfId="42" applyNumberFormat="1" applyFont="1" applyBorder="1" applyAlignment="1">
      <alignment vertical="center"/>
    </xf>
    <xf numFmtId="3" fontId="47" fillId="0" borderId="54" xfId="42" applyNumberFormat="1" applyFont="1" applyBorder="1" applyAlignment="1">
      <alignment vertical="center"/>
    </xf>
    <xf numFmtId="0" fontId="78" fillId="18" borderId="39" xfId="42" applyFont="1" applyFill="1" applyBorder="1" applyAlignment="1">
      <alignment horizontal="center" vertical="center"/>
    </xf>
    <xf numFmtId="0" fontId="14" fillId="0" borderId="0" xfId="42" applyBorder="1"/>
    <xf numFmtId="3" fontId="88" fillId="0" borderId="203" xfId="29" applyNumberFormat="1" applyFont="1" applyBorder="1" applyAlignment="1">
      <alignment horizontal="right" vertical="center"/>
    </xf>
    <xf numFmtId="3" fontId="88" fillId="0" borderId="204" xfId="29" applyNumberFormat="1" applyFont="1" applyBorder="1" applyAlignment="1">
      <alignment horizontal="right" vertical="center"/>
    </xf>
    <xf numFmtId="0" fontId="78" fillId="18" borderId="98" xfId="42" applyFont="1" applyFill="1" applyBorder="1" applyAlignment="1">
      <alignment horizontal="center" vertical="center"/>
    </xf>
    <xf numFmtId="0" fontId="78" fillId="18" borderId="135" xfId="42" applyFont="1" applyFill="1" applyBorder="1" applyAlignment="1">
      <alignment horizontal="center" vertical="center"/>
    </xf>
    <xf numFmtId="0" fontId="86" fillId="0" borderId="98" xfId="42" applyFont="1" applyBorder="1" applyAlignment="1">
      <alignment horizontal="right"/>
    </xf>
    <xf numFmtId="3" fontId="87" fillId="0" borderId="136" xfId="42" applyNumberFormat="1" applyFont="1" applyBorder="1" applyAlignment="1">
      <alignment horizontal="right"/>
    </xf>
    <xf numFmtId="3" fontId="86" fillId="0" borderId="98" xfId="42" applyNumberFormat="1" applyFont="1" applyBorder="1" applyAlignment="1">
      <alignment horizontal="right"/>
    </xf>
    <xf numFmtId="3" fontId="86" fillId="0" borderId="96" xfId="42" applyNumberFormat="1" applyFont="1" applyBorder="1" applyAlignment="1">
      <alignment horizontal="right"/>
    </xf>
    <xf numFmtId="3" fontId="87" fillId="0" borderId="137" xfId="42" applyNumberFormat="1" applyFont="1" applyBorder="1" applyAlignment="1">
      <alignment horizontal="right"/>
    </xf>
    <xf numFmtId="3" fontId="87" fillId="0" borderId="170" xfId="42" applyNumberFormat="1" applyFont="1" applyBorder="1" applyAlignment="1">
      <alignment horizontal="right"/>
    </xf>
    <xf numFmtId="3" fontId="87" fillId="0" borderId="171" xfId="42" applyNumberFormat="1" applyFont="1" applyBorder="1" applyAlignment="1">
      <alignment horizontal="right"/>
    </xf>
    <xf numFmtId="3" fontId="88" fillId="0" borderId="203" xfId="42" applyNumberFormat="1" applyFont="1" applyBorder="1" applyAlignment="1">
      <alignment horizontal="right"/>
    </xf>
    <xf numFmtId="3" fontId="87" fillId="0" borderId="98" xfId="42" applyNumberFormat="1" applyFont="1" applyBorder="1" applyAlignment="1">
      <alignment horizontal="right"/>
    </xf>
    <xf numFmtId="3" fontId="87" fillId="0" borderId="205" xfId="42" applyNumberFormat="1" applyFont="1" applyBorder="1" applyAlignment="1">
      <alignment horizontal="right"/>
    </xf>
    <xf numFmtId="3" fontId="87" fillId="0" borderId="203" xfId="42" applyNumberFormat="1" applyFont="1" applyBorder="1" applyAlignment="1">
      <alignment horizontal="right"/>
    </xf>
    <xf numFmtId="3" fontId="87" fillId="0" borderId="206" xfId="42" applyNumberFormat="1" applyFont="1" applyBorder="1" applyAlignment="1">
      <alignment horizontal="right"/>
    </xf>
    <xf numFmtId="3" fontId="88" fillId="0" borderId="207" xfId="42" applyNumberFormat="1" applyFont="1" applyBorder="1" applyAlignment="1">
      <alignment horizontal="right"/>
    </xf>
    <xf numFmtId="0" fontId="86" fillId="0" borderId="184" xfId="42" applyFont="1" applyBorder="1"/>
    <xf numFmtId="3" fontId="86" fillId="0" borderId="205" xfId="42" applyNumberFormat="1" applyFont="1" applyBorder="1" applyAlignment="1">
      <alignment horizontal="right"/>
    </xf>
    <xf numFmtId="10" fontId="86" fillId="0" borderId="0" xfId="42" applyNumberFormat="1" applyFont="1" applyBorder="1" applyAlignment="1">
      <alignment vertical="center"/>
    </xf>
    <xf numFmtId="3" fontId="86" fillId="0" borderId="51" xfId="42" applyNumberFormat="1" applyFont="1" applyBorder="1" applyAlignment="1">
      <alignment horizontal="right" vertical="center"/>
    </xf>
    <xf numFmtId="0" fontId="14" fillId="0" borderId="109" xfId="42" applyBorder="1" applyAlignment="1">
      <alignment horizontal="center" vertical="center"/>
    </xf>
    <xf numFmtId="0" fontId="82" fillId="0" borderId="110" xfId="42" applyFont="1" applyBorder="1" applyAlignment="1">
      <alignment vertical="center"/>
    </xf>
    <xf numFmtId="0" fontId="85" fillId="0" borderId="145" xfId="42" applyFont="1" applyBorder="1" applyAlignment="1">
      <alignment horizontal="center" vertical="center"/>
    </xf>
    <xf numFmtId="3" fontId="86" fillId="0" borderId="208" xfId="42" applyNumberFormat="1" applyFont="1" applyBorder="1" applyAlignment="1">
      <alignment horizontal="right" vertical="center"/>
    </xf>
    <xf numFmtId="3" fontId="86" fillId="0" borderId="112" xfId="42" applyNumberFormat="1" applyFont="1" applyBorder="1" applyAlignment="1">
      <alignment vertical="center"/>
    </xf>
    <xf numFmtId="10" fontId="86" fillId="0" borderId="110" xfId="42" applyNumberFormat="1" applyFont="1" applyBorder="1" applyAlignment="1">
      <alignment vertical="center"/>
    </xf>
    <xf numFmtId="3" fontId="86" fillId="0" borderId="111" xfId="42" applyNumberFormat="1" applyFont="1" applyBorder="1" applyAlignment="1">
      <alignment horizontal="right" vertical="center"/>
    </xf>
    <xf numFmtId="0" fontId="85" fillId="0" borderId="56" xfId="0" applyFont="1" applyBorder="1" applyAlignment="1">
      <alignment vertical="center" wrapText="1"/>
    </xf>
    <xf numFmtId="0" fontId="82" fillId="0" borderId="56" xfId="42" applyFont="1" applyBorder="1" applyAlignment="1">
      <alignment vertical="center"/>
    </xf>
    <xf numFmtId="0" fontId="82" fillId="0" borderId="82" xfId="42" applyFont="1" applyBorder="1" applyAlignment="1">
      <alignment vertical="center"/>
    </xf>
    <xf numFmtId="0" fontId="14" fillId="0" borderId="23" xfId="42" applyBorder="1" applyAlignment="1">
      <alignment horizontal="center" vertical="center"/>
    </xf>
    <xf numFmtId="0" fontId="14" fillId="0" borderId="209" xfId="42" applyBorder="1" applyAlignment="1">
      <alignment horizontal="center" vertical="center"/>
    </xf>
    <xf numFmtId="0" fontId="14" fillId="0" borderId="210" xfId="42" applyBorder="1" applyAlignment="1">
      <alignment horizontal="center" vertical="center"/>
    </xf>
    <xf numFmtId="0" fontId="14" fillId="0" borderId="211" xfId="42" applyBorder="1" applyAlignment="1">
      <alignment horizontal="center" vertical="center"/>
    </xf>
    <xf numFmtId="0" fontId="14" fillId="0" borderId="45" xfId="42" applyBorder="1" applyAlignment="1">
      <alignment horizontal="center" vertical="center"/>
    </xf>
    <xf numFmtId="0" fontId="85" fillId="0" borderId="82" xfId="0" applyFont="1" applyBorder="1" applyAlignment="1">
      <alignment vertical="center"/>
    </xf>
    <xf numFmtId="0" fontId="85" fillId="0" borderId="83" xfId="0" applyFont="1" applyBorder="1" applyAlignment="1">
      <alignment horizontal="center" vertical="center"/>
    </xf>
    <xf numFmtId="3" fontId="86" fillId="0" borderId="82" xfId="0" applyNumberFormat="1" applyFont="1" applyBorder="1" applyAlignment="1">
      <alignment horizontal="right" vertical="center"/>
    </xf>
    <xf numFmtId="3" fontId="86" fillId="0" borderId="45" xfId="0" applyNumberFormat="1" applyFont="1" applyBorder="1" applyAlignment="1">
      <alignment vertical="center"/>
    </xf>
    <xf numFmtId="3" fontId="86" fillId="0" borderId="44" xfId="42" applyNumberFormat="1" applyFont="1" applyBorder="1" applyAlignment="1">
      <alignment horizontal="right" vertical="center"/>
    </xf>
    <xf numFmtId="3" fontId="76" fillId="0" borderId="126" xfId="44" applyNumberFormat="1" applyFont="1" applyBorder="1" applyAlignment="1">
      <alignment vertical="center"/>
    </xf>
    <xf numFmtId="0" fontId="14" fillId="0" borderId="115" xfId="42" applyBorder="1" applyAlignment="1">
      <alignment horizontal="center" vertical="center"/>
    </xf>
    <xf numFmtId="0" fontId="74" fillId="0" borderId="10" xfId="44" applyFont="1" applyBorder="1" applyAlignment="1">
      <alignment horizontal="left"/>
    </xf>
    <xf numFmtId="0" fontId="14" fillId="0" borderId="10" xfId="42" applyBorder="1"/>
    <xf numFmtId="3" fontId="74" fillId="0" borderId="72" xfId="44" applyNumberFormat="1" applyFont="1" applyBorder="1" applyAlignment="1">
      <alignment horizontal="center" vertical="center" wrapText="1"/>
    </xf>
    <xf numFmtId="3" fontId="74" fillId="0" borderId="50" xfId="44" applyNumberFormat="1" applyFont="1" applyBorder="1" applyAlignment="1">
      <alignment vertical="top"/>
    </xf>
    <xf numFmtId="3" fontId="74" fillId="0" borderId="115" xfId="44" applyNumberFormat="1" applyFont="1" applyBorder="1" applyAlignment="1">
      <alignment vertical="top"/>
    </xf>
    <xf numFmtId="3" fontId="74" fillId="0" borderId="91" xfId="44" applyNumberFormat="1" applyFont="1" applyBorder="1" applyAlignment="1">
      <alignment horizontal="right" vertical="center" wrapText="1"/>
    </xf>
    <xf numFmtId="3" fontId="74" fillId="0" borderId="107" xfId="44" applyNumberFormat="1" applyFont="1" applyBorder="1" applyAlignment="1">
      <alignment horizontal="right" vertical="top"/>
    </xf>
    <xf numFmtId="3" fontId="74" fillId="0" borderId="108" xfId="44" applyNumberFormat="1" applyFont="1" applyBorder="1" applyAlignment="1">
      <alignment horizontal="right" vertical="top"/>
    </xf>
    <xf numFmtId="3" fontId="74" fillId="0" borderId="125" xfId="44" applyNumberFormat="1" applyFont="1" applyBorder="1" applyAlignment="1">
      <alignment vertical="top"/>
    </xf>
    <xf numFmtId="3" fontId="74" fillId="0" borderId="50" xfId="44" applyNumberFormat="1" applyFont="1" applyBorder="1" applyAlignment="1">
      <alignment horizontal="right" wrapText="1"/>
    </xf>
    <xf numFmtId="3" fontId="74" fillId="0" borderId="10" xfId="44" applyNumberFormat="1" applyFont="1" applyBorder="1" applyAlignment="1">
      <alignment horizontal="right" vertical="center" wrapText="1"/>
    </xf>
    <xf numFmtId="3" fontId="74" fillId="0" borderId="10" xfId="44" applyNumberFormat="1" applyFont="1" applyBorder="1" applyAlignment="1">
      <alignment horizontal="right" vertical="top"/>
    </xf>
    <xf numFmtId="3" fontId="78" fillId="0" borderId="180" xfId="42" applyNumberFormat="1" applyFont="1" applyBorder="1" applyAlignment="1">
      <alignment horizontal="right" vertical="center"/>
    </xf>
    <xf numFmtId="170" fontId="40" fillId="0" borderId="66" xfId="29" applyNumberFormat="1" applyFont="1" applyBorder="1" applyAlignment="1" applyProtection="1">
      <alignment vertical="center"/>
      <protection locked="0"/>
    </xf>
    <xf numFmtId="0" fontId="29" fillId="0" borderId="0" xfId="45" applyFont="1" applyAlignment="1">
      <alignment horizontal="right"/>
    </xf>
    <xf numFmtId="0" fontId="1" fillId="0" borderId="0" xfId="41" applyAlignment="1">
      <alignment horizontal="right"/>
    </xf>
    <xf numFmtId="3" fontId="19" fillId="20" borderId="14" xfId="41" applyNumberFormat="1" applyFont="1" applyFill="1" applyBorder="1" applyAlignment="1">
      <alignment vertical="center"/>
    </xf>
    <xf numFmtId="3" fontId="19" fillId="20" borderId="22" xfId="41" applyNumberFormat="1" applyFont="1" applyFill="1" applyBorder="1"/>
    <xf numFmtId="3" fontId="19" fillId="20" borderId="84" xfId="41" applyNumberFormat="1" applyFont="1" applyFill="1" applyBorder="1"/>
    <xf numFmtId="3" fontId="1" fillId="20" borderId="27" xfId="41" applyNumberFormat="1" applyFill="1" applyBorder="1"/>
    <xf numFmtId="0" fontId="14" fillId="0" borderId="212" xfId="42" applyBorder="1" applyAlignment="1">
      <alignment horizontal="center" vertical="center"/>
    </xf>
    <xf numFmtId="0" fontId="14" fillId="0" borderId="89" xfId="42" applyBorder="1" applyAlignment="1">
      <alignment horizontal="center" vertical="center"/>
    </xf>
    <xf numFmtId="0" fontId="82" fillId="0" borderId="213" xfId="42" applyFont="1" applyBorder="1" applyAlignment="1">
      <alignment vertical="center"/>
    </xf>
    <xf numFmtId="0" fontId="85" fillId="0" borderId="214" xfId="42" applyFont="1" applyBorder="1" applyAlignment="1">
      <alignment horizontal="center" vertical="center"/>
    </xf>
    <xf numFmtId="3" fontId="86" fillId="0" borderId="132" xfId="42" applyNumberFormat="1" applyFont="1" applyBorder="1" applyAlignment="1">
      <alignment horizontal="right" vertical="center"/>
    </xf>
    <xf numFmtId="3" fontId="86" fillId="0" borderId="215" xfId="42" applyNumberFormat="1" applyFont="1" applyBorder="1" applyAlignment="1">
      <alignment vertical="center"/>
    </xf>
    <xf numFmtId="10" fontId="86" fillId="0" borderId="213" xfId="42" applyNumberFormat="1" applyFont="1" applyBorder="1" applyAlignment="1">
      <alignment vertical="center"/>
    </xf>
    <xf numFmtId="3" fontId="86" fillId="0" borderId="216" xfId="42" applyNumberFormat="1" applyFont="1" applyBorder="1" applyAlignment="1">
      <alignment horizontal="right" vertical="center"/>
    </xf>
    <xf numFmtId="3" fontId="26" fillId="0" borderId="22" xfId="0" applyNumberFormat="1" applyFont="1" applyFill="1" applyBorder="1" applyAlignment="1">
      <alignment vertical="center"/>
    </xf>
    <xf numFmtId="3" fontId="26" fillId="0" borderId="29" xfId="0" applyNumberFormat="1" applyFont="1" applyFill="1" applyBorder="1" applyAlignment="1">
      <alignment vertical="center"/>
    </xf>
    <xf numFmtId="3" fontId="26" fillId="0" borderId="38" xfId="0" applyNumberFormat="1" applyFont="1" applyFill="1" applyBorder="1" applyAlignment="1">
      <alignment vertical="center"/>
    </xf>
    <xf numFmtId="166" fontId="51" fillId="0" borderId="0" xfId="0" applyNumberFormat="1" applyFont="1" applyAlignment="1">
      <alignment horizontal="right" vertical="center" wrapText="1"/>
    </xf>
    <xf numFmtId="166" fontId="35" fillId="0" borderId="0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41" xfId="0" applyNumberFormat="1" applyFont="1" applyBorder="1" applyAlignment="1" applyProtection="1">
      <alignment horizontal="right" vertical="center" wrapText="1" indent="1"/>
      <protection locked="0"/>
    </xf>
    <xf numFmtId="0" fontId="49" fillId="0" borderId="115" xfId="0" applyFont="1" applyBorder="1" applyAlignment="1">
      <alignment horizontal="center" vertical="center" wrapText="1"/>
    </xf>
    <xf numFmtId="3" fontId="35" fillId="0" borderId="0" xfId="0" applyNumberFormat="1" applyFont="1" applyBorder="1" applyAlignment="1">
      <alignment vertical="center" wrapText="1"/>
    </xf>
    <xf numFmtId="3" fontId="110" fillId="0" borderId="0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6" fillId="0" borderId="156" xfId="0" applyFont="1" applyBorder="1" applyAlignment="1">
      <alignment horizontal="center" vertical="center" wrapText="1"/>
    </xf>
    <xf numFmtId="3" fontId="111" fillId="0" borderId="156" xfId="0" applyNumberFormat="1" applyFont="1" applyBorder="1" applyAlignment="1">
      <alignment horizontal="right" vertical="center" wrapText="1"/>
    </xf>
    <xf numFmtId="3" fontId="109" fillId="0" borderId="156" xfId="0" applyNumberFormat="1" applyFont="1" applyBorder="1" applyAlignment="1">
      <alignment vertical="center" wrapText="1"/>
    </xf>
    <xf numFmtId="3" fontId="35" fillId="0" borderId="217" xfId="0" applyNumberFormat="1" applyFont="1" applyBorder="1" applyAlignment="1">
      <alignment vertical="center" wrapText="1"/>
    </xf>
    <xf numFmtId="3" fontId="35" fillId="0" borderId="89" xfId="0" applyNumberFormat="1" applyFont="1" applyBorder="1" applyAlignment="1">
      <alignment vertical="center" wrapText="1"/>
    </xf>
    <xf numFmtId="3" fontId="35" fillId="0" borderId="156" xfId="0" applyNumberFormat="1" applyFont="1" applyBorder="1" applyAlignment="1">
      <alignment vertical="center" wrapText="1"/>
    </xf>
    <xf numFmtId="166" fontId="36" fillId="0" borderId="156" xfId="0" applyNumberFormat="1" applyFont="1" applyBorder="1" applyAlignment="1">
      <alignment horizontal="right" vertical="center" wrapText="1" indent="1"/>
    </xf>
    <xf numFmtId="0" fontId="49" fillId="0" borderId="156" xfId="0" applyFont="1" applyBorder="1" applyAlignment="1">
      <alignment horizontal="center" vertical="center" wrapText="1"/>
    </xf>
    <xf numFmtId="0" fontId="36" fillId="0" borderId="157" xfId="0" applyFont="1" applyBorder="1" applyAlignment="1">
      <alignment horizontal="center" vertical="center" wrapText="1"/>
    </xf>
    <xf numFmtId="166" fontId="49" fillId="0" borderId="157" xfId="0" applyNumberFormat="1" applyFont="1" applyBorder="1" applyAlignment="1">
      <alignment horizontal="center" vertical="center" wrapText="1"/>
    </xf>
    <xf numFmtId="3" fontId="36" fillId="0" borderId="156" xfId="0" applyNumberFormat="1" applyFont="1" applyBorder="1" applyAlignment="1">
      <alignment horizontal="center" vertical="center" wrapText="1"/>
    </xf>
    <xf numFmtId="166" fontId="36" fillId="0" borderId="188" xfId="0" applyNumberFormat="1" applyFont="1" applyBorder="1" applyAlignment="1">
      <alignment horizontal="right" vertical="center" wrapText="1" indent="1"/>
    </xf>
    <xf numFmtId="166" fontId="35" fillId="0" borderId="152" xfId="0" applyNumberFormat="1" applyFont="1" applyBorder="1" applyAlignment="1" applyProtection="1">
      <alignment horizontal="right" vertical="center" wrapText="1" indent="1"/>
      <protection locked="0"/>
    </xf>
    <xf numFmtId="3" fontId="35" fillId="0" borderId="218" xfId="0" applyNumberFormat="1" applyFont="1" applyBorder="1" applyAlignment="1">
      <alignment vertical="center" wrapText="1"/>
    </xf>
    <xf numFmtId="166" fontId="36" fillId="0" borderId="157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87" xfId="0" applyNumberFormat="1" applyFont="1" applyBorder="1" applyAlignment="1" applyProtection="1">
      <alignment horizontal="right" vertical="center" wrapText="1" indent="1"/>
      <protection locked="0"/>
    </xf>
    <xf numFmtId="3" fontId="110" fillId="0" borderId="156" xfId="0" applyNumberFormat="1" applyFont="1" applyBorder="1" applyAlignment="1">
      <alignment vertical="center" wrapText="1"/>
    </xf>
    <xf numFmtId="166" fontId="36" fillId="0" borderId="16" xfId="0" applyNumberFormat="1" applyFont="1" applyBorder="1" applyAlignment="1">
      <alignment horizontal="right" vertical="center" wrapText="1" indent="1"/>
    </xf>
    <xf numFmtId="166" fontId="36" fillId="0" borderId="115" xfId="0" applyNumberFormat="1" applyFont="1" applyBorder="1" applyAlignment="1">
      <alignment horizontal="right" vertical="center" wrapText="1" indent="1"/>
    </xf>
    <xf numFmtId="166" fontId="36" fillId="0" borderId="53" xfId="0" applyNumberFormat="1" applyFont="1" applyBorder="1" applyAlignment="1">
      <alignment horizontal="right" vertical="center" wrapText="1" indent="1"/>
    </xf>
    <xf numFmtId="166" fontId="36" fillId="0" borderId="115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61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18" xfId="0" applyNumberFormat="1" applyFont="1" applyBorder="1" applyAlignment="1">
      <alignment horizontal="right" vertical="center" wrapText="1" indent="1"/>
    </xf>
    <xf numFmtId="166" fontId="35" fillId="0" borderId="96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18" xfId="0" applyNumberFormat="1" applyFont="1" applyBorder="1" applyAlignment="1" applyProtection="1">
      <alignment horizontal="right" vertical="center" wrapText="1" indent="1"/>
      <protection locked="0"/>
    </xf>
    <xf numFmtId="0" fontId="0" fillId="0" borderId="118" xfId="0" applyBorder="1" applyAlignment="1">
      <alignment horizontal="right" vertical="center" wrapText="1" indent="1"/>
    </xf>
    <xf numFmtId="0" fontId="0" fillId="0" borderId="115" xfId="0" applyBorder="1" applyAlignment="1">
      <alignment horizontal="right" vertical="center" wrapText="1" indent="1"/>
    </xf>
    <xf numFmtId="3" fontId="54" fillId="0" borderId="219" xfId="0" applyNumberFormat="1" applyFont="1" applyBorder="1" applyAlignment="1" applyProtection="1">
      <alignment horizontal="right" vertical="center" wrapText="1" indent="1"/>
      <protection locked="0"/>
    </xf>
    <xf numFmtId="3" fontId="54" fillId="0" borderId="220" xfId="0" applyNumberFormat="1" applyFont="1" applyBorder="1" applyAlignment="1" applyProtection="1">
      <alignment horizontal="right" vertical="center" wrapText="1" indent="1"/>
      <protection locked="0"/>
    </xf>
    <xf numFmtId="3" fontId="54" fillId="0" borderId="118" xfId="0" applyNumberFormat="1" applyFont="1" applyBorder="1" applyAlignment="1" applyProtection="1">
      <alignment horizontal="right" vertical="center" wrapText="1" indent="1"/>
      <protection locked="0"/>
    </xf>
    <xf numFmtId="3" fontId="54" fillId="0" borderId="115" xfId="0" applyNumberFormat="1" applyFont="1" applyBorder="1" applyAlignment="1" applyProtection="1">
      <alignment horizontal="right" vertical="center" wrapText="1" indent="1"/>
      <protection locked="0"/>
    </xf>
    <xf numFmtId="3" fontId="112" fillId="0" borderId="217" xfId="0" applyNumberFormat="1" applyFont="1" applyBorder="1" applyAlignment="1">
      <alignment horizontal="right" vertical="center" wrapText="1"/>
    </xf>
    <xf numFmtId="3" fontId="112" fillId="0" borderId="89" xfId="0" applyNumberFormat="1" applyFont="1" applyBorder="1" applyAlignment="1">
      <alignment vertical="center" wrapText="1"/>
    </xf>
    <xf numFmtId="3" fontId="113" fillId="0" borderId="89" xfId="0" applyNumberFormat="1" applyFont="1" applyBorder="1" applyAlignment="1">
      <alignment vertical="center" wrapText="1"/>
    </xf>
    <xf numFmtId="3" fontId="112" fillId="0" borderId="155" xfId="0" applyNumberFormat="1" applyFont="1" applyBorder="1" applyAlignment="1">
      <alignment vertical="center" wrapText="1"/>
    </xf>
    <xf numFmtId="166" fontId="57" fillId="0" borderId="156" xfId="0" applyNumberFormat="1" applyFont="1" applyBorder="1" applyAlignment="1">
      <alignment horizontal="right" vertical="center" wrapText="1" indent="1"/>
    </xf>
    <xf numFmtId="3" fontId="112" fillId="0" borderId="217" xfId="0" applyNumberFormat="1" applyFont="1" applyBorder="1" applyAlignment="1">
      <alignment vertical="center" wrapText="1"/>
    </xf>
    <xf numFmtId="3" fontId="112" fillId="0" borderId="156" xfId="0" applyNumberFormat="1" applyFont="1" applyBorder="1" applyAlignment="1">
      <alignment vertical="center" wrapText="1"/>
    </xf>
    <xf numFmtId="3" fontId="93" fillId="0" borderId="156" xfId="0" applyNumberFormat="1" applyFont="1" applyBorder="1" applyAlignment="1">
      <alignment horizontal="right" vertical="center" wrapText="1"/>
    </xf>
    <xf numFmtId="3" fontId="110" fillId="0" borderId="221" xfId="0" applyNumberFormat="1" applyFont="1" applyBorder="1" applyAlignment="1">
      <alignment vertical="center" wrapText="1"/>
    </xf>
    <xf numFmtId="0" fontId="0" fillId="0" borderId="114" xfId="0" applyBorder="1" applyAlignment="1">
      <alignment horizontal="right" vertical="center" wrapText="1" indent="1"/>
    </xf>
    <xf numFmtId="3" fontId="111" fillId="0" borderId="161" xfId="0" applyNumberFormat="1" applyFont="1" applyBorder="1" applyAlignment="1">
      <alignment horizontal="right" vertical="center" wrapText="1"/>
    </xf>
    <xf numFmtId="166" fontId="36" fillId="0" borderId="222" xfId="0" applyNumberFormat="1" applyFont="1" applyBorder="1" applyAlignment="1">
      <alignment horizontal="right" vertical="center" wrapText="1" indent="1"/>
    </xf>
    <xf numFmtId="166" fontId="49" fillId="0" borderId="62" xfId="0" applyNumberFormat="1" applyFont="1" applyBorder="1" applyAlignment="1">
      <alignment horizontal="center" vertical="center" wrapText="1"/>
    </xf>
    <xf numFmtId="166" fontId="35" fillId="0" borderId="6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65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23" xfId="0" applyNumberFormat="1" applyFont="1" applyBorder="1" applyAlignment="1">
      <alignment horizontal="right" vertical="center" wrapText="1" indent="1"/>
    </xf>
    <xf numFmtId="166" fontId="35" fillId="0" borderId="83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67" xfId="0" applyNumberFormat="1" applyFont="1" applyBorder="1" applyAlignment="1" applyProtection="1">
      <alignment horizontal="right" vertical="center" wrapText="1" indent="1"/>
      <protection locked="0"/>
    </xf>
    <xf numFmtId="0" fontId="59" fillId="0" borderId="0" xfId="0" applyFont="1" applyBorder="1" applyAlignment="1">
      <alignment vertical="center" wrapText="1"/>
    </xf>
    <xf numFmtId="166" fontId="49" fillId="0" borderId="118" xfId="0" applyNumberFormat="1" applyFont="1" applyBorder="1" applyAlignment="1">
      <alignment horizontal="center" vertical="center" wrapText="1"/>
    </xf>
    <xf numFmtId="166" fontId="49" fillId="0" borderId="115" xfId="0" applyNumberFormat="1" applyFont="1" applyBorder="1" applyAlignment="1">
      <alignment horizontal="center" vertical="center" wrapText="1"/>
    </xf>
    <xf numFmtId="0" fontId="36" fillId="0" borderId="118" xfId="0" applyFont="1" applyBorder="1" applyAlignment="1">
      <alignment horizontal="center" vertical="center" wrapText="1"/>
    </xf>
    <xf numFmtId="0" fontId="36" fillId="0" borderId="115" xfId="0" applyFont="1" applyBorder="1" applyAlignment="1">
      <alignment horizontal="center" vertical="center" wrapText="1"/>
    </xf>
    <xf numFmtId="166" fontId="100" fillId="0" borderId="213" xfId="0" applyNumberFormat="1" applyFont="1" applyBorder="1" applyAlignment="1">
      <alignment horizontal="right" vertical="center" wrapText="1" indent="1"/>
    </xf>
    <xf numFmtId="166" fontId="100" fillId="0" borderId="184" xfId="0" applyNumberFormat="1" applyFont="1" applyBorder="1" applyAlignment="1">
      <alignment horizontal="right" vertical="center" wrapText="1" indent="1"/>
    </xf>
    <xf numFmtId="166" fontId="100" fillId="0" borderId="220" xfId="0" applyNumberFormat="1" applyFont="1" applyBorder="1" applyAlignment="1">
      <alignment horizontal="right" vertical="center" wrapText="1" indent="1"/>
    </xf>
    <xf numFmtId="166" fontId="36" fillId="0" borderId="224" xfId="0" applyNumberFormat="1" applyFont="1" applyBorder="1" applyAlignment="1">
      <alignment horizontal="right" vertical="center" wrapText="1" indent="1"/>
    </xf>
    <xf numFmtId="166" fontId="35" fillId="0" borderId="225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26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27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41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28" xfId="0" applyNumberFormat="1" applyFont="1" applyBorder="1" applyAlignment="1">
      <alignment horizontal="right" vertical="center" wrapText="1" indent="1"/>
    </xf>
    <xf numFmtId="166" fontId="35" fillId="0" borderId="229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30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31" xfId="0" applyNumberFormat="1" applyFont="1" applyBorder="1" applyAlignment="1" applyProtection="1">
      <alignment horizontal="right" vertical="center" wrapText="1" indent="1"/>
      <protection locked="0"/>
    </xf>
    <xf numFmtId="0" fontId="0" fillId="0" borderId="230" xfId="0" applyBorder="1" applyAlignment="1">
      <alignment horizontal="right" vertical="center" wrapText="1" indent="1"/>
    </xf>
    <xf numFmtId="3" fontId="54" fillId="0" borderId="141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32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33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34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13" xfId="0" applyNumberFormat="1" applyFont="1" applyBorder="1" applyAlignment="1" applyProtection="1">
      <alignment horizontal="right" vertical="center" wrapText="1" indent="1"/>
      <protection locked="0"/>
    </xf>
    <xf numFmtId="166" fontId="100" fillId="0" borderId="89" xfId="0" applyNumberFormat="1" applyFont="1" applyBorder="1" applyAlignment="1">
      <alignment horizontal="right" vertical="center" wrapText="1" indent="1"/>
    </xf>
    <xf numFmtId="166" fontId="100" fillId="0" borderId="235" xfId="0" applyNumberFormat="1" applyFont="1" applyBorder="1" applyAlignment="1">
      <alignment horizontal="right" vertical="center" wrapText="1" indent="1"/>
    </xf>
    <xf numFmtId="166" fontId="100" fillId="0" borderId="236" xfId="0" applyNumberFormat="1" applyFont="1" applyBorder="1" applyAlignment="1">
      <alignment horizontal="right" vertical="center" wrapText="1" indent="1"/>
    </xf>
    <xf numFmtId="166" fontId="36" fillId="0" borderId="237" xfId="0" applyNumberFormat="1" applyFont="1" applyBorder="1" applyAlignment="1">
      <alignment horizontal="right" vertical="center" wrapText="1" indent="1"/>
    </xf>
    <xf numFmtId="3" fontId="103" fillId="0" borderId="34" xfId="0" applyNumberFormat="1" applyFont="1" applyBorder="1" applyAlignment="1">
      <alignment horizontal="right" vertical="center"/>
    </xf>
    <xf numFmtId="49" fontId="26" fillId="0" borderId="0" xfId="0" applyNumberFormat="1" applyFont="1" applyBorder="1" applyAlignment="1">
      <alignment horizontal="left" vertical="center"/>
    </xf>
    <xf numFmtId="3" fontId="26" fillId="0" borderId="60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26" fillId="0" borderId="100" xfId="0" applyNumberFormat="1" applyFont="1" applyBorder="1" applyAlignment="1">
      <alignment vertical="center"/>
    </xf>
    <xf numFmtId="3" fontId="26" fillId="0" borderId="138" xfId="0" applyNumberFormat="1" applyFont="1" applyBorder="1" applyAlignment="1">
      <alignment vertical="center"/>
    </xf>
    <xf numFmtId="0" fontId="92" fillId="0" borderId="0" xfId="41" applyFont="1" applyAlignment="1">
      <alignment horizontal="right" vertical="center"/>
    </xf>
    <xf numFmtId="3" fontId="27" fillId="16" borderId="11" xfId="0" applyNumberFormat="1" applyFont="1" applyFill="1" applyBorder="1" applyAlignment="1">
      <alignment horizontal="right" vertical="center" wrapText="1"/>
    </xf>
    <xf numFmtId="3" fontId="26" fillId="16" borderId="36" xfId="0" applyNumberFormat="1" applyFont="1" applyFill="1" applyBorder="1" applyAlignment="1">
      <alignment horizontal="right" vertical="center" wrapText="1"/>
    </xf>
    <xf numFmtId="3" fontId="26" fillId="0" borderId="24" xfId="0" applyNumberFormat="1" applyFont="1" applyBorder="1" applyAlignment="1">
      <alignment horizontal="right" vertical="center"/>
    </xf>
    <xf numFmtId="3" fontId="26" fillId="0" borderId="41" xfId="0" applyNumberFormat="1" applyFont="1" applyBorder="1" applyAlignment="1">
      <alignment horizontal="right" vertical="center"/>
    </xf>
    <xf numFmtId="3" fontId="26" fillId="0" borderId="36" xfId="0" applyNumberFormat="1" applyFont="1" applyBorder="1" applyAlignment="1">
      <alignment horizontal="right" vertical="center"/>
    </xf>
    <xf numFmtId="3" fontId="26" fillId="0" borderId="0" xfId="0" applyNumberFormat="1" applyFont="1" applyBorder="1" applyAlignment="1">
      <alignment horizontal="right" vertical="center"/>
    </xf>
    <xf numFmtId="3" fontId="103" fillId="0" borderId="36" xfId="0" applyNumberFormat="1" applyFont="1" applyBorder="1" applyAlignment="1">
      <alignment horizontal="right" vertical="center"/>
    </xf>
    <xf numFmtId="3" fontId="103" fillId="0" borderId="41" xfId="0" applyNumberFormat="1" applyFont="1" applyBorder="1" applyAlignment="1">
      <alignment vertical="center"/>
    </xf>
    <xf numFmtId="3" fontId="27" fillId="0" borderId="36" xfId="0" applyNumberFormat="1" applyFont="1" applyBorder="1" applyAlignment="1">
      <alignment vertical="center"/>
    </xf>
    <xf numFmtId="3" fontId="26" fillId="0" borderId="41" xfId="0" applyNumberFormat="1" applyFont="1" applyBorder="1" applyAlignment="1">
      <alignment vertical="center"/>
    </xf>
    <xf numFmtId="3" fontId="21" fillId="0" borderId="0" xfId="0" applyNumberFormat="1" applyFon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Border="1"/>
    <xf numFmtId="3" fontId="27" fillId="16" borderId="63" xfId="0" applyNumberFormat="1" applyFont="1" applyFill="1" applyBorder="1" applyAlignment="1">
      <alignment horizontal="right" vertical="center" wrapText="1"/>
    </xf>
    <xf numFmtId="3" fontId="26" fillId="16" borderId="89" xfId="0" applyNumberFormat="1" applyFont="1" applyFill="1" applyBorder="1" applyAlignment="1">
      <alignment horizontal="right" vertical="center" wrapText="1"/>
    </xf>
    <xf numFmtId="3" fontId="26" fillId="16" borderId="151" xfId="0" applyNumberFormat="1" applyFont="1" applyFill="1" applyBorder="1" applyAlignment="1">
      <alignment horizontal="right" vertical="center" wrapText="1"/>
    </xf>
    <xf numFmtId="3" fontId="26" fillId="16" borderId="153" xfId="0" applyNumberFormat="1" applyFont="1" applyFill="1" applyBorder="1" applyAlignment="1">
      <alignment horizontal="right" vertical="center" wrapText="1"/>
    </xf>
    <xf numFmtId="3" fontId="26" fillId="16" borderId="218" xfId="0" applyNumberFormat="1" applyFont="1" applyFill="1" applyBorder="1" applyAlignment="1">
      <alignment horizontal="right" vertical="center" wrapText="1"/>
    </xf>
    <xf numFmtId="3" fontId="27" fillId="0" borderId="238" xfId="0" applyNumberFormat="1" applyFont="1" applyBorder="1" applyAlignment="1">
      <alignment horizontal="right" vertical="center"/>
    </xf>
    <xf numFmtId="3" fontId="27" fillId="0" borderId="239" xfId="0" applyNumberFormat="1" applyFont="1" applyBorder="1" applyAlignment="1">
      <alignment horizontal="right" vertical="center"/>
    </xf>
    <xf numFmtId="3" fontId="27" fillId="0" borderId="89" xfId="0" applyNumberFormat="1" applyFont="1" applyBorder="1" applyAlignment="1">
      <alignment horizontal="right" vertical="center"/>
    </xf>
    <xf numFmtId="3" fontId="27" fillId="0" borderId="153" xfId="0" applyNumberFormat="1" applyFont="1" applyBorder="1" applyAlignment="1">
      <alignment horizontal="right" vertical="center"/>
    </xf>
    <xf numFmtId="3" fontId="27" fillId="0" borderId="218" xfId="0" applyNumberFormat="1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3" fontId="27" fillId="0" borderId="181" xfId="0" applyNumberFormat="1" applyFont="1" applyBorder="1" applyAlignment="1">
      <alignment vertical="center"/>
    </xf>
    <xf numFmtId="3" fontId="27" fillId="0" borderId="75" xfId="0" applyNumberFormat="1" applyFont="1" applyBorder="1" applyAlignment="1">
      <alignment vertical="center"/>
    </xf>
    <xf numFmtId="3" fontId="27" fillId="0" borderId="63" xfId="0" applyNumberFormat="1" applyFont="1" applyBorder="1" applyAlignment="1">
      <alignment vertical="center"/>
    </xf>
    <xf numFmtId="3" fontId="27" fillId="0" borderId="61" xfId="0" applyNumberFormat="1" applyFont="1" applyBorder="1" applyAlignment="1">
      <alignment vertical="center"/>
    </xf>
    <xf numFmtId="3" fontId="26" fillId="0" borderId="89" xfId="0" applyNumberFormat="1" applyFont="1" applyBorder="1" applyAlignment="1">
      <alignment horizontal="right" vertical="center"/>
    </xf>
    <xf numFmtId="3" fontId="26" fillId="0" borderId="89" xfId="0" applyNumberFormat="1" applyFont="1" applyBorder="1" applyAlignment="1">
      <alignment vertical="center"/>
    </xf>
    <xf numFmtId="3" fontId="26" fillId="0" borderId="151" xfId="0" applyNumberFormat="1" applyFont="1" applyBorder="1" applyAlignment="1">
      <alignment horizontal="right" vertical="center"/>
    </xf>
    <xf numFmtId="3" fontId="27" fillId="0" borderId="153" xfId="0" applyNumberFormat="1" applyFont="1" applyBorder="1" applyAlignment="1">
      <alignment vertical="center"/>
    </xf>
    <xf numFmtId="3" fontId="27" fillId="0" borderId="158" xfId="0" applyNumberFormat="1" applyFont="1" applyBorder="1" applyAlignment="1">
      <alignment vertical="center"/>
    </xf>
    <xf numFmtId="3" fontId="26" fillId="0" borderId="152" xfId="0" applyNumberFormat="1" applyFont="1" applyBorder="1" applyAlignment="1">
      <alignment horizontal="right" vertical="center"/>
    </xf>
    <xf numFmtId="3" fontId="26" fillId="0" borderId="159" xfId="0" applyNumberFormat="1" applyFont="1" applyBorder="1" applyAlignment="1">
      <alignment vertical="center"/>
    </xf>
    <xf numFmtId="3" fontId="26" fillId="0" borderId="159" xfId="0" applyNumberFormat="1" applyFont="1" applyBorder="1" applyAlignment="1">
      <alignment horizontal="right" vertical="center"/>
    </xf>
    <xf numFmtId="3" fontId="26" fillId="0" borderId="196" xfId="0" applyNumberFormat="1" applyFont="1" applyBorder="1" applyAlignment="1">
      <alignment horizontal="right" vertical="center"/>
    </xf>
    <xf numFmtId="3" fontId="26" fillId="0" borderId="218" xfId="0" applyNumberFormat="1" applyFont="1" applyBorder="1" applyAlignment="1">
      <alignment horizontal="right" vertical="center"/>
    </xf>
    <xf numFmtId="3" fontId="26" fillId="0" borderId="240" xfId="0" applyNumberFormat="1" applyFont="1" applyBorder="1" applyAlignment="1">
      <alignment horizontal="right" vertical="center"/>
    </xf>
    <xf numFmtId="3" fontId="27" fillId="0" borderId="151" xfId="0" applyNumberFormat="1" applyFont="1" applyBorder="1" applyAlignment="1">
      <alignment vertical="center"/>
    </xf>
    <xf numFmtId="3" fontId="26" fillId="0" borderId="152" xfId="0" applyNumberFormat="1" applyFont="1" applyBorder="1" applyAlignment="1">
      <alignment vertical="center"/>
    </xf>
    <xf numFmtId="3" fontId="26" fillId="0" borderId="196" xfId="0" applyNumberFormat="1" applyFont="1" applyBorder="1" applyAlignment="1">
      <alignment vertical="center"/>
    </xf>
    <xf numFmtId="3" fontId="26" fillId="0" borderId="218" xfId="0" applyNumberFormat="1" applyFont="1" applyBorder="1" applyAlignment="1">
      <alignment vertical="center"/>
    </xf>
    <xf numFmtId="3" fontId="27" fillId="0" borderId="163" xfId="0" applyNumberFormat="1" applyFont="1" applyBorder="1" applyAlignment="1">
      <alignment vertical="center"/>
    </xf>
    <xf numFmtId="3" fontId="26" fillId="0" borderId="92" xfId="0" applyNumberFormat="1" applyFont="1" applyBorder="1" applyAlignment="1">
      <alignment vertical="center"/>
    </xf>
    <xf numFmtId="3" fontId="26" fillId="0" borderId="241" xfId="0" applyNumberFormat="1" applyFont="1" applyBorder="1" applyAlignment="1">
      <alignment vertical="center"/>
    </xf>
    <xf numFmtId="0" fontId="0" fillId="0" borderId="242" xfId="0" applyBorder="1"/>
    <xf numFmtId="0" fontId="0" fillId="0" borderId="93" xfId="0" applyBorder="1"/>
    <xf numFmtId="0" fontId="0" fillId="0" borderId="243" xfId="0" applyBorder="1"/>
    <xf numFmtId="3" fontId="27" fillId="16" borderId="88" xfId="0" applyNumberFormat="1" applyFont="1" applyFill="1" applyBorder="1" applyAlignment="1">
      <alignment horizontal="right" vertical="center" wrapText="1"/>
    </xf>
    <xf numFmtId="3" fontId="26" fillId="16" borderId="163" xfId="0" applyNumberFormat="1" applyFont="1" applyFill="1" applyBorder="1" applyAlignment="1">
      <alignment horizontal="right" vertical="center" wrapText="1"/>
    </xf>
    <xf numFmtId="3" fontId="26" fillId="16" borderId="92" xfId="0" applyNumberFormat="1" applyFont="1" applyFill="1" applyBorder="1" applyAlignment="1">
      <alignment horizontal="right" vertical="center" wrapText="1"/>
    </xf>
    <xf numFmtId="3" fontId="26" fillId="16" borderId="241" xfId="0" applyNumberFormat="1" applyFont="1" applyFill="1" applyBorder="1" applyAlignment="1">
      <alignment horizontal="right" vertical="center" wrapText="1"/>
    </xf>
    <xf numFmtId="3" fontId="27" fillId="16" borderId="60" xfId="0" applyNumberFormat="1" applyFont="1" applyFill="1" applyBorder="1" applyAlignment="1">
      <alignment horizontal="right" vertical="center" wrapText="1"/>
    </xf>
    <xf numFmtId="3" fontId="27" fillId="0" borderId="244" xfId="0" applyNumberFormat="1" applyFont="1" applyBorder="1" applyAlignment="1">
      <alignment horizontal="right" vertical="center"/>
    </xf>
    <xf numFmtId="3" fontId="27" fillId="0" borderId="163" xfId="0" applyNumberFormat="1" applyFont="1" applyBorder="1" applyAlignment="1">
      <alignment horizontal="right" vertical="center"/>
    </xf>
    <xf numFmtId="3" fontId="27" fillId="0" borderId="92" xfId="0" applyNumberFormat="1" applyFont="1" applyBorder="1" applyAlignment="1">
      <alignment horizontal="right" vertical="center"/>
    </xf>
    <xf numFmtId="3" fontId="27" fillId="0" borderId="241" xfId="0" applyNumberFormat="1" applyFont="1" applyBorder="1" applyAlignment="1">
      <alignment horizontal="right" vertical="center"/>
    </xf>
    <xf numFmtId="3" fontId="27" fillId="0" borderId="60" xfId="0" applyNumberFormat="1" applyFont="1" applyBorder="1" applyAlignment="1">
      <alignment horizontal="right" vertical="center"/>
    </xf>
    <xf numFmtId="3" fontId="27" fillId="0" borderId="88" xfId="0" applyNumberFormat="1" applyFont="1" applyBorder="1" applyAlignment="1">
      <alignment vertical="center"/>
    </xf>
    <xf numFmtId="3" fontId="27" fillId="0" borderId="60" xfId="0" applyNumberFormat="1" applyFont="1" applyBorder="1" applyAlignment="1">
      <alignment vertical="center"/>
    </xf>
    <xf numFmtId="0" fontId="0" fillId="0" borderId="74" xfId="0" applyBorder="1" applyAlignment="1">
      <alignment wrapText="1"/>
    </xf>
    <xf numFmtId="0" fontId="0" fillId="0" borderId="106" xfId="0" applyBorder="1"/>
    <xf numFmtId="0" fontId="28" fillId="0" borderId="107" xfId="0" applyFont="1" applyBorder="1"/>
    <xf numFmtId="3" fontId="27" fillId="16" borderId="107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0" fillId="0" borderId="121" xfId="0" applyBorder="1"/>
    <xf numFmtId="0" fontId="0" fillId="0" borderId="122" xfId="0" applyBorder="1"/>
    <xf numFmtId="0" fontId="0" fillId="0" borderId="123" xfId="0" applyBorder="1"/>
    <xf numFmtId="0" fontId="0" fillId="0" borderId="120" xfId="0" applyBorder="1"/>
    <xf numFmtId="0" fontId="0" fillId="0" borderId="133" xfId="0" applyBorder="1"/>
    <xf numFmtId="3" fontId="106" fillId="0" borderId="127" xfId="0" applyNumberFormat="1" applyFont="1" applyBorder="1"/>
    <xf numFmtId="3" fontId="0" fillId="0" borderId="123" xfId="0" applyNumberFormat="1" applyBorder="1"/>
    <xf numFmtId="0" fontId="28" fillId="0" borderId="127" xfId="0" applyFont="1" applyBorder="1"/>
    <xf numFmtId="0" fontId="0" fillId="0" borderId="108" xfId="0" applyBorder="1"/>
    <xf numFmtId="3" fontId="27" fillId="0" borderId="126" xfId="0" applyNumberFormat="1" applyFont="1" applyBorder="1" applyAlignment="1">
      <alignment vertical="center"/>
    </xf>
    <xf numFmtId="3" fontId="47" fillId="0" borderId="58" xfId="42" applyNumberFormat="1" applyFont="1" applyBorder="1" applyAlignment="1">
      <alignment vertical="center"/>
    </xf>
    <xf numFmtId="3" fontId="47" fillId="0" borderId="14" xfId="42" applyNumberFormat="1" applyFont="1" applyBorder="1" applyAlignment="1">
      <alignment vertical="center"/>
    </xf>
    <xf numFmtId="0" fontId="15" fillId="0" borderId="32" xfId="0" applyFont="1" applyBorder="1" applyAlignment="1">
      <alignment horizontal="left" vertical="center" wrapText="1"/>
    </xf>
    <xf numFmtId="3" fontId="98" fillId="0" borderId="245" xfId="42" applyNumberFormat="1" applyFont="1" applyBorder="1" applyAlignment="1">
      <alignment vertical="center"/>
    </xf>
    <xf numFmtId="3" fontId="99" fillId="0" borderId="133" xfId="42" applyNumberFormat="1" applyFont="1" applyBorder="1" applyAlignment="1">
      <alignment vertical="center"/>
    </xf>
    <xf numFmtId="3" fontId="45" fillId="0" borderId="133" xfId="42" applyNumberFormat="1" applyFont="1" applyBorder="1" applyAlignment="1">
      <alignment vertical="center"/>
    </xf>
    <xf numFmtId="0" fontId="47" fillId="0" borderId="60" xfId="42" applyFont="1" applyBorder="1" applyAlignment="1">
      <alignment horizontal="center" vertical="center"/>
    </xf>
    <xf numFmtId="3" fontId="89" fillId="16" borderId="100" xfId="42" applyNumberFormat="1" applyFont="1" applyFill="1" applyBorder="1" applyAlignment="1">
      <alignment horizontal="center" vertical="center"/>
    </xf>
    <xf numFmtId="3" fontId="89" fillId="16" borderId="138" xfId="42" applyNumberFormat="1" applyFont="1" applyFill="1" applyBorder="1" applyAlignment="1">
      <alignment horizontal="center" vertical="center" wrapText="1"/>
    </xf>
    <xf numFmtId="3" fontId="85" fillId="0" borderId="98" xfId="42" applyNumberFormat="1" applyFont="1" applyBorder="1" applyAlignment="1">
      <alignment vertical="center"/>
    </xf>
    <xf numFmtId="3" fontId="86" fillId="0" borderId="136" xfId="42" applyNumberFormat="1" applyFont="1" applyBorder="1" applyAlignment="1">
      <alignment vertical="center"/>
    </xf>
    <xf numFmtId="3" fontId="85" fillId="0" borderId="98" xfId="0" applyNumberFormat="1" applyFont="1" applyBorder="1" applyAlignment="1">
      <alignment horizontal="right" vertical="center"/>
    </xf>
    <xf numFmtId="3" fontId="86" fillId="0" borderId="136" xfId="0" applyNumberFormat="1" applyFont="1" applyBorder="1" applyAlignment="1">
      <alignment horizontal="right" vertical="center"/>
    </xf>
    <xf numFmtId="3" fontId="85" fillId="0" borderId="98" xfId="42" applyNumberFormat="1" applyFont="1" applyBorder="1" applyAlignment="1">
      <alignment horizontal="right" vertical="center"/>
    </xf>
    <xf numFmtId="3" fontId="86" fillId="0" borderId="136" xfId="42" applyNumberFormat="1" applyFont="1" applyBorder="1" applyAlignment="1">
      <alignment horizontal="right" vertical="center"/>
    </xf>
    <xf numFmtId="3" fontId="86" fillId="0" borderId="98" xfId="42" applyNumberFormat="1" applyFont="1" applyBorder="1" applyAlignment="1">
      <alignment horizontal="right" vertical="center"/>
    </xf>
    <xf numFmtId="3" fontId="86" fillId="0" borderId="205" xfId="42" applyNumberFormat="1" applyFont="1" applyBorder="1" applyAlignment="1">
      <alignment horizontal="right" vertical="center"/>
    </xf>
    <xf numFmtId="3" fontId="86" fillId="0" borderId="246" xfId="42" applyNumberFormat="1" applyFont="1" applyBorder="1" applyAlignment="1">
      <alignment horizontal="right" vertical="center"/>
    </xf>
    <xf numFmtId="3" fontId="86" fillId="0" borderId="234" xfId="42" applyNumberFormat="1" applyFont="1" applyBorder="1" applyAlignment="1">
      <alignment horizontal="right" vertical="center"/>
    </xf>
    <xf numFmtId="3" fontId="86" fillId="0" borderId="247" xfId="42" applyNumberFormat="1" applyFont="1" applyBorder="1" applyAlignment="1">
      <alignment horizontal="right" vertical="center"/>
    </xf>
    <xf numFmtId="3" fontId="86" fillId="0" borderId="100" xfId="0" applyNumberFormat="1" applyFont="1" applyFill="1" applyBorder="1" applyAlignment="1">
      <alignment horizontal="right" vertical="center"/>
    </xf>
    <xf numFmtId="3" fontId="86" fillId="0" borderId="248" xfId="0" applyNumberFormat="1" applyFont="1" applyBorder="1" applyAlignment="1">
      <alignment horizontal="right" vertical="center"/>
    </xf>
    <xf numFmtId="3" fontId="78" fillId="0" borderId="102" xfId="42" applyNumberFormat="1" applyFont="1" applyBorder="1" applyAlignment="1">
      <alignment horizontal="right" vertical="center"/>
    </xf>
    <xf numFmtId="3" fontId="85" fillId="0" borderId="56" xfId="42" applyNumberFormat="1" applyFont="1" applyBorder="1" applyAlignment="1">
      <alignment vertical="center"/>
    </xf>
    <xf numFmtId="3" fontId="85" fillId="0" borderId="56" xfId="0" applyNumberFormat="1" applyFont="1" applyBorder="1" applyAlignment="1">
      <alignment horizontal="right" vertical="center"/>
    </xf>
    <xf numFmtId="3" fontId="85" fillId="0" borderId="56" xfId="42" applyNumberFormat="1" applyFont="1" applyBorder="1" applyAlignment="1">
      <alignment horizontal="right" vertical="center"/>
    </xf>
    <xf numFmtId="3" fontId="85" fillId="0" borderId="208" xfId="42" applyNumberFormat="1" applyFont="1" applyBorder="1" applyAlignment="1">
      <alignment horizontal="right" vertical="center"/>
    </xf>
    <xf numFmtId="3" fontId="85" fillId="0" borderId="132" xfId="42" applyNumberFormat="1" applyFont="1" applyBorder="1" applyAlignment="1">
      <alignment horizontal="right" vertical="center"/>
    </xf>
    <xf numFmtId="3" fontId="85" fillId="0" borderId="82" xfId="0" applyNumberFormat="1" applyFont="1" applyBorder="1" applyAlignment="1">
      <alignment horizontal="right" vertical="center"/>
    </xf>
    <xf numFmtId="0" fontId="27" fillId="0" borderId="249" xfId="0" applyFont="1" applyBorder="1" applyAlignment="1">
      <alignment horizontal="center" vertical="center" wrapText="1"/>
    </xf>
    <xf numFmtId="166" fontId="51" fillId="0" borderId="0" xfId="0" applyNumberFormat="1" applyFont="1" applyAlignment="1">
      <alignment horizontal="left" vertical="center" wrapText="1"/>
    </xf>
    <xf numFmtId="0" fontId="74" fillId="0" borderId="0" xfId="42" applyFont="1" applyAlignment="1">
      <alignment horizontal="right"/>
    </xf>
    <xf numFmtId="0" fontId="74" fillId="0" borderId="0" xfId="42" applyFont="1"/>
    <xf numFmtId="3" fontId="73" fillId="0" borderId="61" xfId="44" applyNumberFormat="1" applyFont="1" applyBorder="1" applyAlignment="1">
      <alignment vertical="center"/>
    </xf>
    <xf numFmtId="3" fontId="74" fillId="0" borderId="114" xfId="44" applyNumberFormat="1" applyFont="1" applyBorder="1" applyAlignment="1">
      <alignment horizontal="right" wrapText="1"/>
    </xf>
    <xf numFmtId="3" fontId="74" fillId="0" borderId="0" xfId="44" applyNumberFormat="1" applyFont="1" applyBorder="1" applyAlignment="1">
      <alignment horizontal="right" wrapText="1"/>
    </xf>
    <xf numFmtId="3" fontId="74" fillId="0" borderId="114" xfId="44" applyNumberFormat="1" applyFont="1" applyBorder="1" applyAlignment="1">
      <alignment horizontal="right"/>
    </xf>
    <xf numFmtId="3" fontId="74" fillId="0" borderId="11" xfId="44" applyNumberFormat="1" applyFont="1" applyBorder="1" applyAlignment="1">
      <alignment horizontal="right" wrapText="1"/>
    </xf>
    <xf numFmtId="3" fontId="74" fillId="0" borderId="11" xfId="44" applyNumberFormat="1" applyFont="1" applyBorder="1" applyAlignment="1">
      <alignment horizontal="center" vertical="center" wrapText="1"/>
    </xf>
    <xf numFmtId="3" fontId="74" fillId="0" borderId="11" xfId="44" applyNumberFormat="1" applyFont="1" applyBorder="1" applyAlignment="1">
      <alignment vertical="top"/>
    </xf>
    <xf numFmtId="3" fontId="75" fillId="0" borderId="72" xfId="44" applyNumberFormat="1" applyFont="1" applyBorder="1" applyAlignment="1">
      <alignment vertical="top"/>
    </xf>
    <xf numFmtId="3" fontId="75" fillId="0" borderId="50" xfId="44" applyNumberFormat="1" applyFont="1" applyBorder="1" applyAlignment="1">
      <alignment vertical="top"/>
    </xf>
    <xf numFmtId="3" fontId="75" fillId="0" borderId="115" xfId="44" applyNumberFormat="1" applyFont="1" applyBorder="1" applyAlignment="1">
      <alignment vertical="top"/>
    </xf>
    <xf numFmtId="3" fontId="74" fillId="0" borderId="107" xfId="44" applyNumberFormat="1" applyFont="1" applyBorder="1" applyAlignment="1">
      <alignment vertical="top"/>
    </xf>
    <xf numFmtId="3" fontId="74" fillId="0" borderId="108" xfId="44" applyNumberFormat="1" applyFont="1" applyBorder="1" applyAlignment="1">
      <alignment vertical="top"/>
    </xf>
    <xf numFmtId="3" fontId="74" fillId="0" borderId="0" xfId="42" applyNumberFormat="1" applyFont="1"/>
    <xf numFmtId="3" fontId="74" fillId="0" borderId="91" xfId="44" applyNumberFormat="1" applyFont="1" applyBorder="1" applyAlignment="1">
      <alignment horizontal="right" wrapText="1"/>
    </xf>
    <xf numFmtId="3" fontId="74" fillId="0" borderId="107" xfId="44" applyNumberFormat="1" applyFont="1" applyBorder="1" applyAlignment="1">
      <alignment horizontal="right" wrapText="1"/>
    </xf>
    <xf numFmtId="3" fontId="80" fillId="5" borderId="250" xfId="42" applyNumberFormat="1" applyFont="1" applyFill="1" applyBorder="1" applyAlignment="1">
      <alignment horizontal="center" vertical="center" wrapText="1"/>
    </xf>
    <xf numFmtId="3" fontId="89" fillId="16" borderId="11" xfId="42" applyNumberFormat="1" applyFont="1" applyFill="1" applyBorder="1" applyAlignment="1">
      <alignment horizontal="center" vertical="center"/>
    </xf>
    <xf numFmtId="3" fontId="103" fillId="0" borderId="65" xfId="0" applyNumberFormat="1" applyFont="1" applyBorder="1" applyAlignment="1">
      <alignment vertical="center"/>
    </xf>
    <xf numFmtId="166" fontId="100" fillId="0" borderId="0" xfId="0" applyNumberFormat="1" applyFont="1" applyBorder="1" applyAlignment="1">
      <alignment horizontal="right" vertical="center" wrapText="1" indent="1"/>
    </xf>
    <xf numFmtId="166" fontId="49" fillId="0" borderId="83" xfId="0" applyNumberFormat="1" applyFont="1" applyBorder="1" applyAlignment="1">
      <alignment horizontal="center" vertical="center" wrapText="1"/>
    </xf>
    <xf numFmtId="166" fontId="49" fillId="0" borderId="144" xfId="0" applyNumberFormat="1" applyFont="1" applyBorder="1" applyAlignment="1">
      <alignment horizontal="center" vertical="center" wrapText="1"/>
    </xf>
    <xf numFmtId="166" fontId="100" fillId="0" borderId="251" xfId="0" applyNumberFormat="1" applyFont="1" applyBorder="1" applyAlignment="1">
      <alignment horizontal="right" vertical="center" wrapText="1" indent="1"/>
    </xf>
    <xf numFmtId="166" fontId="36" fillId="0" borderId="187" xfId="0" applyNumberFormat="1" applyFont="1" applyBorder="1" applyAlignment="1">
      <alignment horizontal="right" vertical="center" wrapText="1" indent="1"/>
    </xf>
    <xf numFmtId="3" fontId="111" fillId="0" borderId="217" xfId="0" applyNumberFormat="1" applyFont="1" applyBorder="1" applyAlignment="1">
      <alignment horizontal="right" vertical="center" wrapText="1"/>
    </xf>
    <xf numFmtId="166" fontId="35" fillId="0" borderId="252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65" xfId="0" applyNumberFormat="1" applyFont="1" applyBorder="1" applyAlignment="1">
      <alignment horizontal="right" vertical="center" wrapText="1" indent="1"/>
    </xf>
    <xf numFmtId="166" fontId="35" fillId="0" borderId="253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36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5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65" xfId="0" applyNumberFormat="1" applyFont="1" applyBorder="1" applyAlignment="1" applyProtection="1">
      <alignment horizontal="right" vertical="center" wrapText="1" indent="1"/>
      <protection locked="0"/>
    </xf>
    <xf numFmtId="3" fontId="110" fillId="0" borderId="89" xfId="0" applyNumberFormat="1" applyFont="1" applyBorder="1" applyAlignment="1">
      <alignment vertical="center" wrapText="1"/>
    </xf>
    <xf numFmtId="166" fontId="36" fillId="0" borderId="255" xfId="0" applyNumberFormat="1" applyFont="1" applyBorder="1" applyAlignment="1">
      <alignment horizontal="right" vertical="center" wrapText="1" indent="1"/>
    </xf>
    <xf numFmtId="166" fontId="36" fillId="0" borderId="65" xfId="0" applyNumberFormat="1" applyFont="1" applyBorder="1" applyAlignment="1">
      <alignment horizontal="right" vertical="center" wrapText="1" indent="1"/>
    </xf>
    <xf numFmtId="166" fontId="35" fillId="0" borderId="256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59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57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58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59" xfId="0" applyNumberFormat="1" applyFont="1" applyBorder="1" applyAlignment="1" applyProtection="1">
      <alignment horizontal="right" vertical="center" wrapText="1" indent="1"/>
      <protection locked="0"/>
    </xf>
    <xf numFmtId="166" fontId="49" fillId="0" borderId="156" xfId="0" applyNumberFormat="1" applyFont="1" applyBorder="1" applyAlignment="1">
      <alignment horizontal="center" vertical="center" wrapText="1"/>
    </xf>
    <xf numFmtId="166" fontId="36" fillId="0" borderId="258" xfId="0" applyNumberFormat="1" applyFont="1" applyBorder="1" applyAlignment="1">
      <alignment horizontal="right" vertical="center" wrapText="1" indent="1"/>
    </xf>
    <xf numFmtId="166" fontId="100" fillId="0" borderId="160" xfId="0" applyNumberFormat="1" applyFont="1" applyBorder="1" applyAlignment="1">
      <alignment horizontal="right" vertical="center" wrapText="1" indent="1"/>
    </xf>
    <xf numFmtId="166" fontId="36" fillId="0" borderId="154" xfId="0" applyNumberFormat="1" applyFont="1" applyBorder="1" applyAlignment="1">
      <alignment horizontal="right" vertical="center" wrapText="1" indent="1"/>
    </xf>
    <xf numFmtId="3" fontId="111" fillId="0" borderId="155" xfId="0" applyNumberFormat="1" applyFont="1" applyBorder="1" applyAlignment="1">
      <alignment horizontal="right" vertical="center" wrapText="1"/>
    </xf>
    <xf numFmtId="166" fontId="35" fillId="0" borderId="251" xfId="0" applyNumberFormat="1" applyFont="1" applyBorder="1" applyAlignment="1" applyProtection="1">
      <alignment horizontal="right" vertical="center" wrapText="1" indent="1"/>
      <protection locked="0"/>
    </xf>
    <xf numFmtId="3" fontId="111" fillId="0" borderId="156" xfId="0" applyNumberFormat="1" applyFont="1" applyBorder="1" applyAlignment="1">
      <alignment vertical="center" wrapText="1"/>
    </xf>
    <xf numFmtId="166" fontId="35" fillId="0" borderId="160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54" xfId="0" applyNumberFormat="1" applyFont="1" applyBorder="1" applyAlignment="1" applyProtection="1">
      <alignment horizontal="right" vertical="center" wrapText="1" indent="1"/>
      <protection locked="0"/>
    </xf>
    <xf numFmtId="3" fontId="35" fillId="0" borderId="155" xfId="0" applyNumberFormat="1" applyFont="1" applyBorder="1" applyAlignment="1">
      <alignment vertical="center" wrapText="1"/>
    </xf>
    <xf numFmtId="3" fontId="109" fillId="0" borderId="217" xfId="0" applyNumberFormat="1" applyFont="1" applyBorder="1" applyAlignment="1">
      <alignment vertical="center" wrapText="1"/>
    </xf>
    <xf numFmtId="3" fontId="109" fillId="0" borderId="155" xfId="0" applyNumberFormat="1" applyFont="1" applyBorder="1" applyAlignment="1">
      <alignment vertical="center" wrapText="1"/>
    </xf>
    <xf numFmtId="166" fontId="36" fillId="0" borderId="220" xfId="0" applyNumberFormat="1" applyFont="1" applyBorder="1" applyAlignment="1">
      <alignment horizontal="right" vertical="center" wrapText="1" indent="1"/>
    </xf>
    <xf numFmtId="166" fontId="36" fillId="0" borderId="114" xfId="0" applyNumberFormat="1" applyFont="1" applyBorder="1" applyAlignment="1">
      <alignment horizontal="right" vertical="center" wrapText="1" indent="1"/>
    </xf>
    <xf numFmtId="166" fontId="36" fillId="0" borderId="236" xfId="0" applyNumberFormat="1" applyFont="1" applyBorder="1" applyAlignment="1">
      <alignment horizontal="right" vertical="center" wrapText="1" indent="1"/>
    </xf>
    <xf numFmtId="166" fontId="36" fillId="0" borderId="260" xfId="0" applyNumberFormat="1" applyFont="1" applyBorder="1" applyAlignment="1">
      <alignment horizontal="right" vertical="center" wrapText="1" indent="1"/>
    </xf>
    <xf numFmtId="166" fontId="35" fillId="0" borderId="261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09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62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56" xfId="0" applyNumberFormat="1" applyFont="1" applyBorder="1" applyAlignment="1" applyProtection="1">
      <alignment horizontal="right" vertical="center" wrapText="1" indent="1"/>
      <protection locked="0"/>
    </xf>
    <xf numFmtId="0" fontId="0" fillId="0" borderId="156" xfId="0" applyBorder="1" applyAlignment="1">
      <alignment horizontal="right" vertical="center" wrapText="1" indent="1"/>
    </xf>
    <xf numFmtId="3" fontId="54" fillId="0" borderId="156" xfId="0" applyNumberFormat="1" applyFont="1" applyBorder="1" applyAlignment="1" applyProtection="1">
      <alignment horizontal="right" vertical="center" wrapText="1" indent="1"/>
      <protection locked="0"/>
    </xf>
    <xf numFmtId="3" fontId="112" fillId="0" borderId="153" xfId="0" applyNumberFormat="1" applyFont="1" applyBorder="1" applyAlignment="1">
      <alignment horizontal="right" vertical="center" wrapText="1"/>
    </xf>
    <xf numFmtId="3" fontId="112" fillId="0" borderId="210" xfId="0" applyNumberFormat="1" applyFont="1" applyBorder="1" applyAlignment="1">
      <alignment vertical="center" wrapText="1"/>
    </xf>
    <xf numFmtId="3" fontId="112" fillId="0" borderId="153" xfId="0" applyNumberFormat="1" applyFont="1" applyBorder="1" applyAlignment="1">
      <alignment vertical="center" wrapText="1"/>
    </xf>
    <xf numFmtId="0" fontId="0" fillId="0" borderId="144" xfId="0" applyBorder="1" applyAlignment="1">
      <alignment horizontal="right" vertical="center" wrapText="1" indent="1"/>
    </xf>
    <xf numFmtId="166" fontId="35" fillId="0" borderId="245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98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199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44" xfId="0" applyNumberFormat="1" applyFont="1" applyBorder="1" applyAlignment="1" applyProtection="1">
      <alignment horizontal="right" vertical="center" wrapText="1" indent="1"/>
      <protection locked="0"/>
    </xf>
    <xf numFmtId="3" fontId="54" fillId="0" borderId="144" xfId="0" applyNumberFormat="1" applyFont="1" applyBorder="1" applyAlignment="1" applyProtection="1">
      <alignment horizontal="right" vertical="center" wrapText="1" indent="1"/>
      <protection locked="0"/>
    </xf>
    <xf numFmtId="166" fontId="57" fillId="0" borderId="161" xfId="0" applyNumberFormat="1" applyFont="1" applyBorder="1" applyAlignment="1">
      <alignment horizontal="right" vertical="center" wrapText="1" indent="1"/>
    </xf>
    <xf numFmtId="3" fontId="111" fillId="0" borderId="161" xfId="0" applyNumberFormat="1" applyFont="1" applyBorder="1" applyAlignment="1">
      <alignment vertical="center" wrapText="1"/>
    </xf>
    <xf numFmtId="166" fontId="100" fillId="0" borderId="92" xfId="0" applyNumberFormat="1" applyFont="1" applyBorder="1" applyAlignment="1">
      <alignment horizontal="right" vertical="center" wrapText="1" indent="1"/>
    </xf>
    <xf numFmtId="166" fontId="100" fillId="0" borderId="263" xfId="0" applyNumberFormat="1" applyFont="1" applyBorder="1" applyAlignment="1">
      <alignment horizontal="right" vertical="center" wrapText="1" indent="1"/>
    </xf>
    <xf numFmtId="0" fontId="0" fillId="0" borderId="156" xfId="0" applyBorder="1" applyAlignment="1">
      <alignment vertical="center" wrapText="1"/>
    </xf>
    <xf numFmtId="0" fontId="31" fillId="0" borderId="156" xfId="0" applyFont="1" applyBorder="1" applyAlignment="1">
      <alignment horizontal="center" vertical="center" wrapText="1"/>
    </xf>
    <xf numFmtId="166" fontId="36" fillId="0" borderId="153" xfId="0" applyNumberFormat="1" applyFont="1" applyBorder="1" applyAlignment="1">
      <alignment horizontal="right" vertical="center" wrapText="1" indent="1"/>
    </xf>
    <xf numFmtId="166" fontId="36" fillId="0" borderId="149" xfId="0" applyNumberFormat="1" applyFont="1" applyBorder="1" applyAlignment="1">
      <alignment horizontal="right" vertical="center" wrapText="1" indent="1"/>
    </xf>
    <xf numFmtId="3" fontId="110" fillId="0" borderId="210" xfId="0" applyNumberFormat="1" applyFont="1" applyBorder="1" applyAlignment="1">
      <alignment vertical="center" wrapText="1"/>
    </xf>
    <xf numFmtId="166" fontId="36" fillId="0" borderId="238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22" xfId="0" applyNumberFormat="1" applyFont="1" applyBorder="1" applyAlignment="1" applyProtection="1">
      <alignment horizontal="right" vertical="center" wrapText="1" indent="1"/>
      <protection locked="0"/>
    </xf>
    <xf numFmtId="3" fontId="110" fillId="0" borderId="149" xfId="0" applyNumberFormat="1" applyFont="1" applyBorder="1" applyAlignment="1">
      <alignment vertical="center" wrapText="1"/>
    </xf>
    <xf numFmtId="0" fontId="49" fillId="0" borderId="264" xfId="0" applyFont="1" applyBorder="1" applyAlignment="1">
      <alignment horizontal="center" vertical="center" wrapText="1"/>
    </xf>
    <xf numFmtId="0" fontId="36" fillId="0" borderId="265" xfId="0" applyFont="1" applyBorder="1" applyAlignment="1">
      <alignment horizontal="center" vertical="center" wrapText="1"/>
    </xf>
    <xf numFmtId="166" fontId="49" fillId="0" borderId="266" xfId="0" applyNumberFormat="1" applyFont="1" applyBorder="1" applyAlignment="1">
      <alignment horizontal="center" vertical="center" wrapText="1"/>
    </xf>
    <xf numFmtId="166" fontId="36" fillId="0" borderId="267" xfId="0" applyNumberFormat="1" applyFont="1" applyBorder="1" applyAlignment="1">
      <alignment horizontal="right" vertical="center" wrapText="1" indent="1"/>
    </xf>
    <xf numFmtId="166" fontId="100" fillId="0" borderId="268" xfId="0" applyNumberFormat="1" applyFont="1" applyBorder="1" applyAlignment="1">
      <alignment horizontal="right" vertical="center" wrapText="1" indent="1"/>
    </xf>
    <xf numFmtId="166" fontId="100" fillId="0" borderId="269" xfId="0" applyNumberFormat="1" applyFont="1" applyBorder="1" applyAlignment="1">
      <alignment horizontal="right" vertical="center" wrapText="1" indent="1"/>
    </xf>
    <xf numFmtId="166" fontId="100" fillId="0" borderId="248" xfId="0" applyNumberFormat="1" applyFont="1" applyBorder="1" applyAlignment="1">
      <alignment horizontal="right" vertical="center" wrapText="1" indent="1"/>
    </xf>
    <xf numFmtId="166" fontId="36" fillId="0" borderId="265" xfId="0" applyNumberFormat="1" applyFont="1" applyBorder="1" applyAlignment="1">
      <alignment horizontal="right" vertical="center" wrapText="1" indent="1"/>
    </xf>
    <xf numFmtId="166" fontId="35" fillId="0" borderId="270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71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65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48" xfId="0" applyNumberFormat="1" applyFont="1" applyBorder="1" applyAlignment="1" applyProtection="1">
      <alignment horizontal="right" vertical="center" wrapText="1" indent="1"/>
      <protection locked="0"/>
    </xf>
    <xf numFmtId="166" fontId="35" fillId="0" borderId="200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66" xfId="0" applyNumberFormat="1" applyFont="1" applyBorder="1" applyAlignment="1" applyProtection="1">
      <alignment horizontal="right" vertical="center" wrapText="1" indent="1"/>
      <protection locked="0"/>
    </xf>
    <xf numFmtId="0" fontId="0" fillId="0" borderId="248" xfId="0" applyBorder="1" applyAlignment="1">
      <alignment horizontal="right" vertical="center" wrapText="1" indent="1"/>
    </xf>
    <xf numFmtId="3" fontId="54" fillId="0" borderId="265" xfId="0" applyNumberFormat="1" applyFont="1" applyBorder="1" applyAlignment="1" applyProtection="1">
      <alignment horizontal="right" vertical="center" wrapText="1" indent="1"/>
      <protection locked="0"/>
    </xf>
    <xf numFmtId="3" fontId="54" fillId="0" borderId="272" xfId="0" applyNumberFormat="1" applyFont="1" applyBorder="1" applyAlignment="1" applyProtection="1">
      <alignment horizontal="right" vertical="center" wrapText="1" indent="1"/>
      <protection locked="0"/>
    </xf>
    <xf numFmtId="0" fontId="35" fillId="0" borderId="0" xfId="0" applyFont="1" applyBorder="1" applyAlignment="1">
      <alignment horizontal="right" vertical="center" wrapText="1" indent="1"/>
    </xf>
    <xf numFmtId="166" fontId="36" fillId="0" borderId="63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62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224" xfId="0" applyNumberFormat="1" applyFont="1" applyBorder="1" applyAlignment="1" applyProtection="1">
      <alignment horizontal="right" vertical="center" wrapText="1" indent="1"/>
      <protection locked="0"/>
    </xf>
    <xf numFmtId="166" fontId="36" fillId="0" borderId="142" xfId="0" applyNumberFormat="1" applyFont="1" applyBorder="1" applyAlignment="1">
      <alignment horizontal="right" vertical="center" wrapText="1" indent="1"/>
    </xf>
    <xf numFmtId="166" fontId="36" fillId="0" borderId="273" xfId="0" applyNumberFormat="1" applyFont="1" applyBorder="1" applyAlignment="1">
      <alignment horizontal="right" vertical="center" wrapText="1" indent="1"/>
    </xf>
    <xf numFmtId="166" fontId="36" fillId="0" borderId="274" xfId="0" applyNumberFormat="1" applyFont="1" applyBorder="1" applyAlignment="1">
      <alignment horizontal="right" vertical="center" wrapText="1" indent="1"/>
    </xf>
    <xf numFmtId="3" fontId="27" fillId="0" borderId="11" xfId="0" applyNumberFormat="1" applyFont="1" applyBorder="1" applyAlignment="1">
      <alignment horizontal="center" vertical="center" wrapText="1"/>
    </xf>
    <xf numFmtId="3" fontId="26" fillId="0" borderId="208" xfId="0" applyNumberFormat="1" applyFont="1" applyBorder="1" applyAlignment="1">
      <alignment vertical="center"/>
    </xf>
    <xf numFmtId="0" fontId="115" fillId="0" borderId="12" xfId="0" applyFont="1" applyBorder="1" applyAlignment="1">
      <alignment horizontal="center" vertical="center" wrapText="1"/>
    </xf>
    <xf numFmtId="0" fontId="115" fillId="0" borderId="13" xfId="0" applyFont="1" applyBorder="1" applyAlignment="1">
      <alignment horizontal="center" vertical="center" wrapText="1"/>
    </xf>
    <xf numFmtId="0" fontId="115" fillId="0" borderId="14" xfId="0" applyFont="1" applyBorder="1" applyAlignment="1">
      <alignment horizontal="center" vertical="center" wrapText="1"/>
    </xf>
    <xf numFmtId="0" fontId="115" fillId="0" borderId="15" xfId="0" applyFont="1" applyBorder="1" applyAlignment="1">
      <alignment horizontal="center" vertical="center" wrapText="1"/>
    </xf>
    <xf numFmtId="0" fontId="115" fillId="0" borderId="11" xfId="0" applyFont="1" applyBorder="1" applyAlignment="1">
      <alignment horizontal="center" vertical="center" wrapText="1"/>
    </xf>
    <xf numFmtId="0" fontId="115" fillId="0" borderId="16" xfId="0" applyFont="1" applyBorder="1" applyAlignment="1">
      <alignment horizontal="center" vertical="center" wrapText="1"/>
    </xf>
    <xf numFmtId="3" fontId="98" fillId="0" borderId="174" xfId="42" applyNumberFormat="1" applyFont="1" applyBorder="1" applyAlignment="1">
      <alignment vertical="center"/>
    </xf>
    <xf numFmtId="0" fontId="45" fillId="0" borderId="0" xfId="42" applyFont="1" applyBorder="1" applyAlignment="1">
      <alignment vertical="center" wrapText="1"/>
    </xf>
    <xf numFmtId="3" fontId="99" fillId="0" borderId="248" xfId="42" applyNumberFormat="1" applyFont="1" applyBorder="1" applyAlignment="1">
      <alignment vertical="center"/>
    </xf>
    <xf numFmtId="3" fontId="45" fillId="0" borderId="248" xfId="42" applyNumberFormat="1" applyFont="1" applyBorder="1" applyAlignment="1">
      <alignment vertical="center"/>
    </xf>
    <xf numFmtId="0" fontId="14" fillId="0" borderId="275" xfId="42" applyBorder="1" applyAlignment="1">
      <alignment vertical="center" wrapText="1"/>
    </xf>
    <xf numFmtId="3" fontId="14" fillId="0" borderId="276" xfId="42" applyNumberFormat="1" applyBorder="1" applyAlignment="1">
      <alignment vertical="center"/>
    </xf>
    <xf numFmtId="3" fontId="14" fillId="0" borderId="277" xfId="42" applyNumberFormat="1" applyBorder="1" applyAlignment="1">
      <alignment vertical="center"/>
    </xf>
    <xf numFmtId="3" fontId="14" fillId="0" borderId="168" xfId="42" applyNumberFormat="1" applyBorder="1" applyAlignment="1">
      <alignment vertical="center"/>
    </xf>
    <xf numFmtId="0" fontId="14" fillId="0" borderId="278" xfId="42" applyBorder="1" applyAlignment="1">
      <alignment vertical="center" wrapText="1"/>
    </xf>
    <xf numFmtId="3" fontId="14" fillId="0" borderId="279" xfId="42" applyNumberFormat="1" applyBorder="1" applyAlignment="1">
      <alignment vertical="center"/>
    </xf>
    <xf numFmtId="0" fontId="15" fillId="0" borderId="122" xfId="0" applyFont="1" applyBorder="1" applyAlignment="1">
      <alignment horizontal="left" vertical="center" wrapText="1"/>
    </xf>
    <xf numFmtId="3" fontId="45" fillId="0" borderId="199" xfId="42" applyNumberFormat="1" applyFont="1" applyBorder="1" applyAlignment="1">
      <alignment vertical="center"/>
    </xf>
    <xf numFmtId="3" fontId="98" fillId="0" borderId="85" xfId="42" applyNumberFormat="1" applyFont="1" applyBorder="1" applyAlignment="1">
      <alignment vertical="center"/>
    </xf>
    <xf numFmtId="3" fontId="98" fillId="0" borderId="41" xfId="42" applyNumberFormat="1" applyFont="1" applyBorder="1" applyAlignment="1">
      <alignment vertical="center"/>
    </xf>
    <xf numFmtId="3" fontId="45" fillId="0" borderId="91" xfId="42" applyNumberFormat="1" applyFont="1" applyBorder="1" applyAlignment="1">
      <alignment vertical="center"/>
    </xf>
    <xf numFmtId="3" fontId="45" fillId="0" borderId="264" xfId="42" applyNumberFormat="1" applyFont="1" applyBorder="1" applyAlignment="1">
      <alignment vertical="center"/>
    </xf>
    <xf numFmtId="3" fontId="45" fillId="0" borderId="280" xfId="42" applyNumberFormat="1" applyFont="1" applyBorder="1" applyAlignment="1">
      <alignment vertical="center"/>
    </xf>
    <xf numFmtId="3" fontId="45" fillId="0" borderId="281" xfId="42" applyNumberFormat="1" applyFont="1" applyBorder="1" applyAlignment="1">
      <alignment vertical="center"/>
    </xf>
    <xf numFmtId="3" fontId="46" fillId="0" borderId="142" xfId="42" applyNumberFormat="1" applyFont="1" applyBorder="1" applyAlignment="1">
      <alignment vertical="center"/>
    </xf>
    <xf numFmtId="3" fontId="45" fillId="0" borderId="53" xfId="42" applyNumberFormat="1" applyFont="1" applyBorder="1" applyAlignment="1">
      <alignment vertical="center"/>
    </xf>
    <xf numFmtId="3" fontId="46" fillId="0" borderId="50" xfId="42" applyNumberFormat="1" applyFont="1" applyBorder="1" applyAlignment="1">
      <alignment vertical="center"/>
    </xf>
    <xf numFmtId="3" fontId="45" fillId="0" borderId="106" xfId="42" applyNumberFormat="1" applyFont="1" applyBorder="1" applyAlignment="1">
      <alignment vertical="center"/>
    </xf>
    <xf numFmtId="3" fontId="27" fillId="0" borderId="125" xfId="0" applyNumberFormat="1" applyFont="1" applyBorder="1" applyAlignment="1">
      <alignment vertical="center"/>
    </xf>
    <xf numFmtId="0" fontId="78" fillId="18" borderId="139" xfId="42" applyFont="1" applyFill="1" applyBorder="1" applyAlignment="1">
      <alignment horizontal="center" vertical="center"/>
    </xf>
    <xf numFmtId="3" fontId="88" fillId="0" borderId="223" xfId="29" applyNumberFormat="1" applyFont="1" applyBorder="1" applyAlignment="1">
      <alignment horizontal="right" vertical="center"/>
    </xf>
    <xf numFmtId="3" fontId="86" fillId="0" borderId="136" xfId="42" applyNumberFormat="1" applyFont="1" applyBorder="1" applyAlignment="1">
      <alignment horizontal="right"/>
    </xf>
    <xf numFmtId="3" fontId="86" fillId="0" borderId="137" xfId="42" applyNumberFormat="1" applyFont="1" applyBorder="1" applyAlignment="1">
      <alignment horizontal="right"/>
    </xf>
    <xf numFmtId="3" fontId="86" fillId="0" borderId="246" xfId="42" applyNumberFormat="1" applyFont="1" applyBorder="1" applyAlignment="1">
      <alignment horizontal="right"/>
    </xf>
    <xf numFmtId="3" fontId="87" fillId="0" borderId="138" xfId="42" applyNumberFormat="1" applyFont="1" applyBorder="1" applyAlignment="1">
      <alignment horizontal="right"/>
    </xf>
    <xf numFmtId="3" fontId="88" fillId="0" borderId="219" xfId="29" applyNumberFormat="1" applyFont="1" applyBorder="1" applyAlignment="1">
      <alignment horizontal="right" vertical="center"/>
    </xf>
    <xf numFmtId="3" fontId="88" fillId="0" borderId="282" xfId="29" applyNumberFormat="1" applyFont="1" applyBorder="1" applyAlignment="1">
      <alignment horizontal="right" vertical="center"/>
    </xf>
    <xf numFmtId="3" fontId="88" fillId="0" borderId="142" xfId="29" applyNumberFormat="1" applyFont="1" applyBorder="1" applyAlignment="1">
      <alignment horizontal="right" vertical="center"/>
    </xf>
    <xf numFmtId="3" fontId="87" fillId="0" borderId="185" xfId="42" applyNumberFormat="1" applyFont="1" applyBorder="1" applyAlignment="1">
      <alignment horizontal="right"/>
    </xf>
    <xf numFmtId="3" fontId="86" fillId="0" borderId="283" xfId="42" applyNumberFormat="1" applyFont="1" applyBorder="1" applyAlignment="1">
      <alignment horizontal="right"/>
    </xf>
    <xf numFmtId="3" fontId="86" fillId="0" borderId="214" xfId="42" applyNumberFormat="1" applyFont="1" applyBorder="1" applyAlignment="1">
      <alignment horizontal="right"/>
    </xf>
    <xf numFmtId="0" fontId="78" fillId="0" borderId="219" xfId="42" applyFont="1" applyBorder="1" applyAlignment="1">
      <alignment wrapText="1"/>
    </xf>
    <xf numFmtId="3" fontId="88" fillId="0" borderId="284" xfId="42" applyNumberFormat="1" applyFont="1" applyBorder="1" applyAlignment="1">
      <alignment horizontal="right"/>
    </xf>
    <xf numFmtId="3" fontId="88" fillId="0" borderId="285" xfId="42" applyNumberFormat="1" applyFont="1" applyBorder="1" applyAlignment="1">
      <alignment horizontal="right"/>
    </xf>
    <xf numFmtId="0" fontId="78" fillId="18" borderId="139" xfId="42" applyFont="1" applyFill="1" applyBorder="1" applyAlignment="1">
      <alignment horizontal="center" vertical="center" wrapText="1"/>
    </xf>
    <xf numFmtId="0" fontId="86" fillId="0" borderId="98" xfId="42" applyFont="1" applyBorder="1" applyAlignment="1">
      <alignment wrapText="1"/>
    </xf>
    <xf numFmtId="0" fontId="86" fillId="0" borderId="96" xfId="42" applyFont="1" applyBorder="1" applyAlignment="1">
      <alignment wrapText="1"/>
    </xf>
    <xf numFmtId="0" fontId="86" fillId="0" borderId="205" xfId="42" applyFont="1" applyBorder="1" applyAlignment="1">
      <alignment wrapText="1"/>
    </xf>
    <xf numFmtId="0" fontId="86" fillId="0" borderId="234" xfId="42" applyFont="1" applyBorder="1" applyAlignment="1">
      <alignment wrapText="1"/>
    </xf>
    <xf numFmtId="3" fontId="87" fillId="0" borderId="0" xfId="42" applyNumberFormat="1" applyFont="1" applyBorder="1" applyAlignment="1">
      <alignment horizontal="right"/>
    </xf>
    <xf numFmtId="0" fontId="86" fillId="0" borderId="219" xfId="42" applyFont="1" applyBorder="1" applyAlignment="1">
      <alignment wrapText="1"/>
    </xf>
    <xf numFmtId="3" fontId="86" fillId="0" borderId="203" xfId="42" applyNumberFormat="1" applyFont="1" applyBorder="1" applyAlignment="1">
      <alignment horizontal="right"/>
    </xf>
    <xf numFmtId="3" fontId="86" fillId="0" borderId="286" xfId="42" applyNumberFormat="1" applyFont="1" applyBorder="1" applyAlignment="1">
      <alignment horizontal="right"/>
    </xf>
    <xf numFmtId="3" fontId="87" fillId="0" borderId="220" xfId="42" applyNumberFormat="1" applyFont="1" applyBorder="1" applyAlignment="1">
      <alignment horizontal="right"/>
    </xf>
    <xf numFmtId="3" fontId="87" fillId="0" borderId="286" xfId="42" applyNumberFormat="1" applyFont="1" applyBorder="1" applyAlignment="1">
      <alignment horizontal="right"/>
    </xf>
    <xf numFmtId="3" fontId="88" fillId="0" borderId="287" xfId="42" applyNumberFormat="1" applyFont="1" applyBorder="1" applyAlignment="1">
      <alignment horizontal="right"/>
    </xf>
    <xf numFmtId="3" fontId="87" fillId="0" borderId="96" xfId="42" applyNumberFormat="1" applyFont="1" applyBorder="1" applyAlignment="1">
      <alignment horizontal="right"/>
    </xf>
    <xf numFmtId="3" fontId="87" fillId="0" borderId="166" xfId="42" applyNumberFormat="1" applyFont="1" applyBorder="1" applyAlignment="1">
      <alignment horizontal="right"/>
    </xf>
    <xf numFmtId="3" fontId="87" fillId="0" borderId="167" xfId="42" applyNumberFormat="1" applyFont="1" applyBorder="1" applyAlignment="1">
      <alignment horizontal="right"/>
    </xf>
    <xf numFmtId="3" fontId="87" fillId="0" borderId="288" xfId="42" applyNumberFormat="1" applyFont="1" applyBorder="1" applyAlignment="1">
      <alignment horizontal="right"/>
    </xf>
    <xf numFmtId="0" fontId="14" fillId="0" borderId="158" xfId="42" applyBorder="1"/>
    <xf numFmtId="0" fontId="14" fillId="0" borderId="159" xfId="42" applyBorder="1"/>
    <xf numFmtId="3" fontId="88" fillId="0" borderId="156" xfId="42" applyNumberFormat="1" applyFont="1" applyBorder="1" applyAlignment="1">
      <alignment horizontal="right"/>
    </xf>
    <xf numFmtId="3" fontId="87" fillId="0" borderId="277" xfId="42" applyNumberFormat="1" applyFont="1" applyBorder="1" applyAlignment="1">
      <alignment horizontal="right"/>
    </xf>
    <xf numFmtId="3" fontId="87" fillId="0" borderId="56" xfId="42" applyNumberFormat="1" applyFont="1" applyBorder="1" applyAlignment="1">
      <alignment horizontal="right"/>
    </xf>
    <xf numFmtId="3" fontId="87" fillId="0" borderId="85" xfId="42" applyNumberFormat="1" applyFont="1" applyBorder="1" applyAlignment="1">
      <alignment horizontal="right"/>
    </xf>
    <xf numFmtId="3" fontId="87" fillId="0" borderId="289" xfId="42" applyNumberFormat="1" applyFont="1" applyBorder="1" applyAlignment="1">
      <alignment horizontal="right"/>
    </xf>
    <xf numFmtId="3" fontId="87" fillId="0" borderId="290" xfId="42" applyNumberFormat="1" applyFont="1" applyBorder="1" applyAlignment="1">
      <alignment horizontal="right"/>
    </xf>
    <xf numFmtId="3" fontId="87" fillId="0" borderId="291" xfId="42" applyNumberFormat="1" applyFont="1" applyBorder="1" applyAlignment="1">
      <alignment horizontal="right"/>
    </xf>
    <xf numFmtId="3" fontId="87" fillId="0" borderId="100" xfId="42" applyNumberFormat="1" applyFont="1" applyBorder="1" applyAlignment="1">
      <alignment horizontal="right"/>
    </xf>
    <xf numFmtId="3" fontId="87" fillId="0" borderId="292" xfId="42" applyNumberFormat="1" applyFont="1" applyBorder="1" applyAlignment="1">
      <alignment horizontal="right"/>
    </xf>
    <xf numFmtId="3" fontId="87" fillId="0" borderId="293" xfId="42" applyNumberFormat="1" applyFont="1" applyBorder="1" applyAlignment="1">
      <alignment horizontal="right"/>
    </xf>
    <xf numFmtId="0" fontId="14" fillId="0" borderId="160" xfId="42" applyBorder="1"/>
    <xf numFmtId="3" fontId="87" fillId="0" borderId="294" xfId="42" applyNumberFormat="1" applyFont="1" applyBorder="1" applyAlignment="1">
      <alignment horizontal="right"/>
    </xf>
    <xf numFmtId="3" fontId="87" fillId="0" borderId="130" xfId="42" applyNumberFormat="1" applyFont="1" applyBorder="1" applyAlignment="1">
      <alignment horizontal="right"/>
    </xf>
    <xf numFmtId="3" fontId="87" fillId="0" borderId="295" xfId="42" applyNumberFormat="1" applyFont="1" applyBorder="1" applyAlignment="1">
      <alignment horizontal="right"/>
    </xf>
    <xf numFmtId="3" fontId="87" fillId="0" borderId="296" xfId="42" applyNumberFormat="1" applyFont="1" applyBorder="1" applyAlignment="1">
      <alignment horizontal="right"/>
    </xf>
    <xf numFmtId="3" fontId="87" fillId="0" borderId="297" xfId="42" applyNumberFormat="1" applyFont="1" applyBorder="1" applyAlignment="1">
      <alignment horizontal="right"/>
    </xf>
    <xf numFmtId="0" fontId="14" fillId="0" borderId="240" xfId="42" applyBorder="1"/>
    <xf numFmtId="3" fontId="88" fillId="0" borderId="118" xfId="42" applyNumberFormat="1" applyFont="1" applyBorder="1" applyAlignment="1">
      <alignment horizontal="right"/>
    </xf>
    <xf numFmtId="3" fontId="88" fillId="0" borderId="119" xfId="42" applyNumberFormat="1" applyFont="1" applyBorder="1" applyAlignment="1">
      <alignment horizontal="right"/>
    </xf>
    <xf numFmtId="0" fontId="14" fillId="0" borderId="298" xfId="42" applyBorder="1"/>
    <xf numFmtId="0" fontId="118" fillId="0" borderId="0" xfId="40" applyFont="1"/>
    <xf numFmtId="0" fontId="119" fillId="0" borderId="0" xfId="40" applyFont="1"/>
    <xf numFmtId="0" fontId="98" fillId="0" borderId="0" xfId="40"/>
    <xf numFmtId="0" fontId="121" fillId="0" borderId="157" xfId="40" applyFont="1" applyBorder="1" applyAlignment="1">
      <alignment horizontal="center" vertical="center" wrapText="1"/>
    </xf>
    <xf numFmtId="0" fontId="119" fillId="0" borderId="187" xfId="40" applyFont="1" applyBorder="1" applyAlignment="1">
      <alignment horizontal="left"/>
    </xf>
    <xf numFmtId="0" fontId="119" fillId="0" borderId="152" xfId="40" applyFont="1" applyBorder="1" applyAlignment="1">
      <alignment horizontal="left"/>
    </xf>
    <xf numFmtId="0" fontId="119" fillId="0" borderId="154" xfId="40" applyFont="1" applyBorder="1" applyAlignment="1">
      <alignment horizontal="left"/>
    </xf>
    <xf numFmtId="0" fontId="121" fillId="0" borderId="157" xfId="40" applyFont="1" applyBorder="1" applyAlignment="1">
      <alignment horizontal="left"/>
    </xf>
    <xf numFmtId="0" fontId="122" fillId="0" borderId="157" xfId="40" applyFont="1" applyBorder="1" applyAlignment="1">
      <alignment horizontal="left"/>
    </xf>
    <xf numFmtId="0" fontId="122" fillId="0" borderId="114" xfId="40" applyFont="1" applyBorder="1" applyAlignment="1">
      <alignment horizontal="left"/>
    </xf>
    <xf numFmtId="0" fontId="123" fillId="0" borderId="0" xfId="40" applyFont="1"/>
    <xf numFmtId="0" fontId="75" fillId="0" borderId="0" xfId="48"/>
    <xf numFmtId="0" fontId="124" fillId="0" borderId="0" xfId="48" applyFont="1"/>
    <xf numFmtId="0" fontId="123" fillId="0" borderId="0" xfId="48" applyFont="1" applyAlignment="1">
      <alignment horizontal="center"/>
    </xf>
    <xf numFmtId="0" fontId="125" fillId="0" borderId="0" xfId="48" applyFont="1"/>
    <xf numFmtId="0" fontId="128" fillId="0" borderId="196" xfId="48" applyFont="1" applyBorder="1" applyAlignment="1">
      <alignment horizontal="center" vertical="center" wrapText="1"/>
    </xf>
    <xf numFmtId="0" fontId="128" fillId="0" borderId="218" xfId="48" applyFont="1" applyBorder="1" applyAlignment="1">
      <alignment horizontal="center" vertical="center" wrapText="1"/>
    </xf>
    <xf numFmtId="0" fontId="75" fillId="0" borderId="0" xfId="48" applyAlignment="1">
      <alignment horizontal="center" vertical="center"/>
    </xf>
    <xf numFmtId="0" fontId="122" fillId="0" borderId="151" xfId="48" applyFont="1" applyBorder="1" applyAlignment="1">
      <alignment vertical="center" wrapText="1"/>
    </xf>
    <xf numFmtId="176" fontId="123" fillId="0" borderId="153" xfId="47" applyNumberFormat="1" applyFont="1" applyBorder="1" applyAlignment="1">
      <alignment horizontal="center" vertical="center"/>
    </xf>
    <xf numFmtId="177" fontId="122" fillId="0" borderId="153" xfId="48" applyNumberFormat="1" applyFont="1" applyBorder="1" applyAlignment="1" applyProtection="1">
      <alignment horizontal="right" vertical="center" wrapText="1"/>
      <protection locked="0"/>
    </xf>
    <xf numFmtId="0" fontId="75" fillId="0" borderId="0" xfId="48" applyAlignment="1">
      <alignment vertical="center"/>
    </xf>
    <xf numFmtId="0" fontId="122" fillId="0" borderId="152" xfId="48" applyFont="1" applyBorder="1" applyAlignment="1">
      <alignment vertical="center" wrapText="1"/>
    </xf>
    <xf numFmtId="176" fontId="123" fillId="0" borderId="89" xfId="47" applyNumberFormat="1" applyFont="1" applyBorder="1" applyAlignment="1">
      <alignment horizontal="center" vertical="center"/>
    </xf>
    <xf numFmtId="177" fontId="122" fillId="0" borderId="89" xfId="48" applyNumberFormat="1" applyFont="1" applyBorder="1" applyAlignment="1">
      <alignment horizontal="right" vertical="center" wrapText="1"/>
    </xf>
    <xf numFmtId="177" fontId="123" fillId="0" borderId="89" xfId="48" applyNumberFormat="1" applyFont="1" applyBorder="1" applyAlignment="1">
      <alignment horizontal="right" vertical="center" wrapText="1"/>
    </xf>
    <xf numFmtId="0" fontId="126" fillId="0" borderId="152" xfId="48" applyFont="1" applyBorder="1" applyAlignment="1">
      <alignment horizontal="left" vertical="center" wrapText="1" indent="1"/>
    </xf>
    <xf numFmtId="177" fontId="123" fillId="0" borderId="89" xfId="48" applyNumberFormat="1" applyFont="1" applyBorder="1" applyAlignment="1" applyProtection="1">
      <alignment horizontal="right" vertical="center" wrapText="1"/>
      <protection locked="0"/>
    </xf>
    <xf numFmtId="176" fontId="122" fillId="0" borderId="89" xfId="47" applyNumberFormat="1" applyFont="1" applyBorder="1" applyAlignment="1">
      <alignment horizontal="center" vertical="center"/>
    </xf>
    <xf numFmtId="0" fontId="104" fillId="0" borderId="0" xfId="48" applyFont="1" applyAlignment="1">
      <alignment vertical="center"/>
    </xf>
    <xf numFmtId="0" fontId="122" fillId="0" borderId="196" xfId="48" applyFont="1" applyBorder="1" applyAlignment="1">
      <alignment vertical="center" wrapText="1"/>
    </xf>
    <xf numFmtId="176" fontId="123" fillId="0" borderId="218" xfId="47" applyNumberFormat="1" applyFont="1" applyBorder="1" applyAlignment="1">
      <alignment horizontal="center" vertical="center"/>
    </xf>
    <xf numFmtId="177" fontId="122" fillId="0" borderId="218" xfId="48" applyNumberFormat="1" applyFont="1" applyBorder="1" applyAlignment="1">
      <alignment horizontal="right" vertical="center" wrapText="1"/>
    </xf>
    <xf numFmtId="0" fontId="112" fillId="0" borderId="0" xfId="48" applyFont="1"/>
    <xf numFmtId="3" fontId="75" fillId="0" borderId="0" xfId="48" applyNumberFormat="1"/>
    <xf numFmtId="0" fontId="127" fillId="0" borderId="0" xfId="47" applyAlignment="1">
      <alignment vertical="center" wrapText="1"/>
    </xf>
    <xf numFmtId="0" fontId="127" fillId="0" borderId="0" xfId="47" applyAlignment="1">
      <alignment vertical="center"/>
    </xf>
    <xf numFmtId="0" fontId="123" fillId="0" borderId="0" xfId="47" applyFont="1" applyAlignment="1">
      <alignment vertical="center" wrapText="1"/>
    </xf>
    <xf numFmtId="0" fontId="123" fillId="0" borderId="0" xfId="47" applyFont="1" applyAlignment="1">
      <alignment horizontal="center" vertical="center"/>
    </xf>
    <xf numFmtId="0" fontId="123" fillId="0" borderId="0" xfId="47" applyFont="1" applyAlignment="1">
      <alignment vertical="center"/>
    </xf>
    <xf numFmtId="0" fontId="127" fillId="0" borderId="0" xfId="47" applyAlignment="1">
      <alignment horizontal="center" vertical="center"/>
    </xf>
    <xf numFmtId="49" fontId="122" fillId="0" borderId="196" xfId="47" applyNumberFormat="1" applyFont="1" applyBorder="1" applyAlignment="1">
      <alignment horizontal="center" vertical="center" wrapText="1"/>
    </xf>
    <xf numFmtId="49" fontId="122" fillId="0" borderId="218" xfId="47" applyNumberFormat="1" applyFont="1" applyBorder="1" applyAlignment="1">
      <alignment horizontal="center" vertical="center"/>
    </xf>
    <xf numFmtId="49" fontId="122" fillId="0" borderId="240" xfId="47" applyNumberFormat="1" applyFont="1" applyBorder="1" applyAlignment="1">
      <alignment horizontal="center" vertical="center"/>
    </xf>
    <xf numFmtId="49" fontId="60" fillId="0" borderId="0" xfId="47" applyNumberFormat="1" applyFont="1" applyAlignment="1">
      <alignment horizontal="center" vertical="center"/>
    </xf>
    <xf numFmtId="176" fontId="123" fillId="0" borderId="217" xfId="47" applyNumberFormat="1" applyFont="1" applyBorder="1" applyAlignment="1">
      <alignment horizontal="center" vertical="center"/>
    </xf>
    <xf numFmtId="178" fontId="123" fillId="0" borderId="251" xfId="47" applyNumberFormat="1" applyFont="1" applyBorder="1" applyAlignment="1" applyProtection="1">
      <alignment vertical="center"/>
      <protection locked="0"/>
    </xf>
    <xf numFmtId="178" fontId="123" fillId="0" borderId="159" xfId="47" applyNumberFormat="1" applyFont="1" applyBorder="1" applyAlignment="1" applyProtection="1">
      <alignment vertical="center"/>
      <protection locked="0"/>
    </xf>
    <xf numFmtId="178" fontId="122" fillId="0" borderId="159" xfId="47" applyNumberFormat="1" applyFont="1" applyBorder="1" applyAlignment="1">
      <alignment vertical="center"/>
    </xf>
    <xf numFmtId="178" fontId="122" fillId="0" borderId="159" xfId="47" applyNumberFormat="1" applyFont="1" applyBorder="1" applyAlignment="1" applyProtection="1">
      <alignment vertical="center"/>
      <protection locked="0"/>
    </xf>
    <xf numFmtId="0" fontId="60" fillId="0" borderId="0" xfId="47" applyFont="1" applyAlignment="1">
      <alignment vertical="center"/>
    </xf>
    <xf numFmtId="0" fontId="122" fillId="0" borderId="196" xfId="47" applyFont="1" applyBorder="1" applyAlignment="1">
      <alignment horizontal="left" vertical="center" wrapText="1"/>
    </xf>
    <xf numFmtId="178" fontId="122" fillId="0" borderId="240" xfId="47" applyNumberFormat="1" applyFont="1" applyBorder="1" applyAlignment="1">
      <alignment vertical="center"/>
    </xf>
    <xf numFmtId="0" fontId="123" fillId="0" borderId="0" xfId="48" applyFont="1"/>
    <xf numFmtId="3" fontId="123" fillId="0" borderId="0" xfId="48" applyNumberFormat="1" applyFont="1"/>
    <xf numFmtId="0" fontId="129" fillId="0" borderId="0" xfId="47" applyFont="1" applyAlignment="1">
      <alignment horizontal="center" vertical="center"/>
    </xf>
    <xf numFmtId="0" fontId="119" fillId="0" borderId="157" xfId="40" applyFont="1" applyBorder="1" applyAlignment="1">
      <alignment horizontal="left"/>
    </xf>
    <xf numFmtId="0" fontId="119" fillId="0" borderId="151" xfId="40" applyFont="1" applyBorder="1" applyAlignment="1">
      <alignment horizontal="left"/>
    </xf>
    <xf numFmtId="0" fontId="119" fillId="0" borderId="258" xfId="40" applyFont="1" applyBorder="1" applyAlignment="1">
      <alignment horizontal="left"/>
    </xf>
    <xf numFmtId="0" fontId="130" fillId="0" borderId="157" xfId="40" applyFont="1" applyBorder="1" applyAlignment="1">
      <alignment horizontal="left"/>
    </xf>
    <xf numFmtId="0" fontId="130" fillId="0" borderId="0" xfId="40" applyFont="1"/>
    <xf numFmtId="3" fontId="131" fillId="0" borderId="89" xfId="0" applyNumberFormat="1" applyFont="1" applyBorder="1" applyAlignment="1">
      <alignment horizontal="right" vertical="top" wrapText="1"/>
    </xf>
    <xf numFmtId="3" fontId="75" fillId="0" borderId="82" xfId="44" applyNumberFormat="1" applyFont="1" applyBorder="1" applyAlignment="1"/>
    <xf numFmtId="3" fontId="75" fillId="0" borderId="119" xfId="44" applyNumberFormat="1" applyFont="1" applyBorder="1" applyAlignment="1"/>
    <xf numFmtId="3" fontId="74" fillId="0" borderId="52" xfId="44" applyNumberFormat="1" applyFont="1" applyBorder="1" applyAlignment="1">
      <alignment horizontal="right" wrapText="1"/>
    </xf>
    <xf numFmtId="3" fontId="74" fillId="0" borderId="125" xfId="44" applyNumberFormat="1" applyFont="1" applyBorder="1" applyAlignment="1">
      <alignment horizontal="right" wrapText="1"/>
    </xf>
    <xf numFmtId="3" fontId="74" fillId="0" borderId="299" xfId="44" applyNumberFormat="1" applyFont="1" applyBorder="1" applyAlignment="1">
      <alignment horizontal="right" vertical="center" wrapText="1"/>
    </xf>
    <xf numFmtId="3" fontId="74" fillId="0" borderId="107" xfId="44" applyNumberFormat="1" applyFont="1" applyBorder="1" applyAlignment="1">
      <alignment horizontal="right"/>
    </xf>
    <xf numFmtId="3" fontId="74" fillId="0" borderId="11" xfId="44" applyNumberFormat="1" applyFont="1" applyBorder="1" applyAlignment="1"/>
    <xf numFmtId="3" fontId="74" fillId="0" borderId="107" xfId="44" applyNumberFormat="1" applyFont="1" applyBorder="1" applyAlignment="1"/>
    <xf numFmtId="3" fontId="75" fillId="0" borderId="72" xfId="44" applyNumberFormat="1" applyFont="1" applyBorder="1" applyAlignment="1"/>
    <xf numFmtId="3" fontId="75" fillId="0" borderId="12" xfId="44" applyNumberFormat="1" applyFont="1" applyBorder="1" applyAlignment="1"/>
    <xf numFmtId="3" fontId="74" fillId="0" borderId="10" xfId="44" applyNumberFormat="1" applyFont="1" applyBorder="1" applyAlignment="1">
      <alignment horizontal="right"/>
    </xf>
    <xf numFmtId="3" fontId="75" fillId="0" borderId="125" xfId="44" applyNumberFormat="1" applyFont="1" applyBorder="1" applyAlignment="1"/>
    <xf numFmtId="3" fontId="75" fillId="0" borderId="30" xfId="44" applyNumberFormat="1" applyFont="1" applyBorder="1" applyAlignment="1">
      <alignment horizontal="right"/>
    </xf>
    <xf numFmtId="3" fontId="75" fillId="0" borderId="30" xfId="44" applyNumberFormat="1" applyFont="1" applyBorder="1" applyAlignment="1"/>
    <xf numFmtId="3" fontId="86" fillId="0" borderId="219" xfId="42" applyNumberFormat="1" applyFont="1" applyBorder="1" applyAlignment="1">
      <alignment horizontal="right"/>
    </xf>
    <xf numFmtId="3" fontId="86" fillId="0" borderId="282" xfId="42" applyNumberFormat="1" applyFont="1" applyBorder="1" applyAlignment="1">
      <alignment horizontal="right"/>
    </xf>
    <xf numFmtId="3" fontId="86" fillId="0" borderId="185" xfId="42" applyNumberFormat="1" applyFont="1" applyBorder="1" applyAlignment="1">
      <alignment horizontal="right"/>
    </xf>
    <xf numFmtId="3" fontId="86" fillId="0" borderId="300" xfId="42" applyNumberFormat="1" applyFont="1" applyBorder="1" applyAlignment="1">
      <alignment horizontal="right"/>
    </xf>
    <xf numFmtId="3" fontId="86" fillId="0" borderId="234" xfId="42" applyNumberFormat="1" applyFont="1" applyBorder="1" applyAlignment="1">
      <alignment horizontal="right"/>
    </xf>
    <xf numFmtId="3" fontId="86" fillId="0" borderId="132" xfId="42" applyNumberFormat="1" applyFont="1" applyBorder="1" applyAlignment="1">
      <alignment horizontal="right"/>
    </xf>
    <xf numFmtId="3" fontId="87" fillId="0" borderId="301" xfId="42" applyNumberFormat="1" applyFont="1" applyBorder="1" applyAlignment="1">
      <alignment horizontal="right"/>
    </xf>
    <xf numFmtId="3" fontId="86" fillId="0" borderId="208" xfId="42" applyNumberFormat="1" applyFont="1" applyBorder="1" applyAlignment="1">
      <alignment horizontal="right"/>
    </xf>
    <xf numFmtId="3" fontId="86" fillId="0" borderId="302" xfId="42" applyNumberFormat="1" applyFont="1" applyBorder="1" applyAlignment="1">
      <alignment horizontal="right"/>
    </xf>
    <xf numFmtId="3" fontId="86" fillId="0" borderId="303" xfId="42" applyNumberFormat="1" applyFont="1" applyBorder="1" applyAlignment="1">
      <alignment horizontal="right"/>
    </xf>
    <xf numFmtId="3" fontId="86" fillId="0" borderId="304" xfId="42" applyNumberFormat="1" applyFont="1" applyBorder="1" applyAlignment="1">
      <alignment horizontal="right"/>
    </xf>
    <xf numFmtId="0" fontId="86" fillId="0" borderId="213" xfId="42" applyFont="1" applyBorder="1"/>
    <xf numFmtId="3" fontId="87" fillId="0" borderId="283" xfId="42" applyNumberFormat="1" applyFont="1" applyBorder="1" applyAlignment="1">
      <alignment horizontal="right"/>
    </xf>
    <xf numFmtId="3" fontId="87" fillId="0" borderId="214" xfId="42" applyNumberFormat="1" applyFont="1" applyBorder="1" applyAlignment="1">
      <alignment horizontal="right"/>
    </xf>
    <xf numFmtId="3" fontId="87" fillId="0" borderId="247" xfId="42" applyNumberFormat="1" applyFont="1" applyBorder="1" applyAlignment="1">
      <alignment horizontal="right"/>
    </xf>
    <xf numFmtId="3" fontId="87" fillId="0" borderId="300" xfId="42" applyNumberFormat="1" applyFont="1" applyBorder="1" applyAlignment="1">
      <alignment horizontal="right"/>
    </xf>
    <xf numFmtId="3" fontId="88" fillId="0" borderId="116" xfId="29" applyNumberFormat="1" applyFont="1" applyFill="1" applyBorder="1" applyAlignment="1">
      <alignment horizontal="right" vertical="center"/>
    </xf>
    <xf numFmtId="3" fontId="86" fillId="0" borderId="28" xfId="42" applyNumberFormat="1" applyFont="1" applyBorder="1" applyAlignment="1">
      <alignment vertical="center"/>
    </xf>
    <xf numFmtId="3" fontId="86" fillId="0" borderId="145" xfId="42" applyNumberFormat="1" applyFont="1" applyBorder="1" applyAlignment="1">
      <alignment vertical="center"/>
    </xf>
    <xf numFmtId="3" fontId="86" fillId="0" borderId="214" xfId="42" applyNumberFormat="1" applyFont="1" applyBorder="1" applyAlignment="1">
      <alignment vertical="center"/>
    </xf>
    <xf numFmtId="3" fontId="86" fillId="0" borderId="0" xfId="42" applyNumberFormat="1" applyFont="1" applyBorder="1" applyAlignment="1">
      <alignment vertical="center"/>
    </xf>
    <xf numFmtId="49" fontId="26" fillId="0" borderId="10" xfId="0" applyNumberFormat="1" applyFont="1" applyBorder="1" applyAlignment="1">
      <alignment horizontal="left" vertical="center"/>
    </xf>
    <xf numFmtId="49" fontId="27" fillId="0" borderId="10" xfId="0" applyNumberFormat="1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left" vertical="center" wrapText="1"/>
    </xf>
    <xf numFmtId="0" fontId="26" fillId="0" borderId="36" xfId="0" applyFont="1" applyBorder="1" applyAlignment="1">
      <alignment horizontal="left" vertical="center" wrapText="1"/>
    </xf>
    <xf numFmtId="49" fontId="28" fillId="0" borderId="11" xfId="0" applyNumberFormat="1" applyFont="1" applyBorder="1" applyAlignment="1">
      <alignment horizontal="center" vertical="center"/>
    </xf>
    <xf numFmtId="0" fontId="26" fillId="0" borderId="24" xfId="0" applyFont="1" applyBorder="1" applyAlignment="1">
      <alignment horizontal="left" vertical="center" wrapText="1"/>
    </xf>
    <xf numFmtId="0" fontId="26" fillId="0" borderId="41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vertical="center"/>
    </xf>
    <xf numFmtId="0" fontId="0" fillId="0" borderId="306" xfId="0" applyBorder="1" applyAlignment="1">
      <alignment horizontal="left" vertical="center"/>
    </xf>
    <xf numFmtId="0" fontId="26" fillId="0" borderId="306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0" fillId="0" borderId="305" xfId="0" applyBorder="1" applyAlignment="1">
      <alignment horizontal="left" vertical="center" wrapText="1"/>
    </xf>
    <xf numFmtId="0" fontId="26" fillId="0" borderId="18" xfId="0" applyFont="1" applyBorder="1" applyAlignment="1">
      <alignment horizontal="left" wrapText="1"/>
    </xf>
    <xf numFmtId="0" fontId="115" fillId="0" borderId="10" xfId="0" applyFont="1" applyBorder="1" applyAlignment="1">
      <alignment horizontal="center" vertical="center" wrapText="1"/>
    </xf>
    <xf numFmtId="0" fontId="115" fillId="0" borderId="11" xfId="0" applyFont="1" applyBorder="1" applyAlignment="1">
      <alignment horizontal="center" vertical="center" wrapText="1"/>
    </xf>
    <xf numFmtId="0" fontId="105" fillId="0" borderId="72" xfId="0" applyFont="1" applyBorder="1" applyAlignment="1">
      <alignment horizontal="center" vertical="center" wrapText="1"/>
    </xf>
    <xf numFmtId="0" fontId="26" fillId="0" borderId="24" xfId="0" applyFont="1" applyBorder="1" applyAlignment="1">
      <alignment wrapText="1"/>
    </xf>
    <xf numFmtId="0" fontId="26" fillId="0" borderId="32" xfId="0" applyFont="1" applyBorder="1" applyAlignment="1">
      <alignment horizontal="left" wrapText="1"/>
    </xf>
    <xf numFmtId="0" fontId="26" fillId="0" borderId="18" xfId="0" applyFont="1" applyBorder="1" applyAlignment="1">
      <alignment horizontal="left" vertical="center" wrapText="1"/>
    </xf>
    <xf numFmtId="0" fontId="26" fillId="0" borderId="24" xfId="0" applyFont="1" applyBorder="1" applyAlignment="1">
      <alignment horizontal="left" wrapText="1"/>
    </xf>
    <xf numFmtId="49" fontId="23" fillId="0" borderId="0" xfId="0" applyNumberFormat="1" applyFont="1" applyAlignment="1">
      <alignment horizontal="center" vertical="center"/>
    </xf>
    <xf numFmtId="49" fontId="115" fillId="0" borderId="10" xfId="0" applyNumberFormat="1" applyFont="1" applyBorder="1" applyAlignment="1">
      <alignment horizontal="center" vertical="center" wrapText="1"/>
    </xf>
    <xf numFmtId="0" fontId="115" fillId="0" borderId="12" xfId="0" applyFont="1" applyBorder="1" applyAlignment="1">
      <alignment horizontal="center" vertical="center" wrapText="1"/>
    </xf>
    <xf numFmtId="0" fontId="40" fillId="0" borderId="0" xfId="45" applyFont="1" applyAlignment="1">
      <alignment horizontal="left"/>
    </xf>
    <xf numFmtId="0" fontId="41" fillId="0" borderId="0" xfId="45" applyFont="1" applyAlignment="1">
      <alignment horizontal="left"/>
    </xf>
    <xf numFmtId="0" fontId="31" fillId="0" borderId="0" xfId="45" applyFont="1" applyAlignment="1">
      <alignment horizontal="center" wrapText="1"/>
    </xf>
    <xf numFmtId="0" fontId="40" fillId="0" borderId="21" xfId="45" applyFont="1" applyBorder="1" applyAlignment="1">
      <alignment horizontal="left" vertical="center" wrapText="1"/>
    </xf>
    <xf numFmtId="0" fontId="40" fillId="0" borderId="27" xfId="45" applyFont="1" applyBorder="1" applyAlignment="1">
      <alignment horizontal="left" vertical="center" wrapText="1"/>
    </xf>
    <xf numFmtId="0" fontId="40" fillId="0" borderId="34" xfId="45" applyFont="1" applyBorder="1" applyAlignment="1">
      <alignment horizontal="left" vertical="center" wrapText="1"/>
    </xf>
    <xf numFmtId="0" fontId="39" fillId="0" borderId="0" xfId="45" applyFont="1" applyAlignment="1">
      <alignment horizontal="left"/>
    </xf>
    <xf numFmtId="0" fontId="37" fillId="0" borderId="21" xfId="45" applyFont="1" applyBorder="1" applyAlignment="1">
      <alignment horizontal="left" vertical="center"/>
    </xf>
    <xf numFmtId="49" fontId="26" fillId="0" borderId="110" xfId="0" applyNumberFormat="1" applyFont="1" applyBorder="1" applyAlignment="1">
      <alignment horizontal="left" vertical="center" wrapText="1"/>
    </xf>
    <xf numFmtId="0" fontId="40" fillId="0" borderId="41" xfId="45" applyFont="1" applyBorder="1" applyAlignment="1">
      <alignment horizontal="left"/>
    </xf>
    <xf numFmtId="166" fontId="39" fillId="0" borderId="0" xfId="45" applyNumberFormat="1" applyFont="1" applyAlignment="1">
      <alignment horizontal="left" vertical="center"/>
    </xf>
    <xf numFmtId="0" fontId="40" fillId="0" borderId="58" xfId="45" applyFont="1" applyBorder="1" applyAlignment="1">
      <alignment horizontal="left" vertical="center" wrapText="1"/>
    </xf>
    <xf numFmtId="49" fontId="26" fillId="0" borderId="53" xfId="0" applyNumberFormat="1" applyFont="1" applyBorder="1" applyAlignment="1">
      <alignment horizontal="left" vertical="center"/>
    </xf>
    <xf numFmtId="0" fontId="0" fillId="0" borderId="307" xfId="0" applyBorder="1" applyAlignment="1">
      <alignment horizontal="left" vertical="center"/>
    </xf>
    <xf numFmtId="49" fontId="27" fillId="0" borderId="11" xfId="0" applyNumberFormat="1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166" fontId="39" fillId="0" borderId="53" xfId="45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center" vertical="center"/>
    </xf>
    <xf numFmtId="49" fontId="26" fillId="0" borderId="49" xfId="0" applyNumberFormat="1" applyFont="1" applyBorder="1" applyAlignment="1">
      <alignment horizontal="left" vertical="center"/>
    </xf>
    <xf numFmtId="0" fontId="31" fillId="0" borderId="0" xfId="45" applyFont="1" applyAlignment="1">
      <alignment horizontal="center"/>
    </xf>
    <xf numFmtId="0" fontId="37" fillId="0" borderId="14" xfId="45" applyFont="1" applyBorder="1" applyAlignment="1">
      <alignment horizontal="left" vertical="center" wrapText="1"/>
    </xf>
    <xf numFmtId="49" fontId="26" fillId="0" borderId="36" xfId="0" applyNumberFormat="1" applyFont="1" applyBorder="1" applyAlignment="1">
      <alignment horizontal="left" vertical="center"/>
    </xf>
    <xf numFmtId="49" fontId="27" fillId="0" borderId="11" xfId="0" applyNumberFormat="1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49" fontId="26" fillId="0" borderId="24" xfId="0" applyNumberFormat="1" applyFont="1" applyBorder="1" applyAlignment="1">
      <alignment horizontal="left" vertical="center"/>
    </xf>
    <xf numFmtId="49" fontId="27" fillId="0" borderId="0" xfId="0" applyNumberFormat="1" applyFont="1" applyAlignment="1">
      <alignment horizontal="center"/>
    </xf>
    <xf numFmtId="166" fontId="29" fillId="0" borderId="0" xfId="45" applyNumberFormat="1" applyFont="1" applyAlignment="1">
      <alignment horizontal="left" vertical="center"/>
    </xf>
    <xf numFmtId="166" fontId="31" fillId="0" borderId="0" xfId="45" applyNumberFormat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43" fillId="0" borderId="0" xfId="42" applyFont="1" applyAlignment="1">
      <alignment horizontal="center" vertical="center"/>
    </xf>
    <xf numFmtId="0" fontId="44" fillId="0" borderId="53" xfId="42" applyFont="1" applyBorder="1" applyAlignment="1">
      <alignment vertical="center"/>
    </xf>
    <xf numFmtId="0" fontId="44" fillId="0" borderId="0" xfId="42" applyFont="1" applyAlignment="1">
      <alignment vertical="center"/>
    </xf>
    <xf numFmtId="0" fontId="44" fillId="0" borderId="0" xfId="42" applyFont="1" applyBorder="1" applyAlignment="1">
      <alignment vertical="center"/>
    </xf>
    <xf numFmtId="0" fontId="44" fillId="0" borderId="53" xfId="42" applyFont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0" xfId="42" applyAlignment="1">
      <alignment horizontal="right"/>
    </xf>
    <xf numFmtId="0" fontId="0" fillId="0" borderId="0" xfId="0" applyAlignment="1">
      <alignment horizontal="right"/>
    </xf>
    <xf numFmtId="49" fontId="26" fillId="0" borderId="24" xfId="0" applyNumberFormat="1" applyFont="1" applyBorder="1" applyAlignment="1">
      <alignment horizontal="left" vertical="center" wrapText="1"/>
    </xf>
    <xf numFmtId="0" fontId="0" fillId="0" borderId="306" xfId="0" applyBorder="1" applyAlignment="1">
      <alignment horizontal="left" vertical="center" wrapText="1"/>
    </xf>
    <xf numFmtId="0" fontId="26" fillId="0" borderId="305" xfId="0" applyFont="1" applyBorder="1" applyAlignment="1">
      <alignment horizontal="left" vertical="center" wrapText="1"/>
    </xf>
    <xf numFmtId="0" fontId="26" fillId="0" borderId="311" xfId="0" applyFont="1" applyBorder="1" applyAlignment="1">
      <alignment horizontal="left" wrapText="1"/>
    </xf>
    <xf numFmtId="0" fontId="26" fillId="0" borderId="306" xfId="0" applyFont="1" applyBorder="1" applyAlignment="1">
      <alignment wrapText="1"/>
    </xf>
    <xf numFmtId="0" fontId="26" fillId="0" borderId="305" xfId="0" applyFont="1" applyBorder="1" applyAlignment="1">
      <alignment horizontal="left" wrapText="1"/>
    </xf>
    <xf numFmtId="49" fontId="26" fillId="0" borderId="10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308" xfId="0" applyFont="1" applyBorder="1" applyAlignment="1">
      <alignment horizontal="center" vertical="center" wrapText="1"/>
    </xf>
    <xf numFmtId="0" fontId="26" fillId="0" borderId="309" xfId="0" applyFont="1" applyBorder="1" applyAlignment="1">
      <alignment horizontal="center" vertical="center" wrapText="1"/>
    </xf>
    <xf numFmtId="0" fontId="26" fillId="0" borderId="310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center"/>
    </xf>
    <xf numFmtId="49" fontId="26" fillId="0" borderId="110" xfId="0" applyNumberFormat="1" applyFont="1" applyBorder="1" applyAlignment="1">
      <alignment horizontal="left" vertical="center"/>
    </xf>
    <xf numFmtId="49" fontId="26" fillId="0" borderId="312" xfId="0" applyNumberFormat="1" applyFont="1" applyBorder="1" applyAlignment="1">
      <alignment horizontal="left" vertical="center"/>
    </xf>
    <xf numFmtId="3" fontId="30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54" fillId="0" borderId="114" xfId="0" applyFont="1" applyBorder="1" applyAlignment="1">
      <alignment horizontal="center" vertical="center" wrapText="1"/>
    </xf>
    <xf numFmtId="0" fontId="0" fillId="0" borderId="115" xfId="0" applyBorder="1" applyAlignment="1">
      <alignment vertical="center"/>
    </xf>
    <xf numFmtId="0" fontId="0" fillId="0" borderId="144" xfId="0" applyBorder="1" applyAlignment="1">
      <alignment vertical="center"/>
    </xf>
    <xf numFmtId="166" fontId="36" fillId="0" borderId="114" xfId="0" applyNumberFormat="1" applyFont="1" applyBorder="1" applyAlignment="1">
      <alignment horizontal="right" vertical="center" wrapText="1"/>
    </xf>
    <xf numFmtId="0" fontId="0" fillId="0" borderId="115" xfId="0" applyBorder="1" applyAlignment="1">
      <alignment vertical="center" wrapText="1"/>
    </xf>
    <xf numFmtId="0" fontId="0" fillId="0" borderId="144" xfId="0" applyBorder="1" applyAlignment="1">
      <alignment vertical="center" wrapText="1"/>
    </xf>
    <xf numFmtId="166" fontId="36" fillId="0" borderId="114" xfId="0" applyNumberFormat="1" applyFont="1" applyBorder="1" applyAlignment="1">
      <alignment horizontal="right" vertical="center" wrapText="1" indent="1"/>
    </xf>
    <xf numFmtId="0" fontId="0" fillId="0" borderId="115" xfId="0" applyBorder="1" applyAlignment="1">
      <alignment horizontal="right" vertical="center" wrapText="1" indent="1"/>
    </xf>
    <xf numFmtId="0" fontId="0" fillId="0" borderId="144" xfId="0" applyBorder="1" applyAlignment="1">
      <alignment horizontal="right" vertical="center" wrapText="1" indent="1"/>
    </xf>
    <xf numFmtId="166" fontId="51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53" fillId="0" borderId="0" xfId="0" applyFont="1" applyAlignment="1" applyProtection="1">
      <alignment horizontal="center" vertical="center"/>
      <protection locked="0"/>
    </xf>
    <xf numFmtId="0" fontId="54" fillId="0" borderId="12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 wrapText="1"/>
    </xf>
    <xf numFmtId="0" fontId="54" fillId="0" borderId="114" xfId="0" applyFont="1" applyBorder="1" applyAlignment="1">
      <alignment horizontal="center" vertical="center"/>
    </xf>
    <xf numFmtId="0" fontId="0" fillId="0" borderId="115" xfId="0" applyBorder="1" applyAlignment="1">
      <alignment horizontal="center" vertical="center"/>
    </xf>
    <xf numFmtId="0" fontId="0" fillId="0" borderId="144" xfId="0" applyBorder="1" applyAlignment="1">
      <alignment horizontal="center" vertical="center"/>
    </xf>
    <xf numFmtId="166" fontId="16" fillId="0" borderId="0" xfId="0" applyNumberFormat="1" applyFont="1" applyAlignment="1">
      <alignment horizontal="right" wrapText="1"/>
    </xf>
    <xf numFmtId="0" fontId="0" fillId="0" borderId="0" xfId="0" applyAlignment="1">
      <alignment horizontal="right" wrapText="1"/>
    </xf>
    <xf numFmtId="0" fontId="54" fillId="0" borderId="308" xfId="0" applyFont="1" applyBorder="1" applyAlignment="1">
      <alignment horizontal="center" vertical="center"/>
    </xf>
    <xf numFmtId="0" fontId="54" fillId="0" borderId="309" xfId="0" applyFont="1" applyBorder="1" applyAlignment="1">
      <alignment horizontal="center" vertical="center"/>
    </xf>
    <xf numFmtId="0" fontId="54" fillId="0" borderId="313" xfId="0" applyFont="1" applyBorder="1" applyAlignment="1">
      <alignment horizontal="center" vertical="center"/>
    </xf>
    <xf numFmtId="0" fontId="66" fillId="0" borderId="88" xfId="43" applyFont="1" applyBorder="1" applyAlignment="1">
      <alignment horizontal="center" vertical="center"/>
    </xf>
    <xf numFmtId="0" fontId="66" fillId="0" borderId="50" xfId="43" applyFont="1" applyBorder="1" applyAlignment="1">
      <alignment horizontal="center" vertical="center"/>
    </xf>
    <xf numFmtId="0" fontId="0" fillId="0" borderId="314" xfId="0" applyBorder="1" applyAlignment="1">
      <alignment horizontal="center" vertical="center"/>
    </xf>
    <xf numFmtId="0" fontId="63" fillId="0" borderId="0" xfId="43" applyFont="1" applyAlignment="1">
      <alignment horizontal="right" vertical="center"/>
    </xf>
    <xf numFmtId="0" fontId="69" fillId="0" borderId="0" xfId="43" applyFont="1" applyAlignment="1">
      <alignment horizontal="center" vertical="center"/>
    </xf>
    <xf numFmtId="167" fontId="64" fillId="0" borderId="0" xfId="43" applyNumberFormat="1" applyFont="1" applyAlignment="1">
      <alignment horizontal="center" vertical="center" wrapText="1"/>
    </xf>
    <xf numFmtId="0" fontId="65" fillId="0" borderId="0" xfId="43" applyFont="1" applyAlignment="1">
      <alignment horizontal="center" vertical="center"/>
    </xf>
    <xf numFmtId="0" fontId="66" fillId="0" borderId="13" xfId="43" applyFont="1" applyBorder="1" applyAlignment="1">
      <alignment horizontal="center" vertical="center" wrapText="1"/>
    </xf>
    <xf numFmtId="0" fontId="66" fillId="0" borderId="69" xfId="43" applyFont="1" applyBorder="1" applyAlignment="1">
      <alignment horizontal="center" vertical="center" wrapText="1"/>
    </xf>
    <xf numFmtId="0" fontId="66" fillId="0" borderId="19" xfId="43" applyFont="1" applyBorder="1" applyAlignment="1">
      <alignment horizontal="center" vertical="center" wrapText="1"/>
    </xf>
    <xf numFmtId="0" fontId="65" fillId="0" borderId="19" xfId="43" applyFont="1" applyBorder="1" applyAlignment="1">
      <alignment horizontal="center" vertical="center" wrapText="1"/>
    </xf>
    <xf numFmtId="0" fontId="76" fillId="0" borderId="53" xfId="44" applyFont="1" applyBorder="1" applyAlignment="1">
      <alignment horizontal="center" vertical="center" wrapText="1"/>
    </xf>
    <xf numFmtId="168" fontId="74" fillId="0" borderId="72" xfId="44" applyNumberFormat="1" applyFont="1" applyBorder="1" applyAlignment="1">
      <alignment horizontal="left" wrapText="1"/>
    </xf>
    <xf numFmtId="168" fontId="74" fillId="0" borderId="10" xfId="44" applyNumberFormat="1" applyFont="1" applyBorder="1" applyAlignment="1">
      <alignment horizontal="left" wrapText="1"/>
    </xf>
    <xf numFmtId="0" fontId="74" fillId="0" borderId="72" xfId="44" applyFont="1" applyBorder="1" applyAlignment="1">
      <alignment horizontal="left"/>
    </xf>
    <xf numFmtId="0" fontId="74" fillId="0" borderId="10" xfId="44" applyFont="1" applyBorder="1" applyAlignment="1">
      <alignment horizontal="left"/>
    </xf>
    <xf numFmtId="0" fontId="74" fillId="0" borderId="114" xfId="42" applyFont="1" applyBorder="1" applyAlignment="1"/>
    <xf numFmtId="0" fontId="0" fillId="0" borderId="115" xfId="0" applyBorder="1" applyAlignment="1"/>
    <xf numFmtId="0" fontId="0" fillId="0" borderId="144" xfId="0" applyBorder="1" applyAlignment="1"/>
    <xf numFmtId="0" fontId="74" fillId="0" borderId="50" xfId="42" applyFont="1" applyBorder="1"/>
    <xf numFmtId="3" fontId="46" fillId="0" borderId="0" xfId="42" applyNumberFormat="1" applyFont="1" applyAlignment="1">
      <alignment horizontal="right"/>
    </xf>
    <xf numFmtId="0" fontId="71" fillId="0" borderId="0" xfId="42" applyFont="1" applyAlignment="1">
      <alignment horizontal="center"/>
    </xf>
    <xf numFmtId="0" fontId="72" fillId="0" borderId="0" xfId="42" applyFont="1" applyAlignment="1">
      <alignment horizontal="center"/>
    </xf>
    <xf numFmtId="0" fontId="15" fillId="0" borderId="0" xfId="42" applyFont="1" applyAlignment="1">
      <alignment horizontal="center"/>
    </xf>
    <xf numFmtId="0" fontId="74" fillId="0" borderId="11" xfId="44" applyFont="1" applyBorder="1" applyAlignment="1">
      <alignment horizontal="left" vertical="center"/>
    </xf>
    <xf numFmtId="0" fontId="74" fillId="0" borderId="115" xfId="42" applyFont="1" applyBorder="1"/>
    <xf numFmtId="0" fontId="0" fillId="0" borderId="115" xfId="0" applyBorder="1"/>
    <xf numFmtId="3" fontId="73" fillId="0" borderId="12" xfId="44" applyNumberFormat="1" applyFont="1" applyBorder="1" applyAlignment="1">
      <alignment horizontal="center" vertical="center" wrapText="1"/>
    </xf>
    <xf numFmtId="168" fontId="74" fillId="0" borderId="11" xfId="44" applyNumberFormat="1" applyFont="1" applyBorder="1" applyAlignment="1">
      <alignment horizontal="left" vertical="center" wrapText="1"/>
    </xf>
    <xf numFmtId="168" fontId="73" fillId="0" borderId="11" xfId="44" applyNumberFormat="1" applyFont="1" applyBorder="1" applyAlignment="1">
      <alignment horizontal="center" vertical="center" wrapText="1"/>
    </xf>
    <xf numFmtId="0" fontId="74" fillId="0" borderId="72" xfId="44" applyFont="1" applyBorder="1" applyAlignment="1">
      <alignment horizontal="left" vertical="center" wrapText="1"/>
    </xf>
    <xf numFmtId="0" fontId="74" fillId="0" borderId="10" xfId="44" applyFont="1" applyBorder="1" applyAlignment="1">
      <alignment horizontal="left" vertical="center" wrapText="1"/>
    </xf>
    <xf numFmtId="3" fontId="80" fillId="5" borderId="320" xfId="42" applyNumberFormat="1" applyFont="1" applyFill="1" applyBorder="1" applyAlignment="1">
      <alignment horizontal="center" vertical="center" wrapText="1"/>
    </xf>
    <xf numFmtId="3" fontId="80" fillId="5" borderId="321" xfId="42" applyNumberFormat="1" applyFont="1" applyFill="1" applyBorder="1" applyAlignment="1">
      <alignment horizontal="center" vertical="center" wrapText="1"/>
    </xf>
    <xf numFmtId="3" fontId="80" fillId="5" borderId="315" xfId="42" applyNumberFormat="1" applyFont="1" applyFill="1" applyBorder="1" applyAlignment="1">
      <alignment horizontal="center" vertical="center" wrapText="1"/>
    </xf>
    <xf numFmtId="3" fontId="80" fillId="5" borderId="322" xfId="42" applyNumberFormat="1" applyFont="1" applyFill="1" applyBorder="1" applyAlignment="1">
      <alignment horizontal="center" vertical="center" wrapText="1"/>
    </xf>
    <xf numFmtId="0" fontId="80" fillId="5" borderId="323" xfId="42" applyFont="1" applyFill="1" applyBorder="1" applyAlignment="1">
      <alignment horizontal="center" vertical="center" wrapText="1"/>
    </xf>
    <xf numFmtId="0" fontId="80" fillId="5" borderId="324" xfId="42" applyFont="1" applyFill="1" applyBorder="1" applyAlignment="1">
      <alignment horizontal="center" vertical="center" wrapText="1"/>
    </xf>
    <xf numFmtId="0" fontId="80" fillId="5" borderId="250" xfId="42" applyFont="1" applyFill="1" applyBorder="1" applyAlignment="1">
      <alignment horizontal="center" vertical="center" wrapText="1"/>
    </xf>
    <xf numFmtId="0" fontId="80" fillId="5" borderId="179" xfId="42" applyFont="1" applyFill="1" applyBorder="1" applyAlignment="1">
      <alignment horizontal="center" vertical="center" wrapText="1"/>
    </xf>
    <xf numFmtId="3" fontId="80" fillId="5" borderId="250" xfId="42" applyNumberFormat="1" applyFont="1" applyFill="1" applyBorder="1" applyAlignment="1">
      <alignment horizontal="center" vertical="center" wrapText="1"/>
    </xf>
    <xf numFmtId="3" fontId="80" fillId="5" borderId="179" xfId="42" applyNumberFormat="1" applyFont="1" applyFill="1" applyBorder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/>
    </xf>
    <xf numFmtId="0" fontId="77" fillId="0" borderId="0" xfId="42" applyFont="1" applyAlignment="1">
      <alignment horizontal="center" vertical="center" wrapText="1"/>
    </xf>
    <xf numFmtId="0" fontId="78" fillId="0" borderId="0" xfId="42" applyFont="1" applyAlignment="1">
      <alignment horizontal="center" vertical="center"/>
    </xf>
    <xf numFmtId="0" fontId="75" fillId="0" borderId="0" xfId="42" applyFont="1" applyAlignment="1">
      <alignment horizontal="center" vertical="center"/>
    </xf>
    <xf numFmtId="0" fontId="80" fillId="5" borderId="316" xfId="42" applyFont="1" applyFill="1" applyBorder="1" applyAlignment="1">
      <alignment horizontal="center" vertical="center" wrapText="1"/>
    </xf>
    <xf numFmtId="3" fontId="80" fillId="5" borderId="62" xfId="42" applyNumberFormat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317" xfId="0" applyBorder="1" applyAlignment="1">
      <alignment horizontal="center" vertical="center" wrapText="1"/>
    </xf>
    <xf numFmtId="0" fontId="0" fillId="0" borderId="318" xfId="0" applyBorder="1" applyAlignment="1">
      <alignment horizontal="center" vertical="center" wrapText="1"/>
    </xf>
    <xf numFmtId="0" fontId="0" fillId="0" borderId="319" xfId="0" applyBorder="1" applyAlignment="1">
      <alignment horizontal="center" vertical="center" wrapText="1"/>
    </xf>
    <xf numFmtId="0" fontId="78" fillId="18" borderId="27" xfId="42" applyFont="1" applyFill="1" applyBorder="1" applyAlignment="1">
      <alignment horizontal="center" vertical="center"/>
    </xf>
    <xf numFmtId="0" fontId="78" fillId="18" borderId="28" xfId="42" applyFont="1" applyFill="1" applyBorder="1" applyAlignment="1">
      <alignment horizontal="center" vertical="center"/>
    </xf>
    <xf numFmtId="0" fontId="78" fillId="18" borderId="139" xfId="42" applyFont="1" applyFill="1" applyBorder="1" applyAlignment="1">
      <alignment horizontal="center" vertical="center"/>
    </xf>
    <xf numFmtId="0" fontId="78" fillId="18" borderId="38" xfId="42" applyFont="1" applyFill="1" applyBorder="1" applyAlignment="1">
      <alignment horizontal="center" vertical="center"/>
    </xf>
    <xf numFmtId="0" fontId="85" fillId="0" borderId="0" xfId="42" applyFont="1" applyAlignment="1">
      <alignment horizontal="center" wrapText="1"/>
    </xf>
    <xf numFmtId="0" fontId="78" fillId="18" borderId="166" xfId="42" applyFont="1" applyFill="1" applyBorder="1" applyAlignment="1">
      <alignment horizontal="center" vertical="center" wrapText="1"/>
    </xf>
    <xf numFmtId="0" fontId="78" fillId="18" borderId="99" xfId="42" applyFont="1" applyFill="1" applyBorder="1" applyAlignment="1">
      <alignment horizontal="center" vertical="center" wrapText="1"/>
    </xf>
    <xf numFmtId="0" fontId="78" fillId="18" borderId="288" xfId="42" applyFont="1" applyFill="1" applyBorder="1" applyAlignment="1">
      <alignment horizontal="center" vertical="center"/>
    </xf>
    <xf numFmtId="0" fontId="78" fillId="18" borderId="219" xfId="42" applyFont="1" applyFill="1" applyBorder="1" applyAlignment="1">
      <alignment horizontal="center" vertical="center"/>
    </xf>
    <xf numFmtId="0" fontId="78" fillId="18" borderId="328" xfId="42" applyFont="1" applyFill="1" applyBorder="1" applyAlignment="1">
      <alignment horizontal="center" vertical="center"/>
    </xf>
    <xf numFmtId="0" fontId="78" fillId="18" borderId="325" xfId="42" applyFont="1" applyFill="1" applyBorder="1" applyAlignment="1">
      <alignment horizontal="center" vertical="center"/>
    </xf>
    <xf numFmtId="0" fontId="78" fillId="18" borderId="233" xfId="42" applyFont="1" applyFill="1" applyBorder="1" applyAlignment="1">
      <alignment horizontal="center" vertical="center"/>
    </xf>
    <xf numFmtId="0" fontId="0" fillId="0" borderId="267" xfId="0" applyBorder="1" applyAlignment="1"/>
    <xf numFmtId="0" fontId="78" fillId="18" borderId="214" xfId="42" applyFont="1" applyFill="1" applyBorder="1" applyAlignment="1">
      <alignment horizontal="center" vertical="center"/>
    </xf>
    <xf numFmtId="0" fontId="78" fillId="18" borderId="213" xfId="42" applyFont="1" applyFill="1" applyBorder="1" applyAlignment="1">
      <alignment horizontal="center" vertical="center"/>
    </xf>
    <xf numFmtId="0" fontId="0" fillId="0" borderId="268" xfId="0" applyBorder="1" applyAlignment="1"/>
    <xf numFmtId="0" fontId="78" fillId="18" borderId="297" xfId="42" applyFont="1" applyFill="1" applyBorder="1" applyAlignment="1">
      <alignment horizontal="center" vertical="center"/>
    </xf>
    <xf numFmtId="0" fontId="78" fillId="18" borderId="326" xfId="42" applyFont="1" applyFill="1" applyBorder="1" applyAlignment="1">
      <alignment horizontal="center" vertical="center"/>
    </xf>
    <xf numFmtId="0" fontId="0" fillId="0" borderId="327" xfId="0" applyBorder="1" applyAlignment="1"/>
    <xf numFmtId="0" fontId="83" fillId="0" borderId="0" xfId="42" applyFont="1" applyAlignment="1">
      <alignment horizontal="right"/>
    </xf>
    <xf numFmtId="0" fontId="84" fillId="0" borderId="0" xfId="42" applyFont="1" applyAlignment="1">
      <alignment horizontal="center"/>
    </xf>
    <xf numFmtId="0" fontId="78" fillId="0" borderId="0" xfId="42" applyFont="1" applyAlignment="1">
      <alignment horizontal="center"/>
    </xf>
    <xf numFmtId="0" fontId="85" fillId="0" borderId="0" xfId="42" applyFont="1" applyAlignment="1">
      <alignment horizontal="center"/>
    </xf>
    <xf numFmtId="0" fontId="78" fillId="18" borderId="20" xfId="42" applyFont="1" applyFill="1" applyBorder="1" applyAlignment="1">
      <alignment horizontal="center" vertical="center" wrapText="1"/>
    </xf>
    <xf numFmtId="0" fontId="78" fillId="18" borderId="64" xfId="42" applyFont="1" applyFill="1" applyBorder="1" applyAlignment="1">
      <alignment horizontal="center" vertical="center"/>
    </xf>
    <xf numFmtId="0" fontId="78" fillId="0" borderId="13" xfId="42" applyFont="1" applyBorder="1" applyAlignment="1">
      <alignment horizontal="center" vertical="center"/>
    </xf>
    <xf numFmtId="0" fontId="78" fillId="0" borderId="10" xfId="42" applyFont="1" applyBorder="1" applyAlignment="1">
      <alignment horizontal="center" vertical="center"/>
    </xf>
    <xf numFmtId="0" fontId="85" fillId="0" borderId="0" xfId="42" applyFont="1" applyAlignment="1">
      <alignment horizontal="center" vertical="center"/>
    </xf>
    <xf numFmtId="3" fontId="89" fillId="16" borderId="12" xfId="42" applyNumberFormat="1" applyFont="1" applyFill="1" applyBorder="1" applyAlignment="1">
      <alignment horizontal="center" vertical="center"/>
    </xf>
    <xf numFmtId="3" fontId="89" fillId="16" borderId="11" xfId="42" applyNumberFormat="1" applyFont="1" applyFill="1" applyBorder="1" applyAlignment="1">
      <alignment horizontal="center" vertical="center"/>
    </xf>
    <xf numFmtId="0" fontId="89" fillId="16" borderId="12" xfId="42" applyFont="1" applyFill="1" applyBorder="1" applyAlignment="1">
      <alignment horizontal="center" vertical="center"/>
    </xf>
    <xf numFmtId="0" fontId="45" fillId="0" borderId="0" xfId="42" applyFont="1" applyAlignment="1">
      <alignment horizontal="center" vertical="center"/>
    </xf>
    <xf numFmtId="3" fontId="89" fillId="16" borderId="308" xfId="42" applyNumberFormat="1" applyFont="1" applyFill="1" applyBorder="1" applyAlignment="1">
      <alignment horizontal="center" vertical="center"/>
    </xf>
    <xf numFmtId="3" fontId="89" fillId="16" borderId="310" xfId="42" applyNumberFormat="1" applyFont="1" applyFill="1" applyBorder="1" applyAlignment="1">
      <alignment horizontal="center" vertical="center"/>
    </xf>
    <xf numFmtId="3" fontId="39" fillId="0" borderId="15" xfId="46" applyNumberFormat="1" applyFont="1" applyBorder="1" applyAlignment="1">
      <alignment horizontal="left" vertical="center" indent="1"/>
    </xf>
    <xf numFmtId="3" fontId="90" fillId="0" borderId="0" xfId="46" applyNumberFormat="1" applyFont="1" applyAlignment="1" applyProtection="1">
      <alignment horizontal="right"/>
      <protection locked="0"/>
    </xf>
    <xf numFmtId="3" fontId="31" fillId="0" borderId="0" xfId="46" applyNumberFormat="1" applyFont="1" applyAlignment="1">
      <alignment horizontal="center" wrapText="1"/>
    </xf>
    <xf numFmtId="0" fontId="25" fillId="0" borderId="53" xfId="0" applyFont="1" applyBorder="1" applyAlignment="1">
      <alignment horizontal="center" vertical="center" wrapText="1"/>
    </xf>
    <xf numFmtId="166" fontId="91" fillId="0" borderId="0" xfId="45" applyNumberFormat="1" applyFont="1" applyAlignment="1">
      <alignment horizontal="center" vertical="center" wrapText="1"/>
    </xf>
    <xf numFmtId="0" fontId="31" fillId="0" borderId="13" xfId="45" applyFont="1" applyBorder="1" applyAlignment="1">
      <alignment horizontal="left" vertical="center"/>
    </xf>
    <xf numFmtId="0" fontId="91" fillId="0" borderId="86" xfId="45" applyFont="1" applyBorder="1" applyAlignment="1">
      <alignment horizontal="justify" vertical="center" wrapText="1"/>
    </xf>
    <xf numFmtId="0" fontId="80" fillId="0" borderId="0" xfId="41" applyFont="1" applyAlignment="1">
      <alignment horizontal="center" vertical="center" wrapText="1"/>
    </xf>
    <xf numFmtId="3" fontId="1" fillId="0" borderId="68" xfId="41" applyNumberFormat="1" applyBorder="1" applyAlignment="1">
      <alignment horizontal="center"/>
    </xf>
    <xf numFmtId="3" fontId="42" fillId="0" borderId="0" xfId="41" applyNumberFormat="1" applyFont="1" applyAlignment="1">
      <alignment horizontal="center" vertical="center"/>
    </xf>
    <xf numFmtId="3" fontId="71" fillId="0" borderId="0" xfId="41" applyNumberFormat="1" applyFont="1" applyAlignment="1">
      <alignment horizontal="center" vertical="center"/>
    </xf>
    <xf numFmtId="0" fontId="95" fillId="0" borderId="0" xfId="41" applyFont="1" applyAlignment="1">
      <alignment horizontal="center" vertical="center"/>
    </xf>
    <xf numFmtId="3" fontId="95" fillId="0" borderId="0" xfId="41" applyNumberFormat="1" applyFont="1" applyAlignment="1">
      <alignment horizontal="center" vertical="center"/>
    </xf>
    <xf numFmtId="3" fontId="96" fillId="0" borderId="13" xfId="41" applyNumberFormat="1" applyFont="1" applyBorder="1" applyAlignment="1">
      <alignment horizontal="center" vertical="center" wrapText="1"/>
    </xf>
    <xf numFmtId="3" fontId="96" fillId="0" borderId="21" xfId="41" applyNumberFormat="1" applyFont="1" applyBorder="1" applyAlignment="1">
      <alignment horizontal="center" vertical="center"/>
    </xf>
    <xf numFmtId="3" fontId="96" fillId="0" borderId="311" xfId="41" applyNumberFormat="1" applyFont="1" applyBorder="1" applyAlignment="1">
      <alignment horizontal="center" vertical="center"/>
    </xf>
    <xf numFmtId="0" fontId="42" fillId="0" borderId="0" xfId="0" applyFont="1" applyAlignment="1">
      <alignment horizontal="right"/>
    </xf>
    <xf numFmtId="0" fontId="95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166" fontId="120" fillId="0" borderId="0" xfId="40" applyNumberFormat="1" applyFont="1" applyAlignment="1">
      <alignment horizontal="right" vertical="center" wrapText="1"/>
    </xf>
    <xf numFmtId="0" fontId="120" fillId="0" borderId="0" xfId="40" applyFont="1" applyAlignment="1">
      <alignment horizontal="right" vertical="center" wrapText="1"/>
    </xf>
    <xf numFmtId="0" fontId="121" fillId="0" borderId="0" xfId="40" applyFont="1" applyAlignment="1">
      <alignment horizontal="center" vertical="center"/>
    </xf>
    <xf numFmtId="0" fontId="120" fillId="0" borderId="220" xfId="40" applyFont="1" applyBorder="1" applyAlignment="1">
      <alignment horizontal="right"/>
    </xf>
    <xf numFmtId="0" fontId="121" fillId="0" borderId="156" xfId="40" applyFont="1" applyBorder="1" applyAlignment="1">
      <alignment horizontal="center" vertical="center" wrapText="1"/>
    </xf>
    <xf numFmtId="0" fontId="119" fillId="0" borderId="217" xfId="40" applyFont="1" applyBorder="1" applyAlignment="1">
      <alignment horizontal="left"/>
    </xf>
    <xf numFmtId="41" fontId="119" fillId="0" borderId="217" xfId="40" applyNumberFormat="1" applyFont="1" applyBorder="1" applyAlignment="1">
      <alignment horizontal="center"/>
    </xf>
    <xf numFmtId="0" fontId="119" fillId="0" borderId="89" xfId="40" applyFont="1" applyBorder="1" applyAlignment="1">
      <alignment horizontal="left"/>
    </xf>
    <xf numFmtId="41" fontId="119" fillId="0" borderId="89" xfId="40" applyNumberFormat="1" applyFont="1" applyBorder="1" applyAlignment="1">
      <alignment horizontal="center"/>
    </xf>
    <xf numFmtId="0" fontId="121" fillId="0" borderId="89" xfId="40" applyFont="1" applyBorder="1" applyAlignment="1">
      <alignment horizontal="left"/>
    </xf>
    <xf numFmtId="41" fontId="121" fillId="0" borderId="89" xfId="40" applyNumberFormat="1" applyFont="1" applyBorder="1" applyAlignment="1">
      <alignment horizontal="center"/>
    </xf>
    <xf numFmtId="0" fontId="121" fillId="0" borderId="155" xfId="40" applyFont="1" applyBorder="1" applyAlignment="1">
      <alignment horizontal="left"/>
    </xf>
    <xf numFmtId="41" fontId="121" fillId="0" borderId="155" xfId="40" applyNumberFormat="1" applyFont="1" applyBorder="1" applyAlignment="1">
      <alignment horizontal="center"/>
    </xf>
    <xf numFmtId="0" fontId="121" fillId="0" borderId="156" xfId="40" applyFont="1" applyBorder="1" applyAlignment="1">
      <alignment horizontal="left"/>
    </xf>
    <xf numFmtId="41" fontId="121" fillId="0" borderId="156" xfId="40" applyNumberFormat="1" applyFont="1" applyBorder="1" applyAlignment="1">
      <alignment horizontal="center"/>
    </xf>
    <xf numFmtId="0" fontId="122" fillId="0" borderId="165" xfId="40" applyFont="1" applyBorder="1" applyAlignment="1">
      <alignment horizontal="left"/>
    </xf>
    <xf numFmtId="0" fontId="122" fillId="0" borderId="115" xfId="40" applyFont="1" applyBorder="1" applyAlignment="1">
      <alignment horizontal="left"/>
    </xf>
    <xf numFmtId="41" fontId="122" fillId="0" borderId="165" xfId="40" applyNumberFormat="1" applyFont="1" applyBorder="1" applyAlignment="1">
      <alignment horizontal="left"/>
    </xf>
    <xf numFmtId="0" fontId="122" fillId="0" borderId="260" xfId="40" applyFont="1" applyBorder="1" applyAlignment="1">
      <alignment horizontal="left"/>
    </xf>
    <xf numFmtId="0" fontId="123" fillId="0" borderId="115" xfId="40" applyFont="1" applyBorder="1" applyAlignment="1">
      <alignment horizontal="left"/>
    </xf>
    <xf numFmtId="41" fontId="123" fillId="0" borderId="165" xfId="40" applyNumberFormat="1" applyFont="1" applyBorder="1" applyAlignment="1">
      <alignment horizontal="center"/>
    </xf>
    <xf numFmtId="41" fontId="0" fillId="0" borderId="260" xfId="0" applyNumberFormat="1" applyFont="1" applyBorder="1" applyAlignment="1">
      <alignment horizontal="center"/>
    </xf>
    <xf numFmtId="0" fontId="75" fillId="0" borderId="0" xfId="48" applyAlignment="1">
      <alignment horizontal="left"/>
    </xf>
    <xf numFmtId="0" fontId="122" fillId="0" borderId="0" xfId="48" applyFont="1" applyAlignment="1">
      <alignment horizontal="center" vertical="center" wrapText="1"/>
    </xf>
    <xf numFmtId="0" fontId="122" fillId="0" borderId="0" xfId="48" applyFont="1" applyAlignment="1">
      <alignment horizontal="center" vertical="center"/>
    </xf>
    <xf numFmtId="0" fontId="126" fillId="0" borderId="0" xfId="48" applyFont="1" applyAlignment="1">
      <alignment horizontal="right"/>
    </xf>
    <xf numFmtId="0" fontId="122" fillId="0" borderId="148" xfId="48" applyFont="1" applyBorder="1" applyAlignment="1">
      <alignment horizontal="center" vertical="center" wrapText="1"/>
    </xf>
    <xf numFmtId="0" fontId="122" fillId="0" borderId="258" xfId="48" applyFont="1" applyBorder="1" applyAlignment="1">
      <alignment horizontal="center" vertical="center" wrapText="1"/>
    </xf>
    <xf numFmtId="0" fontId="122" fillId="0" borderId="187" xfId="48" applyFont="1" applyBorder="1" applyAlignment="1">
      <alignment horizontal="center" vertical="center" wrapText="1"/>
    </xf>
    <xf numFmtId="0" fontId="128" fillId="0" borderId="149" xfId="47" applyFont="1" applyBorder="1" applyAlignment="1">
      <alignment horizontal="center" vertical="center" textRotation="90"/>
    </xf>
    <xf numFmtId="0" fontId="128" fillId="0" borderId="210" xfId="47" applyFont="1" applyBorder="1" applyAlignment="1">
      <alignment horizontal="center" vertical="center" textRotation="90"/>
    </xf>
    <xf numFmtId="0" fontId="128" fillId="0" borderId="217" xfId="47" applyFont="1" applyBorder="1" applyAlignment="1">
      <alignment horizontal="center" vertical="center" textRotation="90"/>
    </xf>
    <xf numFmtId="0" fontId="122" fillId="0" borderId="153" xfId="48" applyFont="1" applyBorder="1" applyAlignment="1">
      <alignment horizontal="center" vertical="center" wrapText="1"/>
    </xf>
    <xf numFmtId="0" fontId="122" fillId="0" borderId="89" xfId="48" applyFont="1" applyBorder="1" applyAlignment="1">
      <alignment horizontal="center" vertical="center" wrapText="1"/>
    </xf>
    <xf numFmtId="0" fontId="128" fillId="0" borderId="89" xfId="48" applyFont="1" applyBorder="1" applyAlignment="1">
      <alignment horizontal="center" wrapText="1"/>
    </xf>
    <xf numFmtId="0" fontId="75" fillId="0" borderId="0" xfId="48" applyAlignment="1">
      <alignment horizontal="center"/>
    </xf>
    <xf numFmtId="0" fontId="122" fillId="0" borderId="0" xfId="47" applyFont="1" applyAlignment="1">
      <alignment horizontal="center" vertical="center" wrapText="1"/>
    </xf>
    <xf numFmtId="0" fontId="126" fillId="0" borderId="0" xfId="47" applyFont="1" applyAlignment="1">
      <alignment horizontal="right" vertical="center"/>
    </xf>
    <xf numFmtId="0" fontId="122" fillId="0" borderId="151" xfId="47" applyFont="1" applyBorder="1" applyAlignment="1">
      <alignment horizontal="center" vertical="center" wrapText="1"/>
    </xf>
    <xf numFmtId="0" fontId="122" fillId="0" borderId="152" xfId="47" applyFont="1" applyBorder="1" applyAlignment="1">
      <alignment horizontal="center" vertical="center" wrapText="1"/>
    </xf>
    <xf numFmtId="0" fontId="128" fillId="0" borderId="153" xfId="47" applyFont="1" applyBorder="1" applyAlignment="1">
      <alignment horizontal="center" vertical="center" textRotation="90"/>
    </xf>
    <xf numFmtId="0" fontId="128" fillId="0" borderId="89" xfId="47" applyFont="1" applyBorder="1" applyAlignment="1">
      <alignment horizontal="center" vertical="center" textRotation="90"/>
    </xf>
    <xf numFmtId="0" fontId="128" fillId="0" borderId="158" xfId="47" applyFont="1" applyBorder="1" applyAlignment="1">
      <alignment horizontal="center" vertical="center" wrapText="1"/>
    </xf>
    <xf numFmtId="0" fontId="128" fillId="0" borderId="159" xfId="47" applyFont="1" applyBorder="1" applyAlignment="1">
      <alignment horizontal="center" vertical="center"/>
    </xf>
    <xf numFmtId="0" fontId="119" fillId="0" borderId="155" xfId="40" applyFont="1" applyBorder="1" applyAlignment="1">
      <alignment horizontal="left"/>
    </xf>
    <xf numFmtId="41" fontId="119" fillId="0" borderId="155" xfId="40" applyNumberFormat="1" applyFont="1" applyBorder="1" applyAlignment="1">
      <alignment horizontal="center"/>
    </xf>
    <xf numFmtId="0" fontId="119" fillId="0" borderId="156" xfId="40" applyFont="1" applyBorder="1" applyAlignment="1">
      <alignment horizontal="left"/>
    </xf>
    <xf numFmtId="41" fontId="119" fillId="0" borderId="156" xfId="40" applyNumberFormat="1" applyFont="1" applyBorder="1" applyAlignment="1">
      <alignment horizontal="center"/>
    </xf>
    <xf numFmtId="0" fontId="119" fillId="0" borderId="163" xfId="40" applyFont="1" applyBorder="1" applyAlignment="1">
      <alignment horizontal="left"/>
    </xf>
    <xf numFmtId="0" fontId="119" fillId="0" borderId="233" xfId="40" applyFont="1" applyBorder="1" applyAlignment="1">
      <alignment horizontal="left"/>
    </xf>
    <xf numFmtId="0" fontId="119" fillId="0" borderId="329" xfId="40" applyFont="1" applyBorder="1" applyAlignment="1">
      <alignment horizontal="left"/>
    </xf>
    <xf numFmtId="41" fontId="119" fillId="0" borderId="163" xfId="40" applyNumberFormat="1" applyFont="1" applyBorder="1" applyAlignment="1">
      <alignment horizontal="center"/>
    </xf>
    <xf numFmtId="41" fontId="119" fillId="0" borderId="329" xfId="40" applyNumberFormat="1" applyFont="1" applyBorder="1" applyAlignment="1">
      <alignment horizontal="center"/>
    </xf>
    <xf numFmtId="0" fontId="119" fillId="0" borderId="164" xfId="40" applyFont="1" applyBorder="1" applyAlignment="1">
      <alignment horizontal="left"/>
    </xf>
    <xf numFmtId="0" fontId="98" fillId="0" borderId="330" xfId="40" applyBorder="1" applyAlignment="1">
      <alignment horizontal="left"/>
    </xf>
    <xf numFmtId="0" fontId="98" fillId="0" borderId="331" xfId="40" applyBorder="1" applyAlignment="1">
      <alignment horizontal="left"/>
    </xf>
    <xf numFmtId="41" fontId="119" fillId="0" borderId="164" xfId="40" applyNumberFormat="1" applyFont="1" applyBorder="1" applyAlignment="1">
      <alignment horizontal="center"/>
    </xf>
    <xf numFmtId="0" fontId="98" fillId="0" borderId="331" xfId="40" applyBorder="1" applyAlignment="1">
      <alignment horizontal="center"/>
    </xf>
    <xf numFmtId="0" fontId="119" fillId="0" borderId="165" xfId="40" applyFont="1" applyBorder="1" applyAlignment="1">
      <alignment horizontal="left"/>
    </xf>
    <xf numFmtId="0" fontId="119" fillId="0" borderId="115" xfId="40" applyFont="1" applyBorder="1" applyAlignment="1">
      <alignment horizontal="left"/>
    </xf>
    <xf numFmtId="0" fontId="119" fillId="0" borderId="260" xfId="40" applyFont="1" applyBorder="1" applyAlignment="1">
      <alignment horizontal="left"/>
    </xf>
    <xf numFmtId="41" fontId="119" fillId="0" borderId="165" xfId="40" applyNumberFormat="1" applyFont="1" applyBorder="1" applyAlignment="1">
      <alignment horizontal="center"/>
    </xf>
    <xf numFmtId="41" fontId="119" fillId="0" borderId="260" xfId="40" applyNumberFormat="1" applyFont="1" applyBorder="1" applyAlignment="1">
      <alignment horizontal="center"/>
    </xf>
    <xf numFmtId="0" fontId="130" fillId="0" borderId="156" xfId="40" applyFont="1" applyBorder="1" applyAlignment="1">
      <alignment horizontal="left"/>
    </xf>
    <xf numFmtId="41" fontId="130" fillId="0" borderId="156" xfId="40" applyNumberFormat="1" applyFont="1" applyBorder="1" applyAlignment="1">
      <alignment horizontal="center"/>
    </xf>
    <xf numFmtId="0" fontId="118" fillId="0" borderId="0" xfId="40" applyFont="1" applyAlignment="1">
      <alignment horizontal="center"/>
    </xf>
  </cellXfs>
  <cellStyles count="5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" xfId="29" builtinId="3"/>
    <cellStyle name="Good" xfId="30"/>
    <cellStyle name="Heading 1" xfId="31"/>
    <cellStyle name="Heading 2" xfId="32"/>
    <cellStyle name="Heading 3" xfId="33"/>
    <cellStyle name="Heading 4" xfId="34"/>
    <cellStyle name="Hivatkozás" xfId="35" builtinId="8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_1_-_II_Tajekoztato_tablak" xfId="41"/>
    <cellStyle name="Normál_2007. év költségvetés terv 1.mellékletek" xfId="42"/>
    <cellStyle name="Normál_2008. év költségvetés terv 1. sz. melléklet" xfId="43"/>
    <cellStyle name="Normál_Dologi kiadás" xfId="44"/>
    <cellStyle name="Normál_KVRENMUNKA" xfId="45"/>
    <cellStyle name="Normál_SEGEDLETEK" xfId="46"/>
    <cellStyle name="Normál_VAGYONK" xfId="47"/>
    <cellStyle name="Normál_VAGYONKIM" xfId="48"/>
    <cellStyle name="Note" xfId="49"/>
    <cellStyle name="Output" xfId="50"/>
    <cellStyle name="Title" xfId="51"/>
    <cellStyle name="Total" xfId="52"/>
    <cellStyle name="Warning Text" xfId="5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6666"/>
      <rgbColor rgb="00FFFFC0"/>
      <rgbColor rgb="00A0E0E0"/>
      <rgbColor rgb="00660066"/>
      <rgbColor rgb="00FF8080"/>
      <rgbColor rgb="000066CC"/>
      <rgbColor rgb="00DFDFD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A6CAF0"/>
      <rgbColor rgb="00CC9CCC"/>
      <rgbColor rgb="00CC99FF"/>
      <rgbColor rgb="00FFCC99"/>
      <rgbColor rgb="003333CC"/>
      <rgbColor rgb="0033CCCC"/>
      <rgbColor rgb="00999933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2"/>
  <sheetViews>
    <sheetView tabSelected="1" view="pageBreakPreview" zoomScale="60" zoomScaleNormal="75" workbookViewId="0">
      <selection activeCell="I59" sqref="I59"/>
    </sheetView>
  </sheetViews>
  <sheetFormatPr defaultColWidth="9" defaultRowHeight="12.75"/>
  <cols>
    <col min="1" max="1" width="3.42578125" style="1" customWidth="1"/>
    <col min="2" max="2" width="5.85546875" style="1" customWidth="1"/>
    <col min="3" max="3" width="8.85546875" style="1" customWidth="1"/>
    <col min="4" max="4" width="53.5703125" style="2" customWidth="1"/>
    <col min="5" max="5" width="8.140625" style="2" customWidth="1"/>
    <col min="6" max="9" width="16" style="3" bestFit="1" customWidth="1"/>
    <col min="10" max="10" width="14.85546875" style="3" customWidth="1"/>
    <col min="11" max="11" width="16" style="3" bestFit="1" customWidth="1"/>
    <col min="12" max="12" width="15.140625" style="3" customWidth="1"/>
    <col min="13" max="13" width="14.85546875" style="3" customWidth="1"/>
    <col min="14" max="14" width="11.42578125" customWidth="1"/>
    <col min="15" max="15" width="10.85546875" style="3" bestFit="1" customWidth="1"/>
    <col min="16" max="16" width="10.85546875" style="3" customWidth="1"/>
    <col min="17" max="17" width="14.140625" customWidth="1"/>
  </cols>
  <sheetData>
    <row r="1" spans="1:26">
      <c r="A1" s="4"/>
      <c r="B1" s="4"/>
      <c r="C1" s="4"/>
      <c r="D1" s="5"/>
      <c r="E1" s="5"/>
      <c r="Q1" s="6" t="s">
        <v>0</v>
      </c>
    </row>
    <row r="2" spans="1:26" ht="34.5" customHeight="1">
      <c r="A2" s="1717" t="s">
        <v>559</v>
      </c>
      <c r="B2" s="1717"/>
      <c r="C2" s="1717"/>
      <c r="D2" s="1717"/>
      <c r="E2" s="1717"/>
      <c r="F2" s="1717"/>
      <c r="G2" s="1717"/>
      <c r="H2" s="1717"/>
      <c r="I2" s="1717"/>
      <c r="J2" s="1717"/>
      <c r="K2" s="1717"/>
      <c r="L2" s="1717"/>
      <c r="M2" s="1717"/>
      <c r="N2" s="1717"/>
      <c r="O2" s="7"/>
      <c r="P2" s="7"/>
    </row>
    <row r="3" spans="1:26" ht="13.5" thickBot="1">
      <c r="A3" s="8"/>
      <c r="B3" s="8"/>
      <c r="C3" s="8"/>
      <c r="D3" s="9"/>
      <c r="E3" s="10"/>
      <c r="J3" s="11"/>
      <c r="K3" s="11"/>
      <c r="L3" s="11"/>
      <c r="M3" s="11"/>
      <c r="Q3" s="12" t="s">
        <v>488</v>
      </c>
    </row>
    <row r="4" spans="1:26" ht="45.75" customHeight="1" thickBot="1">
      <c r="A4" s="1718" t="s">
        <v>2</v>
      </c>
      <c r="B4" s="1718"/>
      <c r="C4" s="1718"/>
      <c r="D4" s="1521" t="s">
        <v>3</v>
      </c>
      <c r="E4" s="1517" t="s">
        <v>4</v>
      </c>
      <c r="F4" s="1719" t="s">
        <v>5</v>
      </c>
      <c r="G4" s="1719"/>
      <c r="H4" s="1719"/>
      <c r="I4" s="1719"/>
      <c r="J4" s="1719" t="s">
        <v>6</v>
      </c>
      <c r="K4" s="1719"/>
      <c r="L4" s="1719"/>
      <c r="M4" s="1719"/>
      <c r="N4" s="1710" t="s">
        <v>7</v>
      </c>
      <c r="O4" s="1711"/>
      <c r="P4" s="1712"/>
      <c r="Q4" s="1362" t="s">
        <v>8</v>
      </c>
    </row>
    <row r="5" spans="1:26" ht="36.75" customHeight="1" thickBot="1">
      <c r="A5" s="13"/>
      <c r="B5" s="16"/>
      <c r="C5" s="16"/>
      <c r="D5" s="14"/>
      <c r="E5" s="15"/>
      <c r="F5" s="1518" t="s">
        <v>9</v>
      </c>
      <c r="G5" s="1519" t="s">
        <v>10</v>
      </c>
      <c r="H5" s="1519" t="s">
        <v>11</v>
      </c>
      <c r="I5" s="1520" t="s">
        <v>301</v>
      </c>
      <c r="J5" s="1518" t="s">
        <v>9</v>
      </c>
      <c r="K5" s="1519" t="s">
        <v>10</v>
      </c>
      <c r="L5" s="1519" t="s">
        <v>11</v>
      </c>
      <c r="M5" s="1520" t="s">
        <v>301</v>
      </c>
      <c r="N5" s="1518" t="s">
        <v>9</v>
      </c>
      <c r="O5" s="1519" t="s">
        <v>10</v>
      </c>
      <c r="P5" s="1522" t="s">
        <v>11</v>
      </c>
      <c r="Q5" s="1363"/>
    </row>
    <row r="6" spans="1:26" s="26" customFormat="1" ht="21.75" customHeight="1" thickBot="1">
      <c r="A6" s="21"/>
      <c r="B6" s="1699"/>
      <c r="C6" s="1699"/>
      <c r="D6" s="1699"/>
      <c r="E6" s="22"/>
      <c r="F6" s="23"/>
      <c r="G6" s="24"/>
      <c r="H6" s="24"/>
      <c r="I6" s="24"/>
      <c r="J6" s="23"/>
      <c r="K6" s="24"/>
      <c r="L6" s="24"/>
      <c r="M6" s="24"/>
      <c r="N6" s="23"/>
      <c r="O6" s="24"/>
      <c r="P6" s="1301"/>
      <c r="Q6" s="1364"/>
    </row>
    <row r="7" spans="1:26" s="26" customFormat="1" ht="21.75" customHeight="1" thickBot="1">
      <c r="A7" s="21" t="s">
        <v>15</v>
      </c>
      <c r="B7" s="1699" t="s">
        <v>16</v>
      </c>
      <c r="C7" s="1699"/>
      <c r="D7" s="1699"/>
      <c r="E7" s="27" t="s">
        <v>17</v>
      </c>
      <c r="F7" s="1104">
        <f t="shared" ref="F7:Q7" si="0">F8+F11+F14+F15+F17</f>
        <v>53700000</v>
      </c>
      <c r="G7" s="1080">
        <f t="shared" si="0"/>
        <v>48672164</v>
      </c>
      <c r="H7" s="23">
        <f t="shared" si="0"/>
        <v>48672164</v>
      </c>
      <c r="I7" s="23">
        <f t="shared" si="0"/>
        <v>47173370</v>
      </c>
      <c r="J7" s="23">
        <f t="shared" si="0"/>
        <v>53700000</v>
      </c>
      <c r="K7" s="23">
        <f t="shared" si="0"/>
        <v>48672164</v>
      </c>
      <c r="L7" s="23">
        <f t="shared" si="0"/>
        <v>48672164</v>
      </c>
      <c r="M7" s="23">
        <f t="shared" si="0"/>
        <v>47173370</v>
      </c>
      <c r="N7" s="1314">
        <f t="shared" si="0"/>
        <v>0</v>
      </c>
      <c r="O7" s="1314">
        <f t="shared" si="0"/>
        <v>0</v>
      </c>
      <c r="P7" s="1350"/>
      <c r="Q7" s="1365">
        <f t="shared" si="0"/>
        <v>0</v>
      </c>
    </row>
    <row r="8" spans="1:26" ht="21.75" customHeight="1">
      <c r="A8" s="28"/>
      <c r="B8" s="29" t="s">
        <v>18</v>
      </c>
      <c r="C8" s="1715" t="s">
        <v>19</v>
      </c>
      <c r="D8" s="1715"/>
      <c r="E8" s="30" t="s">
        <v>20</v>
      </c>
      <c r="F8" s="1105">
        <f>F9</f>
        <v>2400000</v>
      </c>
      <c r="G8" s="1094">
        <f>G9</f>
        <v>2400000</v>
      </c>
      <c r="H8" s="1094">
        <f>H9</f>
        <v>2400000</v>
      </c>
      <c r="I8" s="1094">
        <f>I9</f>
        <v>2223152</v>
      </c>
      <c r="J8" s="31">
        <v>2400000</v>
      </c>
      <c r="K8" s="32">
        <v>2400000</v>
      </c>
      <c r="L8" s="32">
        <v>2400000</v>
      </c>
      <c r="M8" s="897">
        <v>2223152</v>
      </c>
      <c r="N8" s="1316"/>
      <c r="O8" s="1317"/>
      <c r="P8" s="1351"/>
      <c r="Q8" s="1366"/>
    </row>
    <row r="9" spans="1:26" ht="21.75" customHeight="1">
      <c r="A9" s="34"/>
      <c r="B9" s="35"/>
      <c r="C9" s="35" t="s">
        <v>21</v>
      </c>
      <c r="D9" s="36" t="s">
        <v>24</v>
      </c>
      <c r="E9" s="37"/>
      <c r="F9" s="1106">
        <f>'3.sz.m Önk  bev.'!F10</f>
        <v>2400000</v>
      </c>
      <c r="G9" s="1082">
        <f>'3.sz.m Önk  bev.'!G10</f>
        <v>2400000</v>
      </c>
      <c r="H9" s="1082">
        <f>'3.sz.m Önk  bev.'!H10</f>
        <v>2400000</v>
      </c>
      <c r="I9" s="1082">
        <f>'3.sz.m Önk  bev.'!I10</f>
        <v>2223152</v>
      </c>
      <c r="J9" s="38">
        <v>2400000</v>
      </c>
      <c r="K9" s="39">
        <v>2400000</v>
      </c>
      <c r="L9" s="39">
        <v>2400000</v>
      </c>
      <c r="M9" s="40">
        <v>2223152</v>
      </c>
      <c r="N9" s="1120"/>
      <c r="O9" s="1315"/>
      <c r="P9" s="1352"/>
      <c r="Q9" s="1367"/>
    </row>
    <row r="10" spans="1:26" ht="21.75" hidden="1" customHeight="1">
      <c r="A10" s="34"/>
      <c r="B10" s="35"/>
      <c r="C10" s="35"/>
      <c r="D10" s="36"/>
      <c r="E10" s="37"/>
      <c r="F10" s="1106"/>
      <c r="G10" s="1082"/>
      <c r="H10" s="39"/>
      <c r="I10" s="39"/>
      <c r="J10" s="38"/>
      <c r="K10" s="39"/>
      <c r="L10" s="39"/>
      <c r="M10" s="40"/>
      <c r="N10" s="1120"/>
      <c r="O10" s="1315"/>
      <c r="P10" s="1352"/>
      <c r="Q10" s="1367"/>
      <c r="Z10" t="s">
        <v>27</v>
      </c>
    </row>
    <row r="11" spans="1:26" ht="21.75" customHeight="1">
      <c r="A11" s="34"/>
      <c r="B11" s="35" t="s">
        <v>28</v>
      </c>
      <c r="C11" s="1716" t="s">
        <v>29</v>
      </c>
      <c r="D11" s="1716"/>
      <c r="E11" s="42" t="s">
        <v>30</v>
      </c>
      <c r="F11" s="1106">
        <f>F12</f>
        <v>46000000</v>
      </c>
      <c r="G11" s="1082">
        <f>G12</f>
        <v>46000000</v>
      </c>
      <c r="H11" s="1082">
        <f>H12</f>
        <v>46000000</v>
      </c>
      <c r="I11" s="1082">
        <f>I12</f>
        <v>44703805</v>
      </c>
      <c r="J11" s="38">
        <v>46000000</v>
      </c>
      <c r="K11" s="39">
        <v>46000000</v>
      </c>
      <c r="L11" s="39">
        <v>46000000</v>
      </c>
      <c r="M11" s="40">
        <v>44703805</v>
      </c>
      <c r="N11" s="1120"/>
      <c r="O11" s="1315"/>
      <c r="P11" s="1352"/>
      <c r="Q11" s="1367"/>
    </row>
    <row r="12" spans="1:26" ht="21.75" customHeight="1">
      <c r="A12" s="34"/>
      <c r="B12" s="35"/>
      <c r="C12" s="35" t="s">
        <v>31</v>
      </c>
      <c r="D12" s="41" t="s">
        <v>32</v>
      </c>
      <c r="E12" s="42"/>
      <c r="F12" s="1106">
        <f>'3.sz.m Önk  bev.'!F14</f>
        <v>46000000</v>
      </c>
      <c r="G12" s="1082">
        <f>'3.sz.m Önk  bev.'!G14</f>
        <v>46000000</v>
      </c>
      <c r="H12" s="1082">
        <f>'3.sz.m Önk  bev.'!H14</f>
        <v>46000000</v>
      </c>
      <c r="I12" s="1082">
        <f>'3.sz.m Önk  bev.'!I14</f>
        <v>44703805</v>
      </c>
      <c r="J12" s="38">
        <v>46000000</v>
      </c>
      <c r="K12" s="39">
        <v>46000000</v>
      </c>
      <c r="L12" s="39">
        <v>46000000</v>
      </c>
      <c r="M12" s="40">
        <v>44703805</v>
      </c>
      <c r="N12" s="1120"/>
      <c r="O12" s="1315"/>
      <c r="P12" s="1352"/>
      <c r="Q12" s="1367"/>
    </row>
    <row r="13" spans="1:26" ht="21.75" customHeight="1">
      <c r="A13" s="34"/>
      <c r="B13" s="35"/>
      <c r="C13" s="35" t="s">
        <v>33</v>
      </c>
      <c r="D13" s="41" t="s">
        <v>34</v>
      </c>
      <c r="E13" s="42"/>
      <c r="F13" s="1106"/>
      <c r="G13" s="1082"/>
      <c r="H13" s="39"/>
      <c r="I13" s="39"/>
      <c r="J13" s="38"/>
      <c r="K13" s="39"/>
      <c r="L13" s="39"/>
      <c r="M13" s="40"/>
      <c r="N13" s="1120"/>
      <c r="O13" s="1315"/>
      <c r="P13" s="1352"/>
      <c r="Q13" s="1367"/>
    </row>
    <row r="14" spans="1:26" ht="21.75" customHeight="1">
      <c r="A14" s="34"/>
      <c r="B14" s="35" t="s">
        <v>35</v>
      </c>
      <c r="C14" s="1716" t="s">
        <v>36</v>
      </c>
      <c r="D14" s="1716"/>
      <c r="E14" s="42" t="s">
        <v>37</v>
      </c>
      <c r="F14" s="1106">
        <f>'3.sz.m Önk  bev.'!F16</f>
        <v>5300000</v>
      </c>
      <c r="G14" s="1082">
        <f>'3.sz.m Önk  bev.'!G16</f>
        <v>0</v>
      </c>
      <c r="H14" s="1082">
        <f>'3.sz.m Önk  bev.'!H16</f>
        <v>0</v>
      </c>
      <c r="I14" s="44"/>
      <c r="J14" s="38">
        <v>5300000</v>
      </c>
      <c r="K14" s="39">
        <v>0</v>
      </c>
      <c r="L14" s="39">
        <v>0</v>
      </c>
      <c r="M14" s="898"/>
      <c r="N14" s="1120"/>
      <c r="O14" s="1315"/>
      <c r="P14" s="1352"/>
      <c r="Q14" s="1367"/>
    </row>
    <row r="15" spans="1:26" ht="21.75" customHeight="1">
      <c r="A15" s="34"/>
      <c r="B15" s="35" t="s">
        <v>38</v>
      </c>
      <c r="C15" s="1713" t="s">
        <v>39</v>
      </c>
      <c r="D15" s="1713"/>
      <c r="E15" s="46" t="s">
        <v>40</v>
      </c>
      <c r="F15" s="1106"/>
      <c r="G15" s="1082"/>
      <c r="H15" s="39"/>
      <c r="I15" s="44"/>
      <c r="J15" s="38"/>
      <c r="K15" s="39"/>
      <c r="L15" s="39"/>
      <c r="M15" s="898"/>
      <c r="N15" s="1120"/>
      <c r="O15" s="1315"/>
      <c r="P15" s="1352"/>
      <c r="Q15" s="1367"/>
    </row>
    <row r="16" spans="1:26" ht="21.75" customHeight="1">
      <c r="A16" s="34"/>
      <c r="B16" s="35"/>
      <c r="C16" s="35" t="s">
        <v>41</v>
      </c>
      <c r="D16" s="41" t="s">
        <v>44</v>
      </c>
      <c r="E16" s="42"/>
      <c r="F16" s="1106"/>
      <c r="G16" s="1082"/>
      <c r="H16" s="39"/>
      <c r="I16" s="44"/>
      <c r="J16" s="38"/>
      <c r="K16" s="39"/>
      <c r="L16" s="39"/>
      <c r="M16" s="898"/>
      <c r="N16" s="1120"/>
      <c r="O16" s="1315"/>
      <c r="P16" s="1352"/>
      <c r="Q16" s="1368"/>
    </row>
    <row r="17" spans="1:17" ht="21.75" customHeight="1" thickBot="1">
      <c r="A17" s="49"/>
      <c r="B17" s="50" t="s">
        <v>45</v>
      </c>
      <c r="C17" s="1714" t="s">
        <v>46</v>
      </c>
      <c r="D17" s="1714"/>
      <c r="E17" s="51" t="s">
        <v>47</v>
      </c>
      <c r="F17" s="1106"/>
      <c r="G17" s="1095">
        <f>'3.sz.m Önk  bev.'!G20</f>
        <v>272164</v>
      </c>
      <c r="H17" s="1095">
        <f>'3.sz.m Önk  bev.'!H20</f>
        <v>272164</v>
      </c>
      <c r="I17" s="1095">
        <f>'3.sz.m Önk  bev.'!I20</f>
        <v>246413</v>
      </c>
      <c r="J17" s="38"/>
      <c r="K17" s="52">
        <v>272164</v>
      </c>
      <c r="L17" s="52">
        <v>272164</v>
      </c>
      <c r="M17" s="899">
        <v>246413</v>
      </c>
      <c r="N17" s="1121"/>
      <c r="O17" s="1318"/>
      <c r="P17" s="1353"/>
      <c r="Q17" s="1369"/>
    </row>
    <row r="18" spans="1:17" ht="21.75" customHeight="1" thickBot="1">
      <c r="A18" s="21" t="s">
        <v>48</v>
      </c>
      <c r="B18" s="1699" t="s">
        <v>49</v>
      </c>
      <c r="C18" s="1699"/>
      <c r="D18" s="1699"/>
      <c r="E18" s="22" t="s">
        <v>50</v>
      </c>
      <c r="F18" s="1104">
        <f t="shared" ref="F18:K18" si="1">F19+F20+F21+F26+F27+F28+F29+F25</f>
        <v>7416961</v>
      </c>
      <c r="G18" s="1080">
        <f t="shared" si="1"/>
        <v>9471454</v>
      </c>
      <c r="H18" s="23">
        <f t="shared" si="1"/>
        <v>9685352</v>
      </c>
      <c r="I18" s="23">
        <f t="shared" si="1"/>
        <v>7383471</v>
      </c>
      <c r="J18" s="23">
        <f t="shared" si="1"/>
        <v>7416961</v>
      </c>
      <c r="K18" s="23">
        <f t="shared" si="1"/>
        <v>9471454</v>
      </c>
      <c r="L18" s="23">
        <f t="shared" ref="L18:Q18" si="2">L19+L20+L21+L26+L27+L28+L29</f>
        <v>5216241</v>
      </c>
      <c r="M18" s="23">
        <f t="shared" si="2"/>
        <v>4897260</v>
      </c>
      <c r="N18" s="1119">
        <f t="shared" si="2"/>
        <v>0</v>
      </c>
      <c r="O18" s="1119">
        <f t="shared" si="2"/>
        <v>0</v>
      </c>
      <c r="P18" s="1354"/>
      <c r="Q18" s="1365">
        <f t="shared" si="2"/>
        <v>0</v>
      </c>
    </row>
    <row r="19" spans="1:17" ht="21.75" customHeight="1">
      <c r="A19" s="54"/>
      <c r="B19" s="55" t="s">
        <v>51</v>
      </c>
      <c r="C19" s="1700" t="s">
        <v>52</v>
      </c>
      <c r="D19" s="1700"/>
      <c r="E19" s="57" t="s">
        <v>53</v>
      </c>
      <c r="F19" s="1107">
        <f>'3.sz.m Önk  bev.'!F22</f>
        <v>2274000</v>
      </c>
      <c r="G19" s="1096">
        <f>'3.sz.m Önk  bev.'!G22</f>
        <v>2274000</v>
      </c>
      <c r="H19" s="1096">
        <f>'3.sz.m Önk  bev.'!H22</f>
        <v>2247368</v>
      </c>
      <c r="I19" s="1096">
        <f>'3.sz.m Önk  bev.'!I22</f>
        <v>2167680</v>
      </c>
      <c r="J19" s="58">
        <v>2274000</v>
      </c>
      <c r="K19" s="33">
        <v>2274000</v>
      </c>
      <c r="L19" s="33">
        <v>2247368</v>
      </c>
      <c r="M19" s="59">
        <v>2167680</v>
      </c>
      <c r="N19" s="58"/>
      <c r="O19" s="33"/>
      <c r="P19" s="1302"/>
      <c r="Q19" s="1366"/>
    </row>
    <row r="20" spans="1:17" ht="21.75" customHeight="1">
      <c r="A20" s="34"/>
      <c r="B20" s="35" t="s">
        <v>54</v>
      </c>
      <c r="C20" s="1702" t="s">
        <v>55</v>
      </c>
      <c r="D20" s="1702"/>
      <c r="E20" s="37" t="s">
        <v>56</v>
      </c>
      <c r="F20" s="1108">
        <f>'3.sz.m Önk  bev.'!F23</f>
        <v>180000</v>
      </c>
      <c r="G20" s="1097">
        <f>'3.sz.m Önk  bev.'!G23</f>
        <v>1799960</v>
      </c>
      <c r="H20" s="1097">
        <f>'3.sz.m Önk  bev.'!H23</f>
        <v>1799960</v>
      </c>
      <c r="I20" s="1097">
        <f>'3.sz.m Önk  bev.'!I23</f>
        <v>1617079</v>
      </c>
      <c r="J20" s="61">
        <v>180000</v>
      </c>
      <c r="K20" s="62">
        <v>1799960</v>
      </c>
      <c r="L20" s="62">
        <v>1799960</v>
      </c>
      <c r="M20" s="62">
        <v>1617079</v>
      </c>
      <c r="N20" s="61"/>
      <c r="O20" s="62"/>
      <c r="P20" s="1303"/>
      <c r="Q20" s="1367"/>
    </row>
    <row r="21" spans="1:17" ht="21.75" customHeight="1">
      <c r="A21" s="34"/>
      <c r="B21" s="35" t="s">
        <v>57</v>
      </c>
      <c r="C21" s="1702" t="s">
        <v>58</v>
      </c>
      <c r="D21" s="1702"/>
      <c r="E21" s="37" t="s">
        <v>59</v>
      </c>
      <c r="F21" s="1108">
        <f>'3.sz.m Önk  bev.'!F24</f>
        <v>320000</v>
      </c>
      <c r="G21" s="1097">
        <f>'3.sz.m Önk  bev.'!G24</f>
        <v>505000</v>
      </c>
      <c r="H21" s="1097">
        <f>'3.sz.m Önk  bev.'!H24</f>
        <v>531632</v>
      </c>
      <c r="I21" s="1097">
        <f>'3.sz.m Önk  bev.'!I24</f>
        <v>531632</v>
      </c>
      <c r="J21" s="61">
        <v>320000</v>
      </c>
      <c r="K21" s="62">
        <v>505000</v>
      </c>
      <c r="L21" s="62">
        <v>531632</v>
      </c>
      <c r="M21" s="62">
        <v>531632</v>
      </c>
      <c r="N21" s="61"/>
      <c r="O21" s="62"/>
      <c r="P21" s="1303"/>
      <c r="Q21" s="1367"/>
    </row>
    <row r="22" spans="1:17" ht="21.75" customHeight="1">
      <c r="A22" s="34"/>
      <c r="B22" s="35"/>
      <c r="C22" s="35" t="s">
        <v>60</v>
      </c>
      <c r="D22" s="36" t="s">
        <v>61</v>
      </c>
      <c r="E22" s="37"/>
      <c r="F22" s="1108"/>
      <c r="G22" s="1097"/>
      <c r="H22" s="62"/>
      <c r="I22" s="62"/>
      <c r="J22" s="61"/>
      <c r="K22" s="62"/>
      <c r="L22" s="62"/>
      <c r="M22" s="62"/>
      <c r="N22" s="61"/>
      <c r="O22" s="62"/>
      <c r="P22" s="1303"/>
      <c r="Q22" s="1367"/>
    </row>
    <row r="23" spans="1:17" ht="41.25" customHeight="1">
      <c r="A23" s="34"/>
      <c r="B23" s="35"/>
      <c r="C23" s="35" t="s">
        <v>62</v>
      </c>
      <c r="D23" s="36" t="s">
        <v>63</v>
      </c>
      <c r="E23" s="37"/>
      <c r="F23" s="1108"/>
      <c r="G23" s="1097"/>
      <c r="H23" s="62"/>
      <c r="I23" s="62"/>
      <c r="J23" s="61"/>
      <c r="K23" s="62"/>
      <c r="L23" s="62"/>
      <c r="M23" s="62"/>
      <c r="N23" s="61"/>
      <c r="O23" s="62"/>
      <c r="P23" s="1303"/>
      <c r="Q23" s="1367"/>
    </row>
    <row r="24" spans="1:17" ht="21.75" customHeight="1">
      <c r="A24" s="34"/>
      <c r="B24" s="35"/>
      <c r="C24" s="35" t="s">
        <v>64</v>
      </c>
      <c r="D24" s="36" t="s">
        <v>65</v>
      </c>
      <c r="E24" s="37"/>
      <c r="F24" s="1108"/>
      <c r="G24" s="1097"/>
      <c r="H24" s="62"/>
      <c r="I24" s="62"/>
      <c r="J24" s="61"/>
      <c r="K24" s="62"/>
      <c r="L24" s="62"/>
      <c r="M24" s="62"/>
      <c r="N24" s="61"/>
      <c r="O24" s="62"/>
      <c r="P24" s="1303"/>
      <c r="Q24" s="1367"/>
    </row>
    <row r="25" spans="1:17" ht="21.75" customHeight="1">
      <c r="A25" s="34"/>
      <c r="B25" s="35" t="s">
        <v>66</v>
      </c>
      <c r="C25" s="1704" t="s">
        <v>508</v>
      </c>
      <c r="D25" s="1705"/>
      <c r="E25" s="37" t="s">
        <v>509</v>
      </c>
      <c r="F25" s="1108">
        <f>'3.sz.m Önk  bev.'!F28+'5. sz. m óvoda'!J10</f>
        <v>4469111</v>
      </c>
      <c r="G25" s="1097">
        <f>'3.sz.m Önk  bev.'!G28+'5. sz. m óvoda'!K10</f>
        <v>4469111</v>
      </c>
      <c r="H25" s="1097">
        <f>'3.sz.m Önk  bev.'!H28+'5. sz. m óvoda'!L10</f>
        <v>4469111</v>
      </c>
      <c r="I25" s="1097">
        <f>'3.sz.m Önk  bev.'!I28+'5. sz. m óvoda'!M10</f>
        <v>2486211</v>
      </c>
      <c r="J25" s="61">
        <v>4469111</v>
      </c>
      <c r="K25" s="62">
        <v>4469111</v>
      </c>
      <c r="L25" s="62">
        <v>4469111</v>
      </c>
      <c r="M25" s="62">
        <v>2486211</v>
      </c>
      <c r="N25" s="61"/>
      <c r="O25" s="62"/>
      <c r="P25" s="1303"/>
      <c r="Q25" s="1367"/>
    </row>
    <row r="26" spans="1:17" ht="21.75" customHeight="1">
      <c r="A26" s="34"/>
      <c r="B26" s="35" t="s">
        <v>66</v>
      </c>
      <c r="C26" s="1702" t="s">
        <v>67</v>
      </c>
      <c r="D26" s="1702"/>
      <c r="E26" s="37" t="s">
        <v>511</v>
      </c>
      <c r="F26" s="1108">
        <f>'3.sz.m Önk  bev.'!F29+'5. sz. m óvoda'!J11</f>
        <v>173850</v>
      </c>
      <c r="G26" s="1097">
        <f>'3.sz.m Önk  bev.'!G29+'5. sz. m óvoda'!K11</f>
        <v>173850</v>
      </c>
      <c r="H26" s="1097">
        <f>'3.sz.m Önk  bev.'!H29+'5. sz. m óvoda'!L11</f>
        <v>173850</v>
      </c>
      <c r="I26" s="1097">
        <f>'3.sz.m Önk  bev.'!I29+'5. sz. m óvoda'!M11</f>
        <v>117438</v>
      </c>
      <c r="J26" s="61">
        <v>173850</v>
      </c>
      <c r="K26" s="62">
        <v>173850</v>
      </c>
      <c r="L26" s="62">
        <v>173850</v>
      </c>
      <c r="M26" s="62">
        <v>117438</v>
      </c>
      <c r="N26" s="61"/>
      <c r="O26" s="62"/>
      <c r="P26" s="1303"/>
      <c r="Q26" s="1367"/>
    </row>
    <row r="27" spans="1:17" ht="21.75" customHeight="1">
      <c r="A27" s="64"/>
      <c r="B27" s="65" t="s">
        <v>68</v>
      </c>
      <c r="C27" s="1702" t="s">
        <v>69</v>
      </c>
      <c r="D27" s="1702"/>
      <c r="E27" s="37"/>
      <c r="F27" s="1108"/>
      <c r="G27" s="1097"/>
      <c r="H27" s="62"/>
      <c r="I27" s="62"/>
      <c r="J27" s="61"/>
      <c r="K27" s="62"/>
      <c r="L27" s="62"/>
      <c r="M27" s="62"/>
      <c r="N27" s="61"/>
      <c r="O27" s="62"/>
      <c r="P27" s="1303"/>
      <c r="Q27" s="1367"/>
    </row>
    <row r="28" spans="1:17" ht="21.75" customHeight="1">
      <c r="A28" s="64"/>
      <c r="B28" s="65" t="s">
        <v>70</v>
      </c>
      <c r="C28" s="1702" t="s">
        <v>71</v>
      </c>
      <c r="D28" s="1702"/>
      <c r="E28" s="37" t="s">
        <v>72</v>
      </c>
      <c r="F28" s="1108"/>
      <c r="G28" s="1097">
        <f>'3.sz.m Önk  bev.'!G31+'Vitnyédi KÖH'!K10+'5. sz. m óvoda'!K12</f>
        <v>225863</v>
      </c>
      <c r="H28" s="1097">
        <f>'3.sz.m Önk  bev.'!H31+'Vitnyédi KÖH'!L10+'5. sz. m óvoda'!L12</f>
        <v>433780</v>
      </c>
      <c r="I28" s="1097">
        <f>'3.sz.m Önk  bev.'!I31+'Vitnyédi KÖH'!M10+'5. sz. m óvoda'!M12</f>
        <v>433780</v>
      </c>
      <c r="J28" s="61"/>
      <c r="K28" s="62">
        <v>225863</v>
      </c>
      <c r="L28" s="62">
        <v>433780</v>
      </c>
      <c r="M28" s="62">
        <v>433780</v>
      </c>
      <c r="N28" s="61"/>
      <c r="O28" s="62"/>
      <c r="P28" s="1303"/>
      <c r="Q28" s="1367"/>
    </row>
    <row r="29" spans="1:17" ht="21.75" customHeight="1" thickBot="1">
      <c r="A29" s="64"/>
      <c r="B29" s="65" t="s">
        <v>73</v>
      </c>
      <c r="C29" s="1703" t="s">
        <v>74</v>
      </c>
      <c r="D29" s="1703"/>
      <c r="E29" s="66" t="s">
        <v>75</v>
      </c>
      <c r="F29" s="1108"/>
      <c r="G29" s="1097">
        <f>'3.sz.m Önk  bev.'!G32+'Vitnyédi KÖH'!K11+'5. sz. m óvoda'!K13</f>
        <v>23670</v>
      </c>
      <c r="H29" s="1097">
        <f>'3.sz.m Önk  bev.'!H32+'Vitnyédi KÖH'!L11+'5. sz. m óvoda'!L13</f>
        <v>29651</v>
      </c>
      <c r="I29" s="1097">
        <f>'3.sz.m Önk  bev.'!I32+'Vitnyédi KÖH'!M11+'5. sz. m óvoda'!M13</f>
        <v>29651</v>
      </c>
      <c r="J29" s="61"/>
      <c r="K29" s="62">
        <v>23670</v>
      </c>
      <c r="L29" s="62">
        <v>29651</v>
      </c>
      <c r="M29" s="62">
        <v>29651</v>
      </c>
      <c r="N29" s="80"/>
      <c r="O29" s="81"/>
      <c r="P29" s="1304"/>
      <c r="Q29" s="1369"/>
    </row>
    <row r="30" spans="1:17" ht="21.75" customHeight="1" thickBot="1">
      <c r="A30" s="67" t="s">
        <v>76</v>
      </c>
      <c r="B30" s="1699" t="s">
        <v>77</v>
      </c>
      <c r="C30" s="1699"/>
      <c r="D30" s="1699"/>
      <c r="E30" s="22" t="s">
        <v>78</v>
      </c>
      <c r="F30" s="1109">
        <f t="shared" ref="F30:Q30" si="3">F31+F32+F33+F34</f>
        <v>140238701</v>
      </c>
      <c r="G30" s="881">
        <f t="shared" si="3"/>
        <v>141046133</v>
      </c>
      <c r="H30" s="68">
        <f t="shared" si="3"/>
        <v>144127740</v>
      </c>
      <c r="I30" s="68">
        <f t="shared" si="3"/>
        <v>142375151</v>
      </c>
      <c r="J30" s="68">
        <f t="shared" si="3"/>
        <v>140238701</v>
      </c>
      <c r="K30" s="68">
        <f t="shared" si="3"/>
        <v>141046133</v>
      </c>
      <c r="L30" s="68">
        <f t="shared" si="3"/>
        <v>144127740</v>
      </c>
      <c r="M30" s="874">
        <f t="shared" si="3"/>
        <v>142375151</v>
      </c>
      <c r="N30" s="1319">
        <f t="shared" si="3"/>
        <v>0</v>
      </c>
      <c r="O30" s="1320">
        <f t="shared" si="3"/>
        <v>0</v>
      </c>
      <c r="P30" s="1355"/>
      <c r="Q30" s="890">
        <f t="shared" si="3"/>
        <v>0</v>
      </c>
    </row>
    <row r="31" spans="1:17" ht="21.75" customHeight="1">
      <c r="A31" s="54"/>
      <c r="B31" s="65" t="s">
        <v>79</v>
      </c>
      <c r="C31" s="1709" t="s">
        <v>80</v>
      </c>
      <c r="D31" s="1709"/>
      <c r="E31" s="69" t="s">
        <v>81</v>
      </c>
      <c r="F31" s="1108">
        <f>'3.sz.m Önk  bev.'!F34</f>
        <v>127367376</v>
      </c>
      <c r="G31" s="1097">
        <f>'3.sz.m Önk  bev.'!G34</f>
        <v>128174808</v>
      </c>
      <c r="H31" s="1097">
        <f>'3.sz.m Önk  bev.'!H34</f>
        <v>129102193</v>
      </c>
      <c r="I31" s="1097">
        <f>'3.sz.m Önk  bev.'!I34</f>
        <v>129102193</v>
      </c>
      <c r="J31" s="61">
        <v>127367376</v>
      </c>
      <c r="K31" s="1087">
        <v>128174808</v>
      </c>
      <c r="L31" s="70">
        <v>129102193</v>
      </c>
      <c r="M31" s="900">
        <v>129102193</v>
      </c>
      <c r="N31" s="1123"/>
      <c r="O31" s="1322"/>
      <c r="P31" s="1356"/>
      <c r="Q31" s="1366"/>
    </row>
    <row r="32" spans="1:17" ht="21.75" customHeight="1">
      <c r="A32" s="34"/>
      <c r="B32" s="65" t="s">
        <v>82</v>
      </c>
      <c r="C32" s="1702" t="s">
        <v>83</v>
      </c>
      <c r="D32" s="1702"/>
      <c r="E32" s="37"/>
      <c r="F32" s="1108"/>
      <c r="G32" s="1098"/>
      <c r="H32" s="72"/>
      <c r="I32" s="72"/>
      <c r="J32" s="61"/>
      <c r="K32" s="72"/>
      <c r="L32" s="72"/>
      <c r="M32" s="901"/>
      <c r="N32" s="1124"/>
      <c r="O32" s="1321"/>
      <c r="P32" s="1357"/>
      <c r="Q32" s="1367"/>
    </row>
    <row r="33" spans="1:17" ht="21.75" customHeight="1">
      <c r="A33" s="34"/>
      <c r="B33" s="65" t="s">
        <v>84</v>
      </c>
      <c r="C33" s="1702" t="s">
        <v>85</v>
      </c>
      <c r="D33" s="1702"/>
      <c r="E33" s="37"/>
      <c r="F33" s="1108"/>
      <c r="G33" s="1098"/>
      <c r="H33" s="72"/>
      <c r="I33" s="72"/>
      <c r="J33" s="61"/>
      <c r="K33" s="72"/>
      <c r="L33" s="72"/>
      <c r="M33" s="901"/>
      <c r="N33" s="1124"/>
      <c r="O33" s="1321"/>
      <c r="P33" s="1357"/>
      <c r="Q33" s="1367"/>
    </row>
    <row r="34" spans="1:17" ht="21.75" customHeight="1">
      <c r="A34" s="34"/>
      <c r="B34" s="65" t="s">
        <v>86</v>
      </c>
      <c r="C34" s="1702" t="s">
        <v>87</v>
      </c>
      <c r="D34" s="1702"/>
      <c r="E34" s="37" t="s">
        <v>88</v>
      </c>
      <c r="F34" s="1108">
        <f>'3.sz.m Önk  bev.'!F37+'Vitnyédi KÖH'!J13</f>
        <v>12871325</v>
      </c>
      <c r="G34" s="1097">
        <f>'3.sz.m Önk  bev.'!G37+'Vitnyédi KÖH'!K13</f>
        <v>12871325</v>
      </c>
      <c r="H34" s="1097">
        <f>'3.sz.m Önk  bev.'!H37+'Vitnyédi KÖH'!L13</f>
        <v>15025547</v>
      </c>
      <c r="I34" s="1097">
        <f>'3.sz.m Önk  bev.'!I37+'Vitnyédi KÖH'!M13</f>
        <v>13272958</v>
      </c>
      <c r="J34" s="61">
        <v>12871325</v>
      </c>
      <c r="K34" s="1088">
        <v>12871325</v>
      </c>
      <c r="L34" s="72">
        <v>15025547</v>
      </c>
      <c r="M34" s="901">
        <v>13272958</v>
      </c>
      <c r="N34" s="1124"/>
      <c r="O34" s="1321"/>
      <c r="P34" s="1357"/>
      <c r="Q34" s="1367"/>
    </row>
    <row r="35" spans="1:17" ht="33" customHeight="1">
      <c r="A35" s="34"/>
      <c r="B35" s="65"/>
      <c r="C35" s="55" t="s">
        <v>89</v>
      </c>
      <c r="D35" s="56" t="s">
        <v>90</v>
      </c>
      <c r="E35" s="57"/>
      <c r="F35" s="1108"/>
      <c r="G35" s="1098"/>
      <c r="H35" s="72"/>
      <c r="I35" s="72"/>
      <c r="J35" s="61"/>
      <c r="K35" s="72"/>
      <c r="L35" s="72"/>
      <c r="M35" s="901"/>
      <c r="N35" s="1124"/>
      <c r="O35" s="1321"/>
      <c r="P35" s="1357"/>
      <c r="Q35" s="1367"/>
    </row>
    <row r="36" spans="1:17" ht="21.75" customHeight="1">
      <c r="A36" s="34"/>
      <c r="B36" s="65"/>
      <c r="C36" s="35" t="s">
        <v>91</v>
      </c>
      <c r="D36" s="36" t="s">
        <v>92</v>
      </c>
      <c r="E36" s="37"/>
      <c r="F36" s="1108">
        <f>'3.sz.m Önk  bev.'!F39</f>
        <v>0</v>
      </c>
      <c r="G36" s="1097">
        <f>'3.sz.m Önk  bev.'!G39</f>
        <v>0</v>
      </c>
      <c r="H36" s="72"/>
      <c r="I36" s="72"/>
      <c r="J36" s="61"/>
      <c r="K36" s="72"/>
      <c r="L36" s="72"/>
      <c r="M36" s="901"/>
      <c r="N36" s="1124"/>
      <c r="O36" s="1321"/>
      <c r="P36" s="1357"/>
      <c r="Q36" s="1367"/>
    </row>
    <row r="37" spans="1:17" ht="21.75" customHeight="1" thickBot="1">
      <c r="A37" s="34"/>
      <c r="B37" s="65"/>
      <c r="C37" s="35" t="s">
        <v>93</v>
      </c>
      <c r="D37" s="36" t="s">
        <v>94</v>
      </c>
      <c r="E37" s="37"/>
      <c r="F37" s="1108">
        <f>'3.sz.m Önk  bev.'!F40</f>
        <v>0</v>
      </c>
      <c r="G37" s="1097">
        <f>'3.sz.m Önk  bev.'!G40</f>
        <v>0</v>
      </c>
      <c r="H37" s="73"/>
      <c r="I37" s="73"/>
      <c r="J37" s="61"/>
      <c r="K37" s="73"/>
      <c r="L37" s="73"/>
      <c r="M37" s="902"/>
      <c r="N37" s="1125"/>
      <c r="O37" s="1323"/>
      <c r="P37" s="1358"/>
      <c r="Q37" s="1369"/>
    </row>
    <row r="38" spans="1:17" ht="21.75" customHeight="1" thickBot="1">
      <c r="A38" s="67" t="s">
        <v>95</v>
      </c>
      <c r="B38" s="1699" t="s">
        <v>96</v>
      </c>
      <c r="C38" s="1699"/>
      <c r="D38" s="1699"/>
      <c r="E38" s="22" t="s">
        <v>97</v>
      </c>
      <c r="F38" s="1109">
        <f>F39+F41+F40</f>
        <v>5399991</v>
      </c>
      <c r="G38" s="881">
        <f>G39+G41+G40</f>
        <v>71342375</v>
      </c>
      <c r="H38" s="68">
        <f>H39+H41+H40</f>
        <v>77138921</v>
      </c>
      <c r="I38" s="68">
        <f>I39+I41+I40</f>
        <v>77138921</v>
      </c>
      <c r="J38" s="68">
        <f>J39+J41+J40</f>
        <v>5399991</v>
      </c>
      <c r="K38" s="68">
        <f t="shared" ref="K38:Q38" si="4">K39+K41</f>
        <v>71342375</v>
      </c>
      <c r="L38" s="68">
        <f t="shared" si="4"/>
        <v>77138921</v>
      </c>
      <c r="M38" s="68">
        <f t="shared" si="4"/>
        <v>77138921</v>
      </c>
      <c r="N38" s="1122">
        <f t="shared" si="4"/>
        <v>0</v>
      </c>
      <c r="O38" s="1122">
        <f t="shared" si="4"/>
        <v>0</v>
      </c>
      <c r="P38" s="1359"/>
      <c r="Q38" s="890">
        <f t="shared" si="4"/>
        <v>0</v>
      </c>
    </row>
    <row r="39" spans="1:17" ht="21.75" customHeight="1">
      <c r="A39" s="54"/>
      <c r="B39" s="74" t="s">
        <v>98</v>
      </c>
      <c r="C39" s="1700" t="s">
        <v>99</v>
      </c>
      <c r="D39" s="1700"/>
      <c r="E39" s="57" t="s">
        <v>100</v>
      </c>
      <c r="F39" s="1108">
        <f>'3.sz.m Önk  bev.'!F42</f>
        <v>0</v>
      </c>
      <c r="G39" s="1097">
        <f>'3.sz.m Önk  bev.'!G42</f>
        <v>0</v>
      </c>
      <c r="H39" s="75"/>
      <c r="I39" s="75"/>
      <c r="J39" s="76"/>
      <c r="K39" s="75"/>
      <c r="L39" s="75"/>
      <c r="M39" s="75"/>
      <c r="N39" s="76"/>
      <c r="O39" s="75"/>
      <c r="P39" s="1305"/>
      <c r="Q39" s="1366"/>
    </row>
    <row r="40" spans="1:17" ht="39" customHeight="1">
      <c r="A40" s="54"/>
      <c r="B40" s="74" t="s">
        <v>101</v>
      </c>
      <c r="C40" s="1702" t="s">
        <v>528</v>
      </c>
      <c r="D40" s="1706"/>
      <c r="E40" s="57" t="s">
        <v>527</v>
      </c>
      <c r="F40" s="1108"/>
      <c r="G40" s="1099"/>
      <c r="H40" s="75"/>
      <c r="I40" s="75"/>
      <c r="J40" s="76"/>
      <c r="K40" s="75"/>
      <c r="L40" s="75"/>
      <c r="M40" s="75"/>
      <c r="N40" s="76"/>
      <c r="O40" s="75"/>
      <c r="P40" s="1305"/>
      <c r="Q40" s="1370"/>
    </row>
    <row r="41" spans="1:17" ht="21.75" customHeight="1">
      <c r="A41" s="34"/>
      <c r="B41" s="78" t="s">
        <v>529</v>
      </c>
      <c r="C41" s="1702" t="s">
        <v>102</v>
      </c>
      <c r="D41" s="1702"/>
      <c r="E41" s="37" t="s">
        <v>103</v>
      </c>
      <c r="F41" s="1108">
        <f>'3.sz.m Önk  bev.'!F44</f>
        <v>5399991</v>
      </c>
      <c r="G41" s="1097">
        <f>'3.sz.m Önk  bev.'!G44</f>
        <v>71342375</v>
      </c>
      <c r="H41" s="1097">
        <f>'3.sz.m Önk  bev.'!H44</f>
        <v>77138921</v>
      </c>
      <c r="I41" s="1097">
        <f>'3.sz.m Önk  bev.'!I44</f>
        <v>77138921</v>
      </c>
      <c r="J41" s="61">
        <v>5399991</v>
      </c>
      <c r="K41" s="62">
        <v>71342375</v>
      </c>
      <c r="L41" s="62">
        <v>77138921</v>
      </c>
      <c r="M41" s="62">
        <v>77138921</v>
      </c>
      <c r="N41" s="61"/>
      <c r="O41" s="62"/>
      <c r="P41" s="1303"/>
      <c r="Q41" s="1367"/>
    </row>
    <row r="42" spans="1:17" ht="37.5" customHeight="1">
      <c r="A42" s="34"/>
      <c r="B42" s="74"/>
      <c r="C42" s="55" t="s">
        <v>530</v>
      </c>
      <c r="D42" s="56" t="s">
        <v>90</v>
      </c>
      <c r="E42" s="57"/>
      <c r="F42" s="1108"/>
      <c r="G42" s="1097"/>
      <c r="H42" s="62"/>
      <c r="I42" s="62"/>
      <c r="J42" s="61"/>
      <c r="K42" s="62"/>
      <c r="L42" s="62"/>
      <c r="M42" s="62"/>
      <c r="N42" s="61"/>
      <c r="O42" s="62"/>
      <c r="P42" s="1303"/>
      <c r="Q42" s="1367"/>
    </row>
    <row r="43" spans="1:17" ht="21.75" customHeight="1">
      <c r="A43" s="34"/>
      <c r="B43" s="78"/>
      <c r="C43" s="35" t="s">
        <v>531</v>
      </c>
      <c r="D43" s="56" t="s">
        <v>92</v>
      </c>
      <c r="E43" s="57"/>
      <c r="F43" s="1108"/>
      <c r="G43" s="1097"/>
      <c r="H43" s="62"/>
      <c r="I43" s="79"/>
      <c r="J43" s="61"/>
      <c r="K43" s="62"/>
      <c r="L43" s="62"/>
      <c r="M43" s="79"/>
      <c r="N43" s="61"/>
      <c r="O43" s="62"/>
      <c r="P43" s="1303"/>
      <c r="Q43" s="1367"/>
    </row>
    <row r="44" spans="1:17" ht="21.75" customHeight="1" thickBot="1">
      <c r="A44" s="64"/>
      <c r="B44" s="74"/>
      <c r="C44" s="55" t="s">
        <v>532</v>
      </c>
      <c r="D44" s="56" t="s">
        <v>104</v>
      </c>
      <c r="E44" s="57"/>
      <c r="F44" s="1108"/>
      <c r="G44" s="1097"/>
      <c r="H44" s="62"/>
      <c r="I44" s="79"/>
      <c r="J44" s="61"/>
      <c r="K44" s="62"/>
      <c r="L44" s="62"/>
      <c r="M44" s="79"/>
      <c r="N44" s="80"/>
      <c r="O44" s="81"/>
      <c r="P44" s="1304"/>
      <c r="Q44" s="1369"/>
    </row>
    <row r="45" spans="1:17" ht="21.75" hidden="1" customHeight="1" thickBot="1">
      <c r="A45" s="82"/>
      <c r="B45" s="78"/>
      <c r="C45" s="1702"/>
      <c r="D45" s="1702"/>
      <c r="E45" s="37"/>
      <c r="F45" s="1108"/>
      <c r="G45" s="1097"/>
      <c r="H45" s="62"/>
      <c r="I45" s="79"/>
      <c r="J45" s="61"/>
      <c r="K45" s="62"/>
      <c r="L45" s="62"/>
      <c r="M45" s="79"/>
      <c r="N45" s="83"/>
      <c r="O45" s="84"/>
      <c r="P45" s="1306"/>
      <c r="Q45" s="1371"/>
    </row>
    <row r="46" spans="1:17" ht="21.75" hidden="1" customHeight="1" thickBot="1">
      <c r="A46" s="82"/>
      <c r="B46" s="74"/>
      <c r="C46" s="1707"/>
      <c r="D46" s="1707"/>
      <c r="E46" s="85"/>
      <c r="F46" s="1110"/>
      <c r="G46" s="1100"/>
      <c r="H46" s="87"/>
      <c r="I46" s="88"/>
      <c r="J46" s="86"/>
      <c r="K46" s="87"/>
      <c r="L46" s="87"/>
      <c r="M46" s="88"/>
      <c r="N46" s="83"/>
      <c r="O46" s="84"/>
      <c r="P46" s="1306"/>
      <c r="Q46" s="1371"/>
    </row>
    <row r="47" spans="1:17" ht="21.75" customHeight="1" thickBot="1">
      <c r="A47" s="67" t="s">
        <v>105</v>
      </c>
      <c r="B47" s="1699" t="s">
        <v>106</v>
      </c>
      <c r="C47" s="1699"/>
      <c r="D47" s="1699"/>
      <c r="E47" s="22"/>
      <c r="F47" s="1109">
        <f t="shared" ref="F47:Q47" si="5">F48+F49</f>
        <v>0</v>
      </c>
      <c r="G47" s="881">
        <f t="shared" si="5"/>
        <v>807052</v>
      </c>
      <c r="H47" s="68">
        <f t="shared" si="5"/>
        <v>807052</v>
      </c>
      <c r="I47" s="68">
        <f t="shared" si="5"/>
        <v>807052</v>
      </c>
      <c r="J47" s="68">
        <f t="shared" si="5"/>
        <v>0</v>
      </c>
      <c r="K47" s="68">
        <f t="shared" si="5"/>
        <v>0</v>
      </c>
      <c r="L47" s="68">
        <f t="shared" si="5"/>
        <v>0</v>
      </c>
      <c r="M47" s="68">
        <f t="shared" si="5"/>
        <v>0</v>
      </c>
      <c r="N47" s="68">
        <f t="shared" si="5"/>
        <v>0</v>
      </c>
      <c r="O47" s="68">
        <f t="shared" si="5"/>
        <v>807052</v>
      </c>
      <c r="P47" s="874">
        <f t="shared" si="5"/>
        <v>807052</v>
      </c>
      <c r="Q47" s="890">
        <f t="shared" si="5"/>
        <v>807052</v>
      </c>
    </row>
    <row r="48" spans="1:17" s="26" customFormat="1" ht="21.75" customHeight="1">
      <c r="A48" s="89"/>
      <c r="B48" s="74" t="s">
        <v>107</v>
      </c>
      <c r="C48" s="1700" t="s">
        <v>108</v>
      </c>
      <c r="D48" s="1700"/>
      <c r="E48" s="57" t="s">
        <v>109</v>
      </c>
      <c r="F48" s="1108"/>
      <c r="G48" s="1101">
        <f>'3.sz.m Önk  bev.'!G51</f>
        <v>374500</v>
      </c>
      <c r="H48" s="1101">
        <f>'3.sz.m Önk  bev.'!H51</f>
        <v>374500</v>
      </c>
      <c r="I48" s="1101">
        <f>'3.sz.m Önk  bev.'!I51</f>
        <v>374500</v>
      </c>
      <c r="J48" s="76"/>
      <c r="K48" s="90"/>
      <c r="L48" s="90"/>
      <c r="M48" s="90"/>
      <c r="N48" s="91"/>
      <c r="O48" s="1089">
        <v>374500</v>
      </c>
      <c r="P48" s="1307">
        <v>374500</v>
      </c>
      <c r="Q48" s="1372">
        <v>374500</v>
      </c>
    </row>
    <row r="49" spans="1:17" ht="21.75" customHeight="1" thickBot="1">
      <c r="A49" s="34"/>
      <c r="B49" s="35" t="s">
        <v>110</v>
      </c>
      <c r="C49" s="1702" t="s">
        <v>111</v>
      </c>
      <c r="D49" s="1702"/>
      <c r="E49" s="37" t="s">
        <v>112</v>
      </c>
      <c r="F49" s="1108"/>
      <c r="G49" s="1102">
        <f>'3.sz.m Önk  bev.'!G52</f>
        <v>432552</v>
      </c>
      <c r="H49" s="1102">
        <f>'3.sz.m Önk  bev.'!H52</f>
        <v>432552</v>
      </c>
      <c r="I49" s="1102">
        <f>'3.sz.m Önk  bev.'!I52</f>
        <v>432552</v>
      </c>
      <c r="J49" s="94"/>
      <c r="K49" s="93"/>
      <c r="L49" s="93"/>
      <c r="M49" s="93"/>
      <c r="N49" s="94"/>
      <c r="O49" s="1090">
        <v>432552</v>
      </c>
      <c r="P49" s="1308">
        <v>432552</v>
      </c>
      <c r="Q49" s="1373">
        <v>432552</v>
      </c>
    </row>
    <row r="50" spans="1:17" ht="21.75" customHeight="1" thickBot="1">
      <c r="A50" s="67" t="s">
        <v>113</v>
      </c>
      <c r="B50" s="1699" t="s">
        <v>114</v>
      </c>
      <c r="C50" s="1699"/>
      <c r="D50" s="1699"/>
      <c r="E50" s="22" t="s">
        <v>115</v>
      </c>
      <c r="F50" s="1111">
        <f t="shared" ref="F50:Q50" si="6">F51+F52</f>
        <v>0</v>
      </c>
      <c r="G50" s="875">
        <f t="shared" si="6"/>
        <v>0</v>
      </c>
      <c r="H50" s="96">
        <f t="shared" si="6"/>
        <v>0</v>
      </c>
      <c r="I50" s="96">
        <f t="shared" si="6"/>
        <v>0</v>
      </c>
      <c r="J50" s="96">
        <f t="shared" si="6"/>
        <v>0</v>
      </c>
      <c r="K50" s="96">
        <f t="shared" si="6"/>
        <v>0</v>
      </c>
      <c r="L50" s="96">
        <f t="shared" si="6"/>
        <v>0</v>
      </c>
      <c r="M50" s="96">
        <f t="shared" si="6"/>
        <v>0</v>
      </c>
      <c r="N50" s="96">
        <f t="shared" si="6"/>
        <v>0</v>
      </c>
      <c r="O50" s="96">
        <f t="shared" si="6"/>
        <v>0</v>
      </c>
      <c r="P50" s="870"/>
      <c r="Q50" s="883">
        <f t="shared" si="6"/>
        <v>0</v>
      </c>
    </row>
    <row r="51" spans="1:17" s="26" customFormat="1" ht="21.75" customHeight="1">
      <c r="A51" s="89"/>
      <c r="B51" s="55" t="s">
        <v>116</v>
      </c>
      <c r="C51" s="1700" t="s">
        <v>117</v>
      </c>
      <c r="D51" s="1700"/>
      <c r="E51" s="57" t="s">
        <v>118</v>
      </c>
      <c r="F51" s="1112"/>
      <c r="G51" s="1103"/>
      <c r="H51" s="98"/>
      <c r="I51" s="98"/>
      <c r="J51" s="97"/>
      <c r="K51" s="98"/>
      <c r="L51" s="98"/>
      <c r="M51" s="98"/>
      <c r="N51" s="97"/>
      <c r="O51" s="98"/>
      <c r="P51" s="1309"/>
      <c r="Q51" s="1374"/>
    </row>
    <row r="52" spans="1:17" ht="21.75" customHeight="1" thickBot="1">
      <c r="A52" s="64"/>
      <c r="B52" s="65" t="s">
        <v>119</v>
      </c>
      <c r="C52" s="1703" t="s">
        <v>120</v>
      </c>
      <c r="D52" s="1703"/>
      <c r="E52" s="66" t="s">
        <v>121</v>
      </c>
      <c r="F52" s="1113"/>
      <c r="G52" s="878"/>
      <c r="H52" s="101"/>
      <c r="I52" s="101"/>
      <c r="J52" s="100"/>
      <c r="K52" s="101"/>
      <c r="L52" s="101"/>
      <c r="M52" s="101"/>
      <c r="N52" s="100"/>
      <c r="O52" s="101"/>
      <c r="P52" s="1310"/>
      <c r="Q52" s="1369"/>
    </row>
    <row r="53" spans="1:17" ht="21.75" customHeight="1" thickBot="1">
      <c r="A53" s="67" t="s">
        <v>122</v>
      </c>
      <c r="B53" s="1698" t="s">
        <v>123</v>
      </c>
      <c r="C53" s="1698"/>
      <c r="D53" s="1698"/>
      <c r="E53" s="103"/>
      <c r="F53" s="1111">
        <f t="shared" ref="F53:Q53" si="7">F7+F18+F30+F38+F47+F50</f>
        <v>206755653</v>
      </c>
      <c r="G53" s="875">
        <f t="shared" si="7"/>
        <v>271339178</v>
      </c>
      <c r="H53" s="96">
        <f t="shared" si="7"/>
        <v>280431229</v>
      </c>
      <c r="I53" s="1327">
        <f t="shared" si="7"/>
        <v>274877965</v>
      </c>
      <c r="J53" s="96">
        <f t="shared" si="7"/>
        <v>206755653</v>
      </c>
      <c r="K53" s="96">
        <f t="shared" si="7"/>
        <v>270532126</v>
      </c>
      <c r="L53" s="96">
        <f t="shared" si="7"/>
        <v>275155066</v>
      </c>
      <c r="M53" s="96">
        <f t="shared" si="7"/>
        <v>271584702</v>
      </c>
      <c r="N53" s="96">
        <f t="shared" si="7"/>
        <v>0</v>
      </c>
      <c r="O53" s="96">
        <f t="shared" si="7"/>
        <v>807052</v>
      </c>
      <c r="P53" s="870">
        <f t="shared" si="7"/>
        <v>807052</v>
      </c>
      <c r="Q53" s="883">
        <f t="shared" si="7"/>
        <v>807052</v>
      </c>
    </row>
    <row r="54" spans="1:17" ht="24" customHeight="1" thickBot="1">
      <c r="A54" s="21" t="s">
        <v>124</v>
      </c>
      <c r="B54" s="1699" t="s">
        <v>125</v>
      </c>
      <c r="C54" s="1699"/>
      <c r="D54" s="1699"/>
      <c r="E54" s="22"/>
      <c r="F54" s="1325">
        <f t="shared" ref="F54:P54" si="8">F55+F56+F57</f>
        <v>179794001</v>
      </c>
      <c r="G54" s="1326">
        <f t="shared" si="8"/>
        <v>180403886</v>
      </c>
      <c r="H54" s="1360">
        <f>H55+H56+H57+H58</f>
        <v>184637736</v>
      </c>
      <c r="I54" s="1545">
        <f>I55+I56+I57+I58</f>
        <v>184637736</v>
      </c>
      <c r="J54" s="875">
        <f t="shared" si="8"/>
        <v>179794001</v>
      </c>
      <c r="K54" s="96">
        <f t="shared" si="8"/>
        <v>180403886</v>
      </c>
      <c r="L54" s="96">
        <f>L55+L56+L57+L58</f>
        <v>184637736</v>
      </c>
      <c r="M54" s="96">
        <f>M55+M56+M57+M58</f>
        <v>184637736</v>
      </c>
      <c r="N54" s="1327">
        <f t="shared" si="8"/>
        <v>0</v>
      </c>
      <c r="O54" s="1327">
        <f t="shared" si="8"/>
        <v>0</v>
      </c>
      <c r="P54" s="1360">
        <f t="shared" si="8"/>
        <v>0</v>
      </c>
      <c r="Q54" s="1375"/>
    </row>
    <row r="55" spans="1:17" ht="21.75" customHeight="1">
      <c r="A55" s="54"/>
      <c r="B55" s="55" t="s">
        <v>126</v>
      </c>
      <c r="C55" s="1700" t="s">
        <v>127</v>
      </c>
      <c r="D55" s="1700"/>
      <c r="E55" s="1324" t="s">
        <v>128</v>
      </c>
      <c r="F55" s="1331">
        <f>'3.sz.m Önk  bev.'!F58</f>
        <v>0</v>
      </c>
      <c r="G55" s="1332"/>
      <c r="H55" s="1333"/>
      <c r="I55" s="98"/>
      <c r="J55" s="980"/>
      <c r="K55" s="98"/>
      <c r="L55" s="98"/>
      <c r="M55" s="99"/>
      <c r="N55" s="1340"/>
      <c r="O55" s="1332">
        <f>SUM(O56:O57)</f>
        <v>0</v>
      </c>
      <c r="P55" s="1344"/>
      <c r="Q55" s="1347"/>
    </row>
    <row r="56" spans="1:17" ht="21.75" customHeight="1">
      <c r="A56" s="34"/>
      <c r="B56" s="78" t="s">
        <v>129</v>
      </c>
      <c r="C56" s="1700" t="s">
        <v>130</v>
      </c>
      <c r="D56" s="1700"/>
      <c r="E56" s="1324" t="s">
        <v>131</v>
      </c>
      <c r="F56" s="1334"/>
      <c r="G56" s="1330"/>
      <c r="H56" s="1335"/>
      <c r="I56" s="104"/>
      <c r="J56" s="105"/>
      <c r="K56" s="104"/>
      <c r="L56" s="104"/>
      <c r="M56" s="106"/>
      <c r="N56" s="1341"/>
      <c r="O56" s="1330"/>
      <c r="P56" s="1345"/>
      <c r="Q56" s="1348"/>
    </row>
    <row r="57" spans="1:17" ht="21.75" customHeight="1">
      <c r="A57" s="34"/>
      <c r="B57" s="78" t="s">
        <v>132</v>
      </c>
      <c r="C57" s="1700" t="s">
        <v>133</v>
      </c>
      <c r="D57" s="1700"/>
      <c r="E57" s="1324" t="s">
        <v>134</v>
      </c>
      <c r="F57" s="1334">
        <f>'3.sz.m Önk  bev.'!F60+'Vitnyédi KÖH'!J23+'5. sz. m óvoda'!J25</f>
        <v>179794001</v>
      </c>
      <c r="G57" s="1329">
        <f>'3.sz.m Önk  bev.'!G60+'Vitnyédi KÖH'!K23+'5. sz. m óvoda'!K25</f>
        <v>180403886</v>
      </c>
      <c r="H57" s="1336">
        <f>'3.sz.m Önk  bev.'!H60+'Vitnyédi KÖH'!L23+'5. sz. m óvoda'!L25</f>
        <v>179280000</v>
      </c>
      <c r="I57" s="1336">
        <f>'3.sz.m Önk  bev.'!I60+'Vitnyédi KÖH'!M23+'5. sz. m óvoda'!M25</f>
        <v>179280000</v>
      </c>
      <c r="J57" s="105">
        <v>179794001</v>
      </c>
      <c r="K57" s="104">
        <v>180403886</v>
      </c>
      <c r="L57" s="104">
        <v>179280000</v>
      </c>
      <c r="M57" s="106">
        <v>179280000</v>
      </c>
      <c r="N57" s="1341"/>
      <c r="O57" s="1330"/>
      <c r="P57" s="1345"/>
      <c r="Q57" s="1348"/>
    </row>
    <row r="58" spans="1:17" ht="21.75" customHeight="1" thickBot="1">
      <c r="A58" s="82"/>
      <c r="B58" s="1295" t="s">
        <v>584</v>
      </c>
      <c r="C58" s="1707" t="s">
        <v>585</v>
      </c>
      <c r="D58" s="1708"/>
      <c r="E58" s="161" t="s">
        <v>586</v>
      </c>
      <c r="F58" s="1337"/>
      <c r="G58" s="1338"/>
      <c r="H58" s="1339">
        <v>5357736</v>
      </c>
      <c r="I58" s="1339">
        <v>5357736</v>
      </c>
      <c r="J58" s="278"/>
      <c r="K58" s="879"/>
      <c r="L58" s="879">
        <v>5357736</v>
      </c>
      <c r="M58" s="1297">
        <v>5357736</v>
      </c>
      <c r="N58" s="1342"/>
      <c r="O58" s="1343"/>
      <c r="P58" s="1346"/>
      <c r="Q58" s="1349"/>
    </row>
    <row r="59" spans="1:17" ht="35.25" customHeight="1" thickBot="1">
      <c r="A59" s="107" t="s">
        <v>135</v>
      </c>
      <c r="B59" s="1701" t="s">
        <v>136</v>
      </c>
      <c r="C59" s="1701"/>
      <c r="D59" s="1701"/>
      <c r="E59" s="108"/>
      <c r="F59" s="1328">
        <f t="shared" ref="F59:Q59" si="9">F53+F54</f>
        <v>386549654</v>
      </c>
      <c r="G59" s="1328">
        <f t="shared" si="9"/>
        <v>451743064</v>
      </c>
      <c r="H59" s="1328">
        <f t="shared" si="9"/>
        <v>465068965</v>
      </c>
      <c r="I59" s="96">
        <f t="shared" si="9"/>
        <v>459515701</v>
      </c>
      <c r="J59" s="96">
        <f t="shared" si="9"/>
        <v>386549654</v>
      </c>
      <c r="K59" s="96">
        <f t="shared" si="9"/>
        <v>450936012</v>
      </c>
      <c r="L59" s="96">
        <f t="shared" si="9"/>
        <v>459792802</v>
      </c>
      <c r="M59" s="96">
        <f t="shared" si="9"/>
        <v>456222438</v>
      </c>
      <c r="N59" s="1328">
        <f t="shared" si="9"/>
        <v>0</v>
      </c>
      <c r="O59" s="1328">
        <f t="shared" si="9"/>
        <v>807052</v>
      </c>
      <c r="P59" s="1361">
        <f t="shared" si="9"/>
        <v>807052</v>
      </c>
      <c r="Q59" s="1376">
        <f t="shared" si="9"/>
        <v>807052</v>
      </c>
    </row>
    <row r="60" spans="1:17" ht="21.75" hidden="1" customHeight="1" thickBot="1">
      <c r="A60" s="1696" t="s">
        <v>137</v>
      </c>
      <c r="B60" s="1696"/>
      <c r="C60" s="1696"/>
      <c r="D60" s="1696"/>
      <c r="E60" s="109"/>
      <c r="F60" s="110"/>
      <c r="G60" s="111"/>
      <c r="H60" s="111"/>
      <c r="I60" s="112"/>
      <c r="J60" s="110"/>
      <c r="K60" s="111"/>
      <c r="L60" s="111"/>
      <c r="M60" s="112"/>
      <c r="N60" s="110"/>
      <c r="O60" s="111"/>
      <c r="P60" s="1311"/>
    </row>
    <row r="61" spans="1:17" ht="21.75" hidden="1" customHeight="1">
      <c r="A61" s="1697" t="s">
        <v>138</v>
      </c>
      <c r="B61" s="1697"/>
      <c r="C61" s="1697"/>
      <c r="D61" s="1697"/>
      <c r="E61" s="113"/>
      <c r="F61" s="114"/>
      <c r="G61" s="115"/>
      <c r="H61" s="115"/>
      <c r="I61" s="116"/>
      <c r="J61" s="114"/>
      <c r="K61" s="115"/>
      <c r="L61" s="115"/>
      <c r="M61" s="116"/>
      <c r="N61" s="114"/>
      <c r="O61" s="115"/>
      <c r="P61" s="1312"/>
    </row>
    <row r="62" spans="1:17" ht="21.75" customHeight="1">
      <c r="A62" s="118"/>
      <c r="B62" s="119"/>
      <c r="C62" s="119"/>
      <c r="D62" s="119"/>
      <c r="E62" s="119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313"/>
    </row>
    <row r="64" spans="1:17" ht="35.25" customHeight="1"/>
    <row r="65" ht="35.25" customHeight="1"/>
    <row r="70" ht="48.75" customHeight="1"/>
    <row r="71" ht="46.5" customHeight="1"/>
    <row r="72" ht="41.25" customHeight="1"/>
  </sheetData>
  <sheetProtection selectLockedCells="1" selectUnlockedCells="1"/>
  <mergeCells count="47">
    <mergeCell ref="C14:D14"/>
    <mergeCell ref="A2:N2"/>
    <mergeCell ref="A4:C4"/>
    <mergeCell ref="F4:I4"/>
    <mergeCell ref="J4:M4"/>
    <mergeCell ref="B6:D6"/>
    <mergeCell ref="B7:D7"/>
    <mergeCell ref="N4:P4"/>
    <mergeCell ref="C15:D15"/>
    <mergeCell ref="C17:D17"/>
    <mergeCell ref="C28:D28"/>
    <mergeCell ref="C29:D29"/>
    <mergeCell ref="C19:D19"/>
    <mergeCell ref="C20:D20"/>
    <mergeCell ref="C8:D8"/>
    <mergeCell ref="C11:D11"/>
    <mergeCell ref="B30:D30"/>
    <mergeCell ref="C31:D31"/>
    <mergeCell ref="C21:D21"/>
    <mergeCell ref="C26:D26"/>
    <mergeCell ref="C27:D27"/>
    <mergeCell ref="B18:D18"/>
    <mergeCell ref="B38:D38"/>
    <mergeCell ref="C39:D39"/>
    <mergeCell ref="C41:D41"/>
    <mergeCell ref="C57:D57"/>
    <mergeCell ref="C46:D46"/>
    <mergeCell ref="B47:D47"/>
    <mergeCell ref="C48:D48"/>
    <mergeCell ref="C49:D49"/>
    <mergeCell ref="B50:D50"/>
    <mergeCell ref="C52:D52"/>
    <mergeCell ref="C25:D25"/>
    <mergeCell ref="C51:D51"/>
    <mergeCell ref="C45:D45"/>
    <mergeCell ref="C32:D32"/>
    <mergeCell ref="C40:D40"/>
    <mergeCell ref="C33:D33"/>
    <mergeCell ref="C34:D34"/>
    <mergeCell ref="A60:D60"/>
    <mergeCell ref="A61:D61"/>
    <mergeCell ref="B53:D53"/>
    <mergeCell ref="B54:D54"/>
    <mergeCell ref="C55:D55"/>
    <mergeCell ref="C56:D56"/>
    <mergeCell ref="B59:D59"/>
    <mergeCell ref="C58:D58"/>
  </mergeCells>
  <phoneticPr fontId="0" type="noConversion"/>
  <printOptions horizontalCentered="1"/>
  <pageMargins left="0.59027777777777779" right="0.59027777777777779" top="0.59027777777777779" bottom="0.59027777777777779" header="0.51180555555555551" footer="0.51180555555555551"/>
  <pageSetup paperSize="9" scale="35" firstPageNumber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view="pageBreakPreview" zoomScale="60" zoomScaleNormal="75" workbookViewId="0">
      <selection activeCell="U15" sqref="U15"/>
    </sheetView>
  </sheetViews>
  <sheetFormatPr defaultColWidth="11.42578125" defaultRowHeight="12.75"/>
  <cols>
    <col min="1" max="1" width="40" style="236" customWidth="1"/>
    <col min="2" max="2" width="13.140625" style="236" customWidth="1"/>
    <col min="3" max="3" width="19.85546875" style="260" customWidth="1"/>
    <col min="4" max="4" width="14.140625" style="260" bestFit="1" customWidth="1"/>
    <col min="5" max="5" width="12.85546875" style="260" hidden="1" customWidth="1"/>
    <col min="6" max="6" width="9.140625" style="260" hidden="1" customWidth="1"/>
    <col min="7" max="8" width="14" style="260" customWidth="1"/>
    <col min="9" max="9" width="21.85546875" style="260" customWidth="1"/>
    <col min="10" max="13" width="0" style="260" hidden="1" customWidth="1"/>
    <col min="14" max="14" width="12.140625" style="260" bestFit="1" customWidth="1"/>
    <col min="15" max="17" width="0" style="236" hidden="1" customWidth="1"/>
    <col min="18" max="18" width="0.5703125" style="236" customWidth="1"/>
    <col min="19" max="19" width="17.85546875" style="236" customWidth="1"/>
    <col min="20" max="20" width="11.42578125" style="236" customWidth="1"/>
    <col min="21" max="21" width="13.140625" style="236" customWidth="1"/>
    <col min="22" max="22" width="15.5703125" style="236" customWidth="1"/>
    <col min="23" max="16384" width="11.42578125" style="236"/>
  </cols>
  <sheetData>
    <row r="1" spans="1:19" ht="24.75" customHeight="1">
      <c r="C1" s="9"/>
      <c r="I1" s="1844" t="s">
        <v>331</v>
      </c>
      <c r="J1" s="1844"/>
      <c r="K1" s="1844"/>
      <c r="L1" s="1844"/>
      <c r="M1" s="1844"/>
      <c r="N1" s="1844"/>
    </row>
    <row r="2" spans="1:19" ht="37.5" customHeight="1">
      <c r="A2" s="1845" t="s">
        <v>154</v>
      </c>
      <c r="B2" s="1845"/>
      <c r="C2" s="1845"/>
      <c r="D2" s="1845"/>
      <c r="E2" s="1845"/>
      <c r="F2" s="1845"/>
      <c r="G2" s="1845"/>
      <c r="H2" s="1845"/>
      <c r="I2" s="1845"/>
      <c r="J2" s="1845"/>
      <c r="K2" s="1845"/>
      <c r="L2" s="1845"/>
      <c r="M2" s="1845"/>
      <c r="N2" s="1845"/>
    </row>
    <row r="3" spans="1:19" ht="18.75" customHeight="1">
      <c r="A3" s="1846" t="s">
        <v>555</v>
      </c>
      <c r="B3" s="1846"/>
      <c r="C3" s="1846"/>
      <c r="D3" s="1846"/>
      <c r="E3" s="1846"/>
      <c r="F3" s="1846"/>
      <c r="G3" s="1846"/>
      <c r="H3" s="1846"/>
      <c r="I3" s="1846"/>
      <c r="J3" s="1846"/>
      <c r="K3" s="1846"/>
      <c r="L3" s="1846"/>
      <c r="M3" s="1846"/>
      <c r="N3" s="1846"/>
    </row>
    <row r="4" spans="1:19" ht="15.75" customHeight="1">
      <c r="A4" s="1847" t="s">
        <v>332</v>
      </c>
      <c r="B4" s="1847"/>
      <c r="C4" s="1847"/>
      <c r="D4" s="1847"/>
      <c r="E4" s="1847"/>
      <c r="F4" s="1847"/>
      <c r="G4" s="1847"/>
      <c r="H4" s="1847"/>
      <c r="I4" s="1847"/>
      <c r="J4" s="1847"/>
      <c r="K4" s="1847"/>
      <c r="L4" s="1847"/>
      <c r="M4" s="1847"/>
      <c r="N4" s="1847"/>
    </row>
    <row r="5" spans="1:19" ht="19.5" thickBot="1">
      <c r="A5" s="454"/>
      <c r="B5" s="454"/>
      <c r="N5" s="455" t="s">
        <v>488</v>
      </c>
    </row>
    <row r="6" spans="1:19" ht="19.5" customHeight="1" thickBot="1">
      <c r="A6" s="1848" t="s">
        <v>333</v>
      </c>
      <c r="B6" s="1841" t="s">
        <v>334</v>
      </c>
      <c r="C6" s="1849" t="s">
        <v>5</v>
      </c>
      <c r="D6" s="1850"/>
      <c r="E6" s="1850"/>
      <c r="F6" s="1850"/>
      <c r="G6" s="1850"/>
      <c r="H6" s="1851"/>
      <c r="I6" s="1843" t="s">
        <v>335</v>
      </c>
      <c r="J6" s="1843"/>
      <c r="K6" s="1843"/>
      <c r="L6" s="1843"/>
      <c r="M6" s="1843"/>
      <c r="N6" s="1836" t="s">
        <v>336</v>
      </c>
      <c r="O6" s="1836"/>
      <c r="P6" s="1836"/>
      <c r="Q6" s="1836"/>
      <c r="R6" s="1836"/>
      <c r="S6" s="456"/>
    </row>
    <row r="7" spans="1:19" ht="12.75" customHeight="1" thickTop="1" thickBot="1">
      <c r="A7" s="1848"/>
      <c r="B7" s="1841"/>
      <c r="C7" s="1852"/>
      <c r="D7" s="1853"/>
      <c r="E7" s="1853"/>
      <c r="F7" s="1853"/>
      <c r="G7" s="1853"/>
      <c r="H7" s="1854"/>
      <c r="I7" s="1843"/>
      <c r="J7" s="1843"/>
      <c r="K7" s="1843"/>
      <c r="L7" s="1843"/>
      <c r="M7" s="1843"/>
      <c r="N7" s="1836"/>
      <c r="O7" s="1836"/>
      <c r="P7" s="1836"/>
      <c r="Q7" s="1836"/>
      <c r="R7" s="1836"/>
      <c r="S7" s="457"/>
    </row>
    <row r="8" spans="1:19" ht="20.25" customHeight="1" thickTop="1" thickBot="1">
      <c r="A8" s="1848"/>
      <c r="B8" s="1841"/>
      <c r="C8" s="1036" t="s">
        <v>9</v>
      </c>
      <c r="D8" s="1036" t="s">
        <v>573</v>
      </c>
      <c r="E8" s="1036"/>
      <c r="F8" s="1036"/>
      <c r="G8" s="1036" t="s">
        <v>588</v>
      </c>
      <c r="H8" s="1036" t="s">
        <v>301</v>
      </c>
      <c r="I8" s="1843"/>
      <c r="J8" s="1843"/>
      <c r="K8" s="1843"/>
      <c r="L8" s="1843"/>
      <c r="M8" s="1843"/>
      <c r="N8" s="1836"/>
      <c r="O8" s="1836"/>
      <c r="P8" s="1836"/>
      <c r="Q8" s="1836"/>
      <c r="R8" s="1836"/>
      <c r="S8" s="457"/>
    </row>
    <row r="9" spans="1:19" ht="112.5" hidden="1">
      <c r="A9" s="458"/>
      <c r="B9" s="459"/>
      <c r="C9" s="460" t="s">
        <v>9</v>
      </c>
      <c r="D9" s="460" t="s">
        <v>318</v>
      </c>
      <c r="E9" s="460" t="s">
        <v>316</v>
      </c>
      <c r="F9" s="461" t="s">
        <v>301</v>
      </c>
      <c r="G9" s="461" t="s">
        <v>308</v>
      </c>
      <c r="H9" s="460"/>
      <c r="I9" s="460" t="s">
        <v>9</v>
      </c>
      <c r="J9" s="460" t="s">
        <v>318</v>
      </c>
      <c r="K9" s="460" t="s">
        <v>316</v>
      </c>
      <c r="L9" s="461" t="s">
        <v>301</v>
      </c>
      <c r="M9" s="461" t="s">
        <v>308</v>
      </c>
      <c r="N9" s="460" t="s">
        <v>9</v>
      </c>
      <c r="O9" s="460" t="s">
        <v>318</v>
      </c>
      <c r="P9" s="460" t="s">
        <v>316</v>
      </c>
      <c r="Q9" s="461" t="s">
        <v>301</v>
      </c>
      <c r="R9" s="462" t="s">
        <v>308</v>
      </c>
      <c r="S9" s="457"/>
    </row>
    <row r="10" spans="1:19" ht="27" customHeight="1" thickTop="1">
      <c r="A10" s="463" t="s">
        <v>337</v>
      </c>
      <c r="B10" s="464" t="s">
        <v>338</v>
      </c>
      <c r="C10" s="465">
        <v>4660000</v>
      </c>
      <c r="D10" s="465">
        <v>4660000</v>
      </c>
      <c r="E10" s="465">
        <v>4660000</v>
      </c>
      <c r="F10" s="465">
        <v>4660000</v>
      </c>
      <c r="G10" s="465">
        <v>4781199</v>
      </c>
      <c r="H10" s="465">
        <v>4781199</v>
      </c>
      <c r="I10" s="465">
        <v>4525000</v>
      </c>
      <c r="J10" s="465"/>
      <c r="K10" s="465"/>
      <c r="L10" s="466"/>
      <c r="M10" s="467"/>
      <c r="N10" s="465">
        <v>256199</v>
      </c>
      <c r="O10" s="465"/>
      <c r="P10" s="465"/>
      <c r="Q10" s="466"/>
      <c r="R10" s="468"/>
      <c r="S10" s="457"/>
    </row>
    <row r="11" spans="1:19" ht="15.75" hidden="1" customHeight="1">
      <c r="A11" s="463" t="s">
        <v>339</v>
      </c>
      <c r="B11" s="464" t="s">
        <v>338</v>
      </c>
      <c r="C11" s="465"/>
      <c r="D11" s="465"/>
      <c r="E11" s="465"/>
      <c r="F11" s="465"/>
      <c r="G11" s="469"/>
      <c r="H11" s="469"/>
      <c r="I11" s="465"/>
      <c r="J11" s="465"/>
      <c r="K11" s="465"/>
      <c r="L11" s="465"/>
      <c r="M11" s="469"/>
      <c r="N11" s="465"/>
      <c r="O11" s="465"/>
      <c r="P11" s="465"/>
      <c r="Q11" s="465"/>
      <c r="R11" s="470"/>
      <c r="S11" s="457"/>
    </row>
    <row r="12" spans="1:19" ht="27" hidden="1" customHeight="1">
      <c r="A12" s="463" t="s">
        <v>340</v>
      </c>
      <c r="B12" s="464" t="s">
        <v>338</v>
      </c>
      <c r="C12" s="465"/>
      <c r="D12" s="465"/>
      <c r="E12" s="465"/>
      <c r="F12" s="465"/>
      <c r="G12" s="469"/>
      <c r="H12" s="469"/>
      <c r="I12" s="465"/>
      <c r="J12" s="465"/>
      <c r="K12" s="465"/>
      <c r="L12" s="465"/>
      <c r="M12" s="469"/>
      <c r="N12" s="465"/>
      <c r="O12" s="465"/>
      <c r="P12" s="465"/>
      <c r="Q12" s="465"/>
      <c r="R12" s="470"/>
      <c r="S12" s="457"/>
    </row>
    <row r="13" spans="1:19" ht="28.5" customHeight="1">
      <c r="A13" s="463" t="s">
        <v>341</v>
      </c>
      <c r="B13" s="464" t="s">
        <v>338</v>
      </c>
      <c r="C13" s="465"/>
      <c r="D13" s="465"/>
      <c r="E13" s="465"/>
      <c r="F13" s="465"/>
      <c r="G13" s="469"/>
      <c r="H13" s="469"/>
      <c r="I13" s="465"/>
      <c r="J13" s="465"/>
      <c r="K13" s="465"/>
      <c r="L13" s="465"/>
      <c r="M13" s="469"/>
      <c r="N13" s="465"/>
      <c r="O13" s="465"/>
      <c r="P13" s="465"/>
      <c r="Q13" s="465"/>
      <c r="R13" s="470"/>
      <c r="S13" s="457"/>
    </row>
    <row r="14" spans="1:19" ht="32.25" customHeight="1">
      <c r="A14" s="463" t="s">
        <v>342</v>
      </c>
      <c r="B14" s="464" t="s">
        <v>338</v>
      </c>
      <c r="C14" s="465"/>
      <c r="D14" s="465"/>
      <c r="E14" s="465"/>
      <c r="F14" s="465"/>
      <c r="G14" s="469"/>
      <c r="H14" s="469"/>
      <c r="I14" s="465"/>
      <c r="J14" s="465"/>
      <c r="K14" s="465"/>
      <c r="L14" s="465"/>
      <c r="M14" s="469"/>
      <c r="N14" s="465"/>
      <c r="O14" s="465"/>
      <c r="P14" s="465"/>
      <c r="Q14" s="465"/>
      <c r="R14" s="470"/>
      <c r="S14" s="457"/>
    </row>
    <row r="15" spans="1:19" ht="32.25" customHeight="1">
      <c r="A15" s="463" t="s">
        <v>343</v>
      </c>
      <c r="B15" s="464"/>
      <c r="C15" s="465"/>
      <c r="D15" s="465"/>
      <c r="E15" s="465"/>
      <c r="F15" s="465"/>
      <c r="G15" s="469"/>
      <c r="H15" s="469"/>
      <c r="I15" s="465"/>
      <c r="J15" s="465"/>
      <c r="K15" s="465"/>
      <c r="L15" s="465"/>
      <c r="M15" s="469"/>
      <c r="N15" s="465"/>
      <c r="O15" s="465"/>
      <c r="P15" s="465"/>
      <c r="Q15" s="465"/>
      <c r="R15" s="470"/>
      <c r="S15" s="457"/>
    </row>
    <row r="16" spans="1:19" ht="33" customHeight="1" thickBot="1">
      <c r="A16" s="463" t="s">
        <v>506</v>
      </c>
      <c r="B16" s="464" t="s">
        <v>338</v>
      </c>
      <c r="C16" s="784"/>
      <c r="D16" s="471"/>
      <c r="E16" s="471"/>
      <c r="F16" s="471"/>
      <c r="G16" s="469"/>
      <c r="H16" s="469"/>
      <c r="I16" s="471"/>
      <c r="J16" s="471"/>
      <c r="K16" s="471"/>
      <c r="L16" s="471"/>
      <c r="M16" s="469"/>
      <c r="N16" s="471"/>
      <c r="O16" s="471"/>
      <c r="P16" s="471"/>
      <c r="Q16" s="471"/>
      <c r="R16" s="470"/>
      <c r="S16" s="457"/>
    </row>
    <row r="17" spans="1:19" ht="39" customHeight="1" thickTop="1" thickBot="1">
      <c r="A17" s="472" t="s">
        <v>344</v>
      </c>
      <c r="B17" s="473"/>
      <c r="C17" s="783">
        <f t="shared" ref="C17:I17" si="0">SUM(C10:C16)</f>
        <v>4660000</v>
      </c>
      <c r="D17" s="474">
        <f t="shared" si="0"/>
        <v>4660000</v>
      </c>
      <c r="E17" s="474">
        <f t="shared" si="0"/>
        <v>4660000</v>
      </c>
      <c r="F17" s="474">
        <f t="shared" si="0"/>
        <v>4660000</v>
      </c>
      <c r="G17" s="474">
        <f t="shared" si="0"/>
        <v>4781199</v>
      </c>
      <c r="H17" s="474"/>
      <c r="I17" s="474">
        <f t="shared" si="0"/>
        <v>4525000</v>
      </c>
      <c r="J17" s="474"/>
      <c r="K17" s="474"/>
      <c r="L17" s="474"/>
      <c r="M17" s="475"/>
      <c r="N17" s="474">
        <f>SUM(N10:N16)</f>
        <v>256199</v>
      </c>
      <c r="O17" s="474">
        <f>SUM(O10:O16)</f>
        <v>0</v>
      </c>
      <c r="P17" s="474">
        <f>SUM(P10:P16)</f>
        <v>0</v>
      </c>
      <c r="Q17" s="474"/>
      <c r="R17" s="476"/>
      <c r="S17" s="457"/>
    </row>
    <row r="18" spans="1:19" ht="19.5" customHeight="1">
      <c r="A18" s="477"/>
      <c r="B18" s="477"/>
      <c r="C18" s="478"/>
      <c r="D18" s="478"/>
      <c r="E18" s="478"/>
      <c r="F18" s="478"/>
      <c r="G18" s="478"/>
      <c r="H18" s="478"/>
      <c r="I18" s="478"/>
      <c r="J18" s="478"/>
      <c r="K18" s="478"/>
      <c r="L18" s="478"/>
      <c r="M18" s="478"/>
      <c r="N18" s="478"/>
      <c r="S18" s="479"/>
    </row>
    <row r="19" spans="1:19" ht="31.5" customHeight="1" thickBot="1">
      <c r="B19" s="482" t="s">
        <v>346</v>
      </c>
    </row>
    <row r="20" spans="1:19" ht="12.75" customHeight="1">
      <c r="A20" s="1838" t="s">
        <v>346</v>
      </c>
      <c r="B20" s="1840" t="s">
        <v>334</v>
      </c>
      <c r="C20" s="1842" t="s">
        <v>5</v>
      </c>
      <c r="D20" s="1842"/>
      <c r="E20" s="1842"/>
      <c r="F20" s="1842"/>
      <c r="G20" s="1842"/>
      <c r="H20" s="1425"/>
      <c r="I20" s="1842" t="s">
        <v>335</v>
      </c>
      <c r="J20" s="1842"/>
      <c r="K20" s="1842"/>
      <c r="L20" s="1842"/>
      <c r="M20" s="1842"/>
      <c r="N20" s="1834" t="s">
        <v>336</v>
      </c>
      <c r="O20" s="1834"/>
      <c r="P20" s="1834"/>
      <c r="Q20" s="1834"/>
      <c r="R20" s="1835"/>
    </row>
    <row r="21" spans="1:19" ht="18.75">
      <c r="A21" s="1839"/>
      <c r="B21" s="1841"/>
      <c r="C21" s="1843"/>
      <c r="D21" s="1843"/>
      <c r="E21" s="1843"/>
      <c r="F21" s="1843"/>
      <c r="G21" s="1843"/>
      <c r="H21" s="1036"/>
      <c r="I21" s="1843"/>
      <c r="J21" s="1843"/>
      <c r="K21" s="1843"/>
      <c r="L21" s="1843"/>
      <c r="M21" s="1843"/>
      <c r="N21" s="1836"/>
      <c r="O21" s="1836"/>
      <c r="P21" s="1836"/>
      <c r="Q21" s="1836"/>
      <c r="R21" s="1837"/>
    </row>
    <row r="22" spans="1:19" ht="18.75">
      <c r="A22" s="1839"/>
      <c r="B22" s="1841"/>
      <c r="C22" s="1843"/>
      <c r="D22" s="1843"/>
      <c r="E22" s="1843"/>
      <c r="F22" s="1843"/>
      <c r="G22" s="1843"/>
      <c r="H22" s="1036"/>
      <c r="I22" s="1843"/>
      <c r="J22" s="1843"/>
      <c r="K22" s="1843"/>
      <c r="L22" s="1843"/>
      <c r="M22" s="1843"/>
      <c r="N22" s="1836"/>
      <c r="O22" s="1836"/>
      <c r="P22" s="1836"/>
      <c r="Q22" s="1836"/>
      <c r="R22" s="1837"/>
    </row>
    <row r="23" spans="1:19" ht="41.25" customHeight="1">
      <c r="A23" s="1026"/>
      <c r="B23" s="480"/>
      <c r="C23" s="461" t="s">
        <v>9</v>
      </c>
      <c r="D23" s="461" t="s">
        <v>141</v>
      </c>
      <c r="E23" s="461" t="s">
        <v>316</v>
      </c>
      <c r="F23" s="461" t="s">
        <v>301</v>
      </c>
      <c r="G23" s="461" t="s">
        <v>308</v>
      </c>
      <c r="H23" s="461"/>
      <c r="I23" s="461" t="s">
        <v>9</v>
      </c>
      <c r="J23" s="461" t="s">
        <v>318</v>
      </c>
      <c r="K23" s="461" t="s">
        <v>316</v>
      </c>
      <c r="L23" s="461" t="s">
        <v>301</v>
      </c>
      <c r="M23" s="461" t="s">
        <v>308</v>
      </c>
      <c r="N23" s="461" t="s">
        <v>9</v>
      </c>
      <c r="O23" s="461" t="s">
        <v>318</v>
      </c>
      <c r="P23" s="461" t="s">
        <v>316</v>
      </c>
      <c r="Q23" s="461" t="s">
        <v>301</v>
      </c>
      <c r="R23" s="1027" t="s">
        <v>308</v>
      </c>
    </row>
    <row r="24" spans="1:19" ht="30">
      <c r="A24" s="1028" t="s">
        <v>347</v>
      </c>
      <c r="B24" s="481" t="s">
        <v>345</v>
      </c>
      <c r="C24" s="466"/>
      <c r="D24" s="466"/>
      <c r="E24" s="466"/>
      <c r="F24" s="466"/>
      <c r="G24" s="467"/>
      <c r="H24" s="467"/>
      <c r="I24" s="466"/>
      <c r="J24" s="466"/>
      <c r="K24" s="466"/>
      <c r="L24" s="466"/>
      <c r="M24" s="467"/>
      <c r="N24" s="466"/>
      <c r="O24" s="466"/>
      <c r="P24" s="466"/>
      <c r="Q24" s="465">
        <f>F24-L24</f>
        <v>0</v>
      </c>
      <c r="R24" s="1029" t="e">
        <f>Q24/P24</f>
        <v>#DIV/0!</v>
      </c>
    </row>
    <row r="25" spans="1:19" ht="24" customHeight="1">
      <c r="A25" s="1030" t="s">
        <v>348</v>
      </c>
      <c r="B25" s="464" t="s">
        <v>345</v>
      </c>
      <c r="C25" s="465"/>
      <c r="D25" s="465"/>
      <c r="E25" s="465"/>
      <c r="F25" s="465"/>
      <c r="G25" s="469"/>
      <c r="H25" s="469"/>
      <c r="I25" s="465"/>
      <c r="J25" s="465"/>
      <c r="K25" s="465"/>
      <c r="L25" s="465"/>
      <c r="M25" s="469"/>
      <c r="N25" s="466"/>
      <c r="O25" s="465"/>
      <c r="P25" s="465"/>
      <c r="Q25" s="465">
        <f>F25-L25</f>
        <v>0</v>
      </c>
      <c r="R25" s="1029" t="e">
        <f>Q25/P25</f>
        <v>#DIV/0!</v>
      </c>
    </row>
    <row r="26" spans="1:19" ht="27" customHeight="1">
      <c r="A26" s="1030" t="s">
        <v>349</v>
      </c>
      <c r="B26" s="464" t="s">
        <v>345</v>
      </c>
      <c r="C26" s="465"/>
      <c r="D26" s="465"/>
      <c r="E26" s="465"/>
      <c r="F26" s="465"/>
      <c r="G26" s="469"/>
      <c r="H26" s="469"/>
      <c r="I26" s="465"/>
      <c r="J26" s="465"/>
      <c r="K26" s="465"/>
      <c r="L26" s="465"/>
      <c r="M26" s="469"/>
      <c r="N26" s="466"/>
      <c r="O26" s="465"/>
      <c r="P26" s="465"/>
      <c r="Q26" s="465">
        <f>F26-L26</f>
        <v>0</v>
      </c>
      <c r="R26" s="1029" t="e">
        <f>Q26/P26</f>
        <v>#DIV/0!</v>
      </c>
    </row>
    <row r="27" spans="1:19" ht="30" customHeight="1">
      <c r="A27" s="1031" t="s">
        <v>344</v>
      </c>
      <c r="B27" s="1032"/>
      <c r="C27" s="1033">
        <f>SUM(C24:C26)</f>
        <v>0</v>
      </c>
      <c r="D27" s="1033"/>
      <c r="E27" s="1033"/>
      <c r="F27" s="1033"/>
      <c r="G27" s="1034"/>
      <c r="H27" s="1034"/>
      <c r="I27" s="1033">
        <f>SUM(I24:I26)</f>
        <v>0</v>
      </c>
      <c r="J27" s="1033"/>
      <c r="K27" s="1033"/>
      <c r="L27" s="1033"/>
      <c r="M27" s="1034"/>
      <c r="N27" s="1033"/>
      <c r="O27" s="1033">
        <f>SUM(O24:O26)</f>
        <v>0</v>
      </c>
      <c r="P27" s="1033">
        <f>SUM(P24:P26)</f>
        <v>0</v>
      </c>
      <c r="Q27" s="1033">
        <f>SUM(Q24:Q26)</f>
        <v>0</v>
      </c>
      <c r="R27" s="1035" t="e">
        <f>Q27/P27</f>
        <v>#DIV/0!</v>
      </c>
    </row>
  </sheetData>
  <sheetProtection selectLockedCells="1" selectUnlockedCells="1"/>
  <mergeCells count="14">
    <mergeCell ref="I1:N1"/>
    <mergeCell ref="A2:N2"/>
    <mergeCell ref="A3:N3"/>
    <mergeCell ref="A4:N4"/>
    <mergeCell ref="N6:R8"/>
    <mergeCell ref="A6:A8"/>
    <mergeCell ref="B6:B8"/>
    <mergeCell ref="C6:H7"/>
    <mergeCell ref="N20:R22"/>
    <mergeCell ref="A20:A22"/>
    <mergeCell ref="B20:B22"/>
    <mergeCell ref="C20:G22"/>
    <mergeCell ref="I20:M22"/>
    <mergeCell ref="I6:M8"/>
  </mergeCells>
  <phoneticPr fontId="0" type="noConversion"/>
  <printOptions horizontalCentered="1"/>
  <pageMargins left="0.74791666666666667" right="0.74791666666666667" top="0.98402777777777772" bottom="0.70625000000000004" header="0.51180555555555551" footer="0.51180555555555551"/>
  <pageSetup paperSize="9" scale="5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2"/>
  <sheetViews>
    <sheetView view="pageBreakPreview" topLeftCell="A22" zoomScale="60" zoomScaleNormal="75" workbookViewId="0">
      <selection activeCell="W53" sqref="W53"/>
    </sheetView>
  </sheetViews>
  <sheetFormatPr defaultColWidth="11.42578125" defaultRowHeight="12.75"/>
  <cols>
    <col min="1" max="1" width="37.85546875" style="483" customWidth="1"/>
    <col min="2" max="5" width="14.5703125" style="422" bestFit="1" customWidth="1"/>
    <col min="6" max="6" width="17.42578125" style="422" customWidth="1"/>
    <col min="7" max="10" width="0" style="422" hidden="1" customWidth="1"/>
    <col min="11" max="11" width="15.140625" style="422" customWidth="1"/>
    <col min="12" max="15" width="0" style="422" hidden="1" customWidth="1"/>
    <col min="16" max="16" width="15.140625" style="422" customWidth="1"/>
    <col min="17" max="17" width="14.5703125" style="422" bestFit="1" customWidth="1"/>
    <col min="18" max="18" width="11.85546875" style="422" hidden="1" customWidth="1"/>
    <col min="19" max="19" width="10" style="422" hidden="1" customWidth="1"/>
    <col min="20" max="20" width="0.85546875" style="422" hidden="1" customWidth="1"/>
    <col min="21" max="21" width="14.5703125" style="422" bestFit="1" customWidth="1"/>
    <col min="22" max="16384" width="11.42578125" style="422"/>
  </cols>
  <sheetData>
    <row r="1" spans="1:21" ht="12.75" customHeight="1">
      <c r="B1" s="9"/>
      <c r="K1" s="1874" t="s">
        <v>350</v>
      </c>
      <c r="L1" s="1874"/>
      <c r="M1" s="1874"/>
      <c r="N1" s="1874"/>
      <c r="O1" s="1874"/>
      <c r="P1" s="1874"/>
    </row>
    <row r="2" spans="1:21" ht="30">
      <c r="A2" s="1875" t="s">
        <v>351</v>
      </c>
      <c r="B2" s="1875"/>
      <c r="C2" s="1875"/>
      <c r="D2" s="1875"/>
      <c r="E2" s="1875"/>
      <c r="F2" s="1875"/>
      <c r="G2" s="1875"/>
      <c r="H2" s="1875"/>
      <c r="I2" s="1875"/>
      <c r="J2" s="1875"/>
      <c r="K2" s="1875"/>
      <c r="L2" s="1875"/>
      <c r="M2" s="1875"/>
      <c r="N2" s="1875"/>
      <c r="O2" s="1875"/>
      <c r="P2" s="1875"/>
    </row>
    <row r="3" spans="1:21" ht="15.75">
      <c r="A3" s="1876" t="s">
        <v>555</v>
      </c>
      <c r="B3" s="1876"/>
      <c r="C3" s="1876"/>
      <c r="D3" s="1876"/>
      <c r="E3" s="1876"/>
      <c r="F3" s="1876"/>
      <c r="G3" s="1876"/>
      <c r="H3" s="1876"/>
      <c r="I3" s="1876"/>
      <c r="J3" s="1876"/>
      <c r="K3" s="1876"/>
      <c r="L3" s="1876"/>
      <c r="M3" s="1876"/>
      <c r="N3" s="1876"/>
      <c r="O3" s="1876"/>
      <c r="P3" s="1876"/>
    </row>
    <row r="4" spans="1:21" ht="22.5" customHeight="1">
      <c r="A4" s="1877" t="s">
        <v>352</v>
      </c>
      <c r="B4" s="1877"/>
      <c r="C4" s="1877"/>
      <c r="D4" s="1877"/>
      <c r="E4" s="1877"/>
      <c r="F4" s="1877"/>
      <c r="G4" s="1877"/>
      <c r="H4" s="1877"/>
      <c r="I4" s="1877"/>
      <c r="J4" s="1877"/>
      <c r="K4" s="1877"/>
      <c r="L4" s="1877"/>
      <c r="M4" s="1877"/>
      <c r="N4" s="1877"/>
      <c r="O4" s="1877"/>
      <c r="P4" s="1877"/>
    </row>
    <row r="5" spans="1:21" ht="13.5" thickBot="1">
      <c r="Q5" s="484" t="s">
        <v>490</v>
      </c>
    </row>
    <row r="6" spans="1:21" ht="24.75" customHeight="1" thickBot="1">
      <c r="A6" s="1878" t="s">
        <v>353</v>
      </c>
      <c r="B6" s="1879" t="s">
        <v>354</v>
      </c>
      <c r="C6" s="1879"/>
      <c r="D6" s="1879"/>
      <c r="E6" s="1879"/>
      <c r="F6" s="1879"/>
      <c r="G6" s="1879"/>
      <c r="H6" s="1879"/>
      <c r="I6" s="1879"/>
      <c r="J6" s="1879"/>
      <c r="K6" s="1865" t="s">
        <v>355</v>
      </c>
      <c r="L6" s="1866"/>
      <c r="M6" s="1866"/>
      <c r="N6" s="1866"/>
      <c r="O6" s="1866"/>
      <c r="P6" s="1866"/>
      <c r="Q6" s="1866"/>
      <c r="R6" s="1866"/>
      <c r="S6" s="1866"/>
      <c r="T6" s="1866"/>
      <c r="U6" s="1867"/>
    </row>
    <row r="7" spans="1:21" ht="24.75" customHeight="1">
      <c r="A7" s="1878"/>
      <c r="B7" s="1855" t="s">
        <v>356</v>
      </c>
      <c r="C7" s="1855"/>
      <c r="D7" s="1855"/>
      <c r="E7" s="1855"/>
      <c r="F7" s="1856" t="s">
        <v>357</v>
      </c>
      <c r="G7" s="1856"/>
      <c r="H7" s="1856"/>
      <c r="I7" s="1856"/>
      <c r="J7" s="1856"/>
      <c r="K7" s="1857" t="s">
        <v>356</v>
      </c>
      <c r="L7" s="1858"/>
      <c r="M7" s="1858"/>
      <c r="N7" s="1858"/>
      <c r="O7" s="1858"/>
      <c r="P7" s="1868" t="s">
        <v>357</v>
      </c>
      <c r="Q7" s="1869"/>
      <c r="R7" s="1869"/>
      <c r="S7" s="1869"/>
      <c r="T7" s="1869"/>
      <c r="U7" s="1870"/>
    </row>
    <row r="8" spans="1:21" ht="31.5">
      <c r="A8" s="486"/>
      <c r="B8" s="487" t="s">
        <v>358</v>
      </c>
      <c r="C8" s="487" t="s">
        <v>10</v>
      </c>
      <c r="D8" s="488" t="s">
        <v>594</v>
      </c>
      <c r="E8" s="487" t="s">
        <v>301</v>
      </c>
      <c r="F8" s="487" t="s">
        <v>358</v>
      </c>
      <c r="G8" s="487" t="s">
        <v>10</v>
      </c>
      <c r="H8" s="488" t="s">
        <v>359</v>
      </c>
      <c r="I8" s="487" t="s">
        <v>13</v>
      </c>
      <c r="J8" s="1135" t="s">
        <v>14</v>
      </c>
      <c r="K8" s="1139" t="s">
        <v>358</v>
      </c>
      <c r="L8" s="485" t="s">
        <v>10</v>
      </c>
      <c r="M8" s="488" t="s">
        <v>360</v>
      </c>
      <c r="N8" s="487" t="s">
        <v>13</v>
      </c>
      <c r="O8" s="487" t="s">
        <v>14</v>
      </c>
      <c r="P8" s="487" t="s">
        <v>358</v>
      </c>
      <c r="Q8" s="487" t="s">
        <v>10</v>
      </c>
      <c r="R8" s="488" t="s">
        <v>359</v>
      </c>
      <c r="S8" s="487" t="s">
        <v>361</v>
      </c>
      <c r="T8" s="1140" t="s">
        <v>14</v>
      </c>
      <c r="U8" s="1140" t="s">
        <v>301</v>
      </c>
    </row>
    <row r="9" spans="1:21" ht="18">
      <c r="A9" s="489" t="s">
        <v>362</v>
      </c>
      <c r="B9" s="490"/>
      <c r="C9" s="490"/>
      <c r="D9" s="490"/>
      <c r="E9" s="490"/>
      <c r="F9" s="813"/>
      <c r="G9" s="813"/>
      <c r="H9" s="813"/>
      <c r="I9" s="813"/>
      <c r="J9" s="814"/>
      <c r="K9" s="1141"/>
      <c r="L9" s="815"/>
      <c r="M9" s="815"/>
      <c r="N9" s="815"/>
      <c r="O9" s="815"/>
      <c r="P9" s="813">
        <v>500000</v>
      </c>
      <c r="Q9" s="813">
        <v>950000</v>
      </c>
      <c r="R9" s="490"/>
      <c r="S9" s="490"/>
      <c r="T9" s="1142"/>
      <c r="U9" s="1548">
        <v>950000</v>
      </c>
    </row>
    <row r="10" spans="1:21" ht="36" customHeight="1">
      <c r="A10" s="489" t="s">
        <v>514</v>
      </c>
      <c r="B10" s="813">
        <v>350000</v>
      </c>
      <c r="C10" s="813">
        <v>350000</v>
      </c>
      <c r="D10" s="813">
        <v>350000</v>
      </c>
      <c r="E10" s="813">
        <v>350000</v>
      </c>
      <c r="F10" s="813"/>
      <c r="G10" s="813"/>
      <c r="H10" s="813"/>
      <c r="I10" s="813"/>
      <c r="J10" s="814"/>
      <c r="K10" s="1143"/>
      <c r="L10" s="813"/>
      <c r="M10" s="813"/>
      <c r="N10" s="813"/>
      <c r="O10" s="813"/>
      <c r="P10" s="813"/>
      <c r="Q10" s="813"/>
      <c r="R10" s="490"/>
      <c r="S10" s="490"/>
      <c r="T10" s="1142"/>
      <c r="U10" s="1548"/>
    </row>
    <row r="11" spans="1:21" ht="33" customHeight="1">
      <c r="A11" s="491" t="s">
        <v>515</v>
      </c>
      <c r="B11" s="813">
        <v>4000000</v>
      </c>
      <c r="C11" s="813">
        <v>4000000</v>
      </c>
      <c r="D11" s="813">
        <v>4000000</v>
      </c>
      <c r="E11" s="813">
        <v>4000000</v>
      </c>
      <c r="F11" s="813"/>
      <c r="G11" s="813"/>
      <c r="H11" s="813"/>
      <c r="I11" s="813"/>
      <c r="J11" s="814"/>
      <c r="K11" s="1143"/>
      <c r="L11" s="813"/>
      <c r="M11" s="813"/>
      <c r="N11" s="813"/>
      <c r="O11" s="813"/>
      <c r="P11" s="813">
        <v>1390000</v>
      </c>
      <c r="Q11" s="813">
        <v>1390000</v>
      </c>
      <c r="R11" s="490"/>
      <c r="S11" s="490"/>
      <c r="T11" s="1142"/>
      <c r="U11" s="1548">
        <v>1390000</v>
      </c>
    </row>
    <row r="12" spans="1:21" ht="18">
      <c r="A12" s="489" t="s">
        <v>516</v>
      </c>
      <c r="B12" s="813">
        <v>300000</v>
      </c>
      <c r="C12" s="813">
        <v>300000</v>
      </c>
      <c r="D12" s="813">
        <v>300000</v>
      </c>
      <c r="E12" s="813">
        <v>300000</v>
      </c>
      <c r="F12" s="813"/>
      <c r="G12" s="813"/>
      <c r="H12" s="813"/>
      <c r="I12" s="813"/>
      <c r="J12" s="814"/>
      <c r="K12" s="1143"/>
      <c r="L12" s="813"/>
      <c r="M12" s="813"/>
      <c r="N12" s="813"/>
      <c r="O12" s="813"/>
      <c r="P12" s="813"/>
      <c r="Q12" s="813"/>
      <c r="R12" s="490"/>
      <c r="S12" s="490"/>
      <c r="T12" s="1142"/>
      <c r="U12" s="1548"/>
    </row>
    <row r="13" spans="1:21" ht="18" hidden="1">
      <c r="A13" s="489"/>
      <c r="B13" s="813"/>
      <c r="C13" s="813"/>
      <c r="D13" s="813"/>
      <c r="E13" s="813"/>
      <c r="F13" s="813"/>
      <c r="G13" s="813"/>
      <c r="H13" s="813"/>
      <c r="I13" s="813"/>
      <c r="J13" s="814"/>
      <c r="K13" s="1143"/>
      <c r="L13" s="813"/>
      <c r="M13" s="813"/>
      <c r="N13" s="813"/>
      <c r="O13" s="813"/>
      <c r="P13" s="813"/>
      <c r="Q13" s="813"/>
      <c r="R13" s="490"/>
      <c r="S13" s="490"/>
      <c r="T13" s="1142"/>
      <c r="U13" s="1548"/>
    </row>
    <row r="14" spans="1:21" ht="18" hidden="1">
      <c r="A14" s="489"/>
      <c r="B14" s="813"/>
      <c r="C14" s="813"/>
      <c r="D14" s="813"/>
      <c r="E14" s="813"/>
      <c r="F14" s="813"/>
      <c r="G14" s="813"/>
      <c r="H14" s="813"/>
      <c r="I14" s="813"/>
      <c r="J14" s="814"/>
      <c r="K14" s="1143"/>
      <c r="L14" s="813"/>
      <c r="M14" s="813"/>
      <c r="N14" s="813"/>
      <c r="O14" s="813"/>
      <c r="P14" s="813"/>
      <c r="Q14" s="813"/>
      <c r="R14" s="490"/>
      <c r="S14" s="490"/>
      <c r="T14" s="1142"/>
      <c r="U14" s="1548"/>
    </row>
    <row r="15" spans="1:21" ht="18">
      <c r="A15" s="491" t="s">
        <v>517</v>
      </c>
      <c r="B15" s="816">
        <v>80000</v>
      </c>
      <c r="C15" s="816">
        <v>80000</v>
      </c>
      <c r="D15" s="816">
        <v>80000</v>
      </c>
      <c r="E15" s="816">
        <v>60000</v>
      </c>
      <c r="F15" s="816"/>
      <c r="G15" s="816"/>
      <c r="H15" s="816"/>
      <c r="I15" s="816"/>
      <c r="J15" s="817"/>
      <c r="K15" s="1144"/>
      <c r="L15" s="816"/>
      <c r="M15" s="816"/>
      <c r="N15" s="816"/>
      <c r="O15" s="816"/>
      <c r="P15" s="816"/>
      <c r="Q15" s="816"/>
      <c r="R15" s="496"/>
      <c r="S15" s="496"/>
      <c r="T15" s="1145"/>
      <c r="U15" s="1549"/>
    </row>
    <row r="16" spans="1:21" ht="18">
      <c r="A16" s="491" t="s">
        <v>518</v>
      </c>
      <c r="B16" s="816">
        <v>250000</v>
      </c>
      <c r="C16" s="816">
        <v>250000</v>
      </c>
      <c r="D16" s="816">
        <v>250000</v>
      </c>
      <c r="E16" s="816">
        <v>250000</v>
      </c>
      <c r="F16" s="816"/>
      <c r="G16" s="816"/>
      <c r="H16" s="816"/>
      <c r="I16" s="816"/>
      <c r="J16" s="817"/>
      <c r="K16" s="1144"/>
      <c r="L16" s="816"/>
      <c r="M16" s="816"/>
      <c r="N16" s="816"/>
      <c r="O16" s="816"/>
      <c r="P16" s="816"/>
      <c r="Q16" s="816"/>
      <c r="R16" s="496"/>
      <c r="S16" s="496"/>
      <c r="T16" s="1145"/>
      <c r="U16" s="1549"/>
    </row>
    <row r="17" spans="1:21" ht="18">
      <c r="A17" s="491" t="s">
        <v>543</v>
      </c>
      <c r="B17" s="816">
        <v>75000</v>
      </c>
      <c r="C17" s="816">
        <v>75000</v>
      </c>
      <c r="D17" s="816">
        <v>75000</v>
      </c>
      <c r="E17" s="816"/>
      <c r="F17" s="816"/>
      <c r="G17" s="816"/>
      <c r="H17" s="816"/>
      <c r="I17" s="816"/>
      <c r="J17" s="817"/>
      <c r="K17" s="1144"/>
      <c r="L17" s="816"/>
      <c r="M17" s="816"/>
      <c r="N17" s="816"/>
      <c r="O17" s="816"/>
      <c r="P17" s="816"/>
      <c r="Q17" s="816"/>
      <c r="R17" s="496"/>
      <c r="S17" s="496"/>
      <c r="T17" s="1145"/>
      <c r="U17" s="1549"/>
    </row>
    <row r="18" spans="1:21" ht="18">
      <c r="A18" s="491" t="s">
        <v>537</v>
      </c>
      <c r="B18" s="816">
        <v>200000</v>
      </c>
      <c r="C18" s="816">
        <v>200000</v>
      </c>
      <c r="D18" s="816">
        <v>200000</v>
      </c>
      <c r="E18" s="816"/>
      <c r="F18" s="816"/>
      <c r="G18" s="816"/>
      <c r="H18" s="816"/>
      <c r="I18" s="816"/>
      <c r="J18" s="817"/>
      <c r="K18" s="1144"/>
      <c r="L18" s="816"/>
      <c r="M18" s="816"/>
      <c r="N18" s="816"/>
      <c r="O18" s="816"/>
      <c r="P18" s="816"/>
      <c r="Q18" s="816"/>
      <c r="R18" s="496"/>
      <c r="S18" s="496"/>
      <c r="T18" s="1145"/>
      <c r="U18" s="1549"/>
    </row>
    <row r="19" spans="1:21" ht="18">
      <c r="A19" s="491" t="s">
        <v>540</v>
      </c>
      <c r="B19" s="816">
        <v>200000</v>
      </c>
      <c r="C19" s="816">
        <v>200000</v>
      </c>
      <c r="D19" s="816">
        <v>200000</v>
      </c>
      <c r="E19" s="816"/>
      <c r="F19" s="816"/>
      <c r="G19" s="816"/>
      <c r="H19" s="816"/>
      <c r="I19" s="816"/>
      <c r="J19" s="817"/>
      <c r="K19" s="1144"/>
      <c r="L19" s="816"/>
      <c r="M19" s="816"/>
      <c r="N19" s="816"/>
      <c r="O19" s="816"/>
      <c r="P19" s="816"/>
      <c r="Q19" s="816"/>
      <c r="R19" s="496"/>
      <c r="S19" s="496"/>
      <c r="T19" s="1145"/>
      <c r="U19" s="1549"/>
    </row>
    <row r="20" spans="1:21" ht="18">
      <c r="A20" s="868" t="s">
        <v>538</v>
      </c>
      <c r="B20" s="816">
        <v>100000</v>
      </c>
      <c r="C20" s="816">
        <v>100000</v>
      </c>
      <c r="D20" s="816">
        <v>100000</v>
      </c>
      <c r="E20" s="816"/>
      <c r="F20" s="816"/>
      <c r="G20" s="816"/>
      <c r="H20" s="816"/>
      <c r="I20" s="816"/>
      <c r="J20" s="817"/>
      <c r="K20" s="1144"/>
      <c r="L20" s="816"/>
      <c r="M20" s="816"/>
      <c r="N20" s="816"/>
      <c r="O20" s="816"/>
      <c r="P20" s="816"/>
      <c r="Q20" s="816"/>
      <c r="R20" s="496"/>
      <c r="S20" s="496"/>
      <c r="T20" s="1145"/>
      <c r="U20" s="1549"/>
    </row>
    <row r="21" spans="1:21" ht="18.75" thickBot="1">
      <c r="A21" s="1154" t="s">
        <v>539</v>
      </c>
      <c r="B21" s="971">
        <v>50000</v>
      </c>
      <c r="C21" s="971">
        <v>50000</v>
      </c>
      <c r="D21" s="971">
        <v>50000</v>
      </c>
      <c r="E21" s="971"/>
      <c r="F21" s="971"/>
      <c r="G21" s="816"/>
      <c r="H21" s="816"/>
      <c r="I21" s="816"/>
      <c r="J21" s="817"/>
      <c r="K21" s="1155"/>
      <c r="L21" s="971"/>
      <c r="M21" s="971"/>
      <c r="N21" s="971"/>
      <c r="O21" s="971"/>
      <c r="P21" s="1683"/>
      <c r="Q21" s="1682"/>
      <c r="R21" s="1146"/>
      <c r="S21" s="1146"/>
      <c r="T21" s="1147"/>
      <c r="U21" s="1550"/>
    </row>
    <row r="22" spans="1:21" ht="18">
      <c r="A22" s="1154" t="s">
        <v>574</v>
      </c>
      <c r="B22" s="1677"/>
      <c r="C22" s="1677">
        <v>50000</v>
      </c>
      <c r="D22" s="1677">
        <v>50000</v>
      </c>
      <c r="E22" s="1677">
        <v>50000</v>
      </c>
      <c r="F22" s="1677"/>
      <c r="G22" s="1677"/>
      <c r="H22" s="1677"/>
      <c r="I22" s="1677"/>
      <c r="J22" s="1678"/>
      <c r="K22" s="1679"/>
      <c r="L22" s="1556"/>
      <c r="M22" s="1556"/>
      <c r="N22" s="1556"/>
      <c r="O22" s="1556"/>
      <c r="P22" s="1684"/>
      <c r="Q22" s="1680"/>
      <c r="R22" s="1555"/>
      <c r="S22" s="1555"/>
      <c r="T22" s="1681"/>
      <c r="U22" s="1681"/>
    </row>
    <row r="23" spans="1:21" ht="18">
      <c r="A23" s="1154" t="s">
        <v>763</v>
      </c>
      <c r="B23" s="1677"/>
      <c r="C23" s="1677"/>
      <c r="D23" s="1677"/>
      <c r="E23" s="1677">
        <v>15000</v>
      </c>
      <c r="F23" s="1677"/>
      <c r="G23" s="1677"/>
      <c r="H23" s="1677"/>
      <c r="I23" s="1677"/>
      <c r="J23" s="1678"/>
      <c r="K23" s="1679"/>
      <c r="L23" s="1556"/>
      <c r="M23" s="1556"/>
      <c r="N23" s="1556"/>
      <c r="O23" s="1556"/>
      <c r="P23" s="1684"/>
      <c r="Q23" s="1680"/>
      <c r="R23" s="1555"/>
      <c r="S23" s="1555"/>
      <c r="T23" s="1690"/>
      <c r="U23" s="1681"/>
    </row>
    <row r="24" spans="1:21" ht="18">
      <c r="A24" s="1686" t="s">
        <v>762</v>
      </c>
      <c r="B24" s="1556"/>
      <c r="C24" s="1556"/>
      <c r="D24" s="1556"/>
      <c r="E24" s="1556">
        <v>10000</v>
      </c>
      <c r="F24" s="1556"/>
      <c r="G24" s="1556"/>
      <c r="H24" s="1556"/>
      <c r="I24" s="1556"/>
      <c r="J24" s="1557"/>
      <c r="K24" s="1679"/>
      <c r="L24" s="1556"/>
      <c r="M24" s="1556"/>
      <c r="N24" s="1556"/>
      <c r="O24" s="1556"/>
      <c r="P24" s="1684"/>
      <c r="Q24" s="1680"/>
      <c r="R24" s="1687"/>
      <c r="S24" s="1687"/>
      <c r="T24" s="1688"/>
      <c r="U24" s="1689"/>
    </row>
    <row r="25" spans="1:21" ht="18.75" thickBot="1">
      <c r="A25" s="494" t="s">
        <v>761</v>
      </c>
      <c r="B25" s="968"/>
      <c r="C25" s="968"/>
      <c r="D25" s="968"/>
      <c r="E25" s="968">
        <v>127950</v>
      </c>
      <c r="F25" s="968"/>
      <c r="G25" s="968"/>
      <c r="H25" s="968"/>
      <c r="I25" s="968"/>
      <c r="J25" s="969"/>
      <c r="K25" s="1675"/>
      <c r="L25" s="1568"/>
      <c r="M25" s="1568"/>
      <c r="N25" s="1568"/>
      <c r="O25" s="1568"/>
      <c r="P25" s="1685"/>
      <c r="Q25" s="1676"/>
      <c r="R25" s="1151"/>
      <c r="S25" s="1151"/>
      <c r="T25" s="1571"/>
      <c r="U25" s="1551"/>
    </row>
    <row r="26" spans="1:21" ht="23.25" customHeight="1" thickBot="1">
      <c r="A26" s="826" t="s">
        <v>307</v>
      </c>
      <c r="B26" s="827">
        <f>SUM(B9:B21)</f>
        <v>5605000</v>
      </c>
      <c r="C26" s="827">
        <f>SUM(C10:C22)</f>
        <v>5655000</v>
      </c>
      <c r="D26" s="827">
        <f>SUM(D10:D22)</f>
        <v>5655000</v>
      </c>
      <c r="E26" s="1691">
        <f>SUM(E10:E25)</f>
        <v>5162950</v>
      </c>
      <c r="F26" s="827">
        <f>SUM(F9:F22)</f>
        <v>0</v>
      </c>
      <c r="G26" s="827"/>
      <c r="H26" s="827"/>
      <c r="I26" s="827"/>
      <c r="J26" s="1547"/>
      <c r="K26" s="1552"/>
      <c r="L26" s="1137"/>
      <c r="M26" s="1137"/>
      <c r="N26" s="1137"/>
      <c r="O26" s="1137"/>
      <c r="P26" s="1138">
        <f>SUM(P9:P14)</f>
        <v>1890000</v>
      </c>
      <c r="Q26" s="1553">
        <f>SUM(Q9:Q14)</f>
        <v>2340000</v>
      </c>
      <c r="R26" s="1137">
        <f>SUM(R9:R14)</f>
        <v>0</v>
      </c>
      <c r="S26" s="1137">
        <f>SUM(S9:S14)</f>
        <v>0</v>
      </c>
      <c r="T26" s="1137">
        <f>SUM(T9:T14)</f>
        <v>0</v>
      </c>
      <c r="U26" s="1554">
        <f>SUM(U9:U22)</f>
        <v>2340000</v>
      </c>
    </row>
    <row r="27" spans="1:21" ht="15">
      <c r="A27" s="493"/>
      <c r="B27" s="494"/>
      <c r="C27" s="494"/>
      <c r="D27" s="494"/>
      <c r="E27" s="494"/>
      <c r="F27" s="495"/>
      <c r="G27" s="495"/>
      <c r="H27" s="495"/>
      <c r="I27" s="495"/>
      <c r="J27" s="495"/>
      <c r="K27" s="494"/>
      <c r="L27" s="494"/>
      <c r="M27" s="494"/>
      <c r="N27" s="494"/>
      <c r="O27" s="494"/>
      <c r="P27" s="495"/>
      <c r="S27" s="424"/>
      <c r="T27" s="424"/>
    </row>
    <row r="28" spans="1:21" ht="23.25" customHeight="1">
      <c r="A28" s="1859" t="s">
        <v>363</v>
      </c>
      <c r="B28" s="1859"/>
      <c r="C28" s="1859"/>
      <c r="D28" s="1859"/>
      <c r="E28" s="1859"/>
      <c r="F28" s="1859"/>
      <c r="G28" s="1859"/>
      <c r="H28" s="1859"/>
      <c r="I28" s="1859"/>
      <c r="J28" s="1859"/>
      <c r="K28" s="1859"/>
      <c r="L28" s="1859"/>
      <c r="M28" s="1859"/>
      <c r="N28" s="1859"/>
      <c r="O28" s="1859"/>
      <c r="P28" s="1859"/>
    </row>
    <row r="29" spans="1:21" ht="13.5" thickBot="1">
      <c r="P29" s="484"/>
    </row>
    <row r="30" spans="1:21" ht="29.25" customHeight="1" thickBot="1">
      <c r="A30" s="1860" t="s">
        <v>364</v>
      </c>
      <c r="B30" s="1862" t="s">
        <v>354</v>
      </c>
      <c r="C30" s="1862"/>
      <c r="D30" s="1862"/>
      <c r="E30" s="1862"/>
      <c r="F30" s="1862"/>
      <c r="G30" s="1862"/>
      <c r="H30" s="1862"/>
      <c r="I30" s="1862"/>
      <c r="J30" s="1862"/>
      <c r="K30" s="1865" t="s">
        <v>355</v>
      </c>
      <c r="L30" s="1866"/>
      <c r="M30" s="1866"/>
      <c r="N30" s="1866"/>
      <c r="O30" s="1866"/>
      <c r="P30" s="1866"/>
      <c r="Q30" s="1866"/>
      <c r="R30" s="1866"/>
      <c r="S30" s="1866"/>
      <c r="T30" s="1866"/>
      <c r="U30" s="1867"/>
    </row>
    <row r="31" spans="1:21" ht="29.25" customHeight="1" thickBot="1">
      <c r="A31" s="1861"/>
      <c r="B31" s="1855" t="s">
        <v>356</v>
      </c>
      <c r="C31" s="1855"/>
      <c r="D31" s="1855"/>
      <c r="E31" s="1855"/>
      <c r="F31" s="1856" t="s">
        <v>357</v>
      </c>
      <c r="G31" s="1856"/>
      <c r="H31" s="1856"/>
      <c r="I31" s="1856"/>
      <c r="J31" s="1856"/>
      <c r="K31" s="1863" t="s">
        <v>356</v>
      </c>
      <c r="L31" s="1864"/>
      <c r="M31" s="1864"/>
      <c r="N31" s="1864"/>
      <c r="O31" s="1864"/>
      <c r="P31" s="1871" t="s">
        <v>357</v>
      </c>
      <c r="Q31" s="1872"/>
      <c r="R31" s="1872"/>
      <c r="S31" s="1872"/>
      <c r="T31" s="1872"/>
      <c r="U31" s="1873"/>
    </row>
    <row r="32" spans="1:21" ht="29.25" hidden="1" customHeight="1">
      <c r="A32" s="1561"/>
      <c r="B32" s="487" t="s">
        <v>358</v>
      </c>
      <c r="C32" s="487" t="s">
        <v>10</v>
      </c>
      <c r="D32" s="488" t="s">
        <v>359</v>
      </c>
      <c r="E32" s="487" t="s">
        <v>14</v>
      </c>
      <c r="F32" s="487" t="s">
        <v>358</v>
      </c>
      <c r="G32" s="487" t="s">
        <v>10</v>
      </c>
      <c r="H32" s="487" t="s">
        <v>365</v>
      </c>
      <c r="I32" s="487" t="s">
        <v>301</v>
      </c>
      <c r="J32" s="1135" t="s">
        <v>14</v>
      </c>
      <c r="K32" s="1546" t="s">
        <v>358</v>
      </c>
      <c r="L32" s="487" t="s">
        <v>10</v>
      </c>
      <c r="M32" s="487" t="s">
        <v>365</v>
      </c>
      <c r="N32" s="487" t="s">
        <v>13</v>
      </c>
      <c r="O32" s="487" t="s">
        <v>14</v>
      </c>
      <c r="P32" s="487" t="s">
        <v>358</v>
      </c>
      <c r="Q32" s="487" t="s">
        <v>10</v>
      </c>
      <c r="R32" s="488" t="s">
        <v>359</v>
      </c>
      <c r="S32" s="487" t="s">
        <v>13</v>
      </c>
      <c r="T32" s="1140" t="s">
        <v>14</v>
      </c>
      <c r="U32" s="1136"/>
    </row>
    <row r="33" spans="1:21" ht="18" hidden="1">
      <c r="A33" s="1562" t="s">
        <v>366</v>
      </c>
      <c r="B33" s="490"/>
      <c r="C33" s="490"/>
      <c r="D33" s="490"/>
      <c r="E33" s="490"/>
      <c r="F33" s="490"/>
      <c r="G33" s="490"/>
      <c r="H33" s="490"/>
      <c r="I33" s="490"/>
      <c r="J33" s="492"/>
      <c r="K33" s="1149"/>
      <c r="L33" s="490"/>
      <c r="M33" s="490"/>
      <c r="N33" s="490"/>
      <c r="O33" s="490"/>
      <c r="P33" s="490"/>
      <c r="Q33" s="490"/>
      <c r="R33" s="490"/>
      <c r="S33" s="490"/>
      <c r="T33" s="1142"/>
      <c r="U33" s="1136"/>
    </row>
    <row r="34" spans="1:21" ht="18" hidden="1">
      <c r="A34" s="1563" t="s">
        <v>367</v>
      </c>
      <c r="B34" s="496"/>
      <c r="C34" s="496"/>
      <c r="D34" s="496"/>
      <c r="E34" s="496"/>
      <c r="F34" s="496"/>
      <c r="G34" s="496"/>
      <c r="H34" s="496"/>
      <c r="I34" s="496"/>
      <c r="J34" s="497"/>
      <c r="K34" s="1573"/>
      <c r="L34" s="496"/>
      <c r="M34" s="496"/>
      <c r="N34" s="496"/>
      <c r="O34" s="496"/>
      <c r="P34" s="496"/>
      <c r="Q34" s="496"/>
      <c r="R34" s="496"/>
      <c r="S34" s="496"/>
      <c r="T34" s="1145"/>
      <c r="U34" s="1136"/>
    </row>
    <row r="35" spans="1:21" ht="18">
      <c r="A35" s="1563" t="s">
        <v>541</v>
      </c>
      <c r="B35" s="816">
        <v>500000</v>
      </c>
      <c r="C35" s="816">
        <v>500000</v>
      </c>
      <c r="D35" s="816">
        <v>500000</v>
      </c>
      <c r="E35" s="816">
        <v>400000</v>
      </c>
      <c r="F35" s="816"/>
      <c r="G35" s="496"/>
      <c r="H35" s="496"/>
      <c r="I35" s="496"/>
      <c r="J35" s="497"/>
      <c r="K35" s="1574"/>
      <c r="L35" s="1575"/>
      <c r="M35" s="1575"/>
      <c r="N35" s="1575"/>
      <c r="O35" s="1575"/>
      <c r="P35" s="1575"/>
      <c r="Q35" s="1583"/>
      <c r="R35" s="1580"/>
      <c r="S35" s="1575"/>
      <c r="T35" s="1576"/>
      <c r="U35" s="1577"/>
    </row>
    <row r="36" spans="1:21" ht="18">
      <c r="A36" s="1563" t="s">
        <v>494</v>
      </c>
      <c r="B36" s="816"/>
      <c r="C36" s="816"/>
      <c r="D36" s="816"/>
      <c r="E36" s="816"/>
      <c r="F36" s="816"/>
      <c r="G36" s="496"/>
      <c r="H36" s="496"/>
      <c r="I36" s="496"/>
      <c r="J36" s="497"/>
      <c r="K36" s="1149"/>
      <c r="L36" s="490"/>
      <c r="M36" s="490"/>
      <c r="N36" s="490"/>
      <c r="O36" s="490"/>
      <c r="P36" s="490"/>
      <c r="Q36" s="1584"/>
      <c r="R36" s="1581"/>
      <c r="S36" s="490"/>
      <c r="T36" s="492"/>
      <c r="U36" s="1578"/>
    </row>
    <row r="37" spans="1:21" ht="18">
      <c r="A37" s="1563" t="s">
        <v>525</v>
      </c>
      <c r="B37" s="816">
        <v>550000</v>
      </c>
      <c r="C37" s="816">
        <v>550000</v>
      </c>
      <c r="D37" s="816">
        <v>550000</v>
      </c>
      <c r="E37" s="816">
        <v>396520</v>
      </c>
      <c r="F37" s="816"/>
      <c r="G37" s="496"/>
      <c r="H37" s="496"/>
      <c r="I37" s="496"/>
      <c r="J37" s="497"/>
      <c r="K37" s="1149"/>
      <c r="L37" s="490"/>
      <c r="M37" s="490"/>
      <c r="N37" s="490"/>
      <c r="O37" s="490"/>
      <c r="P37" s="490"/>
      <c r="Q37" s="1584"/>
      <c r="R37" s="1581"/>
      <c r="S37" s="490"/>
      <c r="T37" s="492"/>
      <c r="U37" s="1578"/>
    </row>
    <row r="38" spans="1:21" ht="18">
      <c r="A38" s="1563" t="s">
        <v>542</v>
      </c>
      <c r="B38" s="816">
        <v>40000</v>
      </c>
      <c r="C38" s="816">
        <v>40000</v>
      </c>
      <c r="D38" s="816">
        <v>40000</v>
      </c>
      <c r="E38" s="816"/>
      <c r="F38" s="816"/>
      <c r="G38" s="496"/>
      <c r="H38" s="496"/>
      <c r="I38" s="496"/>
      <c r="J38" s="497"/>
      <c r="K38" s="1149"/>
      <c r="L38" s="490"/>
      <c r="M38" s="490"/>
      <c r="N38" s="490"/>
      <c r="O38" s="490"/>
      <c r="P38" s="490"/>
      <c r="Q38" s="1584"/>
      <c r="R38" s="1581"/>
      <c r="S38" s="490"/>
      <c r="T38" s="492"/>
      <c r="U38" s="1578"/>
    </row>
    <row r="39" spans="1:21" ht="18">
      <c r="A39" s="1563" t="s">
        <v>519</v>
      </c>
      <c r="B39" s="816">
        <v>100000</v>
      </c>
      <c r="C39" s="816">
        <v>100000</v>
      </c>
      <c r="D39" s="816">
        <v>100000</v>
      </c>
      <c r="E39" s="816">
        <v>100000</v>
      </c>
      <c r="F39" s="816"/>
      <c r="G39" s="496"/>
      <c r="H39" s="496"/>
      <c r="I39" s="496"/>
      <c r="J39" s="497"/>
      <c r="K39" s="1149"/>
      <c r="L39" s="490"/>
      <c r="M39" s="490"/>
      <c r="N39" s="490"/>
      <c r="O39" s="490"/>
      <c r="P39" s="490"/>
      <c r="Q39" s="1584"/>
      <c r="R39" s="1581"/>
      <c r="S39" s="490"/>
      <c r="T39" s="492"/>
      <c r="U39" s="1578"/>
    </row>
    <row r="40" spans="1:21" ht="18" hidden="1">
      <c r="A40" s="1563" t="s">
        <v>368</v>
      </c>
      <c r="B40" s="816"/>
      <c r="C40" s="816"/>
      <c r="D40" s="816"/>
      <c r="E40" s="816"/>
      <c r="F40" s="816"/>
      <c r="G40" s="496"/>
      <c r="H40" s="496"/>
      <c r="I40" s="496"/>
      <c r="J40" s="497"/>
      <c r="K40" s="1149"/>
      <c r="L40" s="490"/>
      <c r="M40" s="490"/>
      <c r="N40" s="490"/>
      <c r="O40" s="490"/>
      <c r="P40" s="490"/>
      <c r="Q40" s="1584"/>
      <c r="R40" s="1581"/>
      <c r="S40" s="490"/>
      <c r="T40" s="492"/>
      <c r="U40" s="1578"/>
    </row>
    <row r="41" spans="1:21" ht="47.25" hidden="1" customHeight="1">
      <c r="A41" s="1563" t="s">
        <v>369</v>
      </c>
      <c r="B41" s="816"/>
      <c r="C41" s="816"/>
      <c r="D41" s="816"/>
      <c r="E41" s="816"/>
      <c r="F41" s="816"/>
      <c r="G41" s="496"/>
      <c r="H41" s="496"/>
      <c r="I41" s="496"/>
      <c r="J41" s="497"/>
      <c r="K41" s="1149"/>
      <c r="L41" s="490"/>
      <c r="M41" s="490"/>
      <c r="N41" s="490"/>
      <c r="O41" s="490"/>
      <c r="P41" s="490"/>
      <c r="Q41" s="1584"/>
      <c r="R41" s="1581"/>
      <c r="S41" s="490"/>
      <c r="T41" s="492"/>
      <c r="U41" s="1578"/>
    </row>
    <row r="42" spans="1:21" ht="39" hidden="1" customHeight="1">
      <c r="A42" s="1563"/>
      <c r="B42" s="816"/>
      <c r="C42" s="816"/>
      <c r="D42" s="816"/>
      <c r="E42" s="816"/>
      <c r="F42" s="816"/>
      <c r="G42" s="496"/>
      <c r="H42" s="496"/>
      <c r="I42" s="496"/>
      <c r="J42" s="497"/>
      <c r="K42" s="1149"/>
      <c r="L42" s="490"/>
      <c r="M42" s="490"/>
      <c r="N42" s="490"/>
      <c r="O42" s="490"/>
      <c r="P42" s="490"/>
      <c r="Q42" s="1584"/>
      <c r="R42" s="1581"/>
      <c r="S42" s="490"/>
      <c r="T42" s="492"/>
      <c r="U42" s="1578"/>
    </row>
    <row r="43" spans="1:21" ht="39" hidden="1" customHeight="1">
      <c r="A43" s="1563"/>
      <c r="B43" s="816"/>
      <c r="C43" s="816"/>
      <c r="D43" s="816"/>
      <c r="E43" s="816"/>
      <c r="F43" s="816"/>
      <c r="G43" s="496"/>
      <c r="H43" s="496"/>
      <c r="I43" s="496"/>
      <c r="J43" s="497"/>
      <c r="K43" s="1149"/>
      <c r="L43" s="490"/>
      <c r="M43" s="490"/>
      <c r="N43" s="490"/>
      <c r="O43" s="490"/>
      <c r="P43" s="490"/>
      <c r="Q43" s="1584"/>
      <c r="R43" s="1581"/>
      <c r="S43" s="490"/>
      <c r="T43" s="492"/>
      <c r="U43" s="1578"/>
    </row>
    <row r="44" spans="1:21" ht="39" hidden="1" customHeight="1">
      <c r="A44" s="1563"/>
      <c r="B44" s="816"/>
      <c r="C44" s="816"/>
      <c r="D44" s="816"/>
      <c r="E44" s="816"/>
      <c r="F44" s="816"/>
      <c r="G44" s="496"/>
      <c r="H44" s="496"/>
      <c r="I44" s="496"/>
      <c r="J44" s="497"/>
      <c r="K44" s="1149"/>
      <c r="L44" s="490"/>
      <c r="M44" s="490"/>
      <c r="N44" s="490"/>
      <c r="O44" s="490"/>
      <c r="P44" s="490"/>
      <c r="Q44" s="1584"/>
      <c r="R44" s="1581"/>
      <c r="S44" s="490"/>
      <c r="T44" s="492"/>
      <c r="U44" s="1578"/>
    </row>
    <row r="45" spans="1:21" ht="39" hidden="1" customHeight="1">
      <c r="A45" s="1563"/>
      <c r="B45" s="816"/>
      <c r="C45" s="816"/>
      <c r="D45" s="816"/>
      <c r="E45" s="816"/>
      <c r="F45" s="816"/>
      <c r="G45" s="496"/>
      <c r="H45" s="496"/>
      <c r="I45" s="496"/>
      <c r="J45" s="497"/>
      <c r="K45" s="1149"/>
      <c r="L45" s="490"/>
      <c r="M45" s="490"/>
      <c r="N45" s="490"/>
      <c r="O45" s="490"/>
      <c r="P45" s="490"/>
      <c r="Q45" s="1584"/>
      <c r="R45" s="1581"/>
      <c r="S45" s="490"/>
      <c r="T45" s="492"/>
      <c r="U45" s="1578"/>
    </row>
    <row r="46" spans="1:21" ht="39" hidden="1" customHeight="1">
      <c r="A46" s="1563"/>
      <c r="B46" s="816"/>
      <c r="C46" s="816"/>
      <c r="D46" s="816"/>
      <c r="E46" s="816"/>
      <c r="F46" s="816"/>
      <c r="G46" s="496"/>
      <c r="H46" s="496"/>
      <c r="I46" s="496"/>
      <c r="J46" s="497"/>
      <c r="K46" s="1149"/>
      <c r="L46" s="490"/>
      <c r="M46" s="490"/>
      <c r="N46" s="490"/>
      <c r="O46" s="490"/>
      <c r="P46" s="490"/>
      <c r="Q46" s="1584"/>
      <c r="R46" s="1581"/>
      <c r="S46" s="490"/>
      <c r="T46" s="492"/>
      <c r="U46" s="1578"/>
    </row>
    <row r="47" spans="1:21" ht="39" hidden="1" customHeight="1">
      <c r="A47" s="1563"/>
      <c r="B47" s="816"/>
      <c r="C47" s="816"/>
      <c r="D47" s="816"/>
      <c r="E47" s="816"/>
      <c r="F47" s="816"/>
      <c r="G47" s="496"/>
      <c r="H47" s="496"/>
      <c r="I47" s="496"/>
      <c r="J47" s="497"/>
      <c r="K47" s="1149"/>
      <c r="L47" s="490"/>
      <c r="M47" s="490"/>
      <c r="N47" s="490"/>
      <c r="O47" s="490"/>
      <c r="P47" s="490"/>
      <c r="Q47" s="1584"/>
      <c r="R47" s="1581"/>
      <c r="S47" s="490"/>
      <c r="T47" s="492"/>
      <c r="U47" s="1578"/>
    </row>
    <row r="48" spans="1:21" ht="18" customHeight="1">
      <c r="A48" s="1564" t="s">
        <v>520</v>
      </c>
      <c r="B48" s="971">
        <v>300000</v>
      </c>
      <c r="C48" s="971">
        <v>300000</v>
      </c>
      <c r="D48" s="971">
        <v>300000</v>
      </c>
      <c r="E48" s="971">
        <v>238000</v>
      </c>
      <c r="F48" s="972"/>
      <c r="G48" s="973"/>
      <c r="H48" s="973"/>
      <c r="I48" s="973"/>
      <c r="J48" s="973"/>
      <c r="K48" s="1150"/>
      <c r="L48" s="974"/>
      <c r="M48" s="974"/>
      <c r="N48" s="974"/>
      <c r="O48" s="974"/>
      <c r="P48" s="974"/>
      <c r="Q48" s="1585"/>
      <c r="R48" s="1582"/>
      <c r="S48" s="496"/>
      <c r="T48" s="497"/>
      <c r="U48" s="1578"/>
    </row>
    <row r="49" spans="1:21" ht="30.75">
      <c r="A49" s="1565" t="s">
        <v>547</v>
      </c>
      <c r="B49" s="1556">
        <v>4586000</v>
      </c>
      <c r="C49" s="1556">
        <f>4586000+377000</f>
        <v>4963000</v>
      </c>
      <c r="D49" s="1556">
        <v>4963000</v>
      </c>
      <c r="E49" s="1556">
        <v>4941202</v>
      </c>
      <c r="F49" s="1557"/>
      <c r="G49" s="1566"/>
      <c r="H49" s="1566"/>
      <c r="I49" s="1566"/>
      <c r="J49" s="1566"/>
      <c r="K49" s="1586"/>
      <c r="L49" s="970"/>
      <c r="M49" s="970"/>
      <c r="N49" s="970"/>
      <c r="O49" s="970"/>
      <c r="P49" s="1587"/>
      <c r="Q49" s="1588"/>
      <c r="R49" s="1582"/>
      <c r="S49" s="496"/>
      <c r="T49" s="497"/>
      <c r="U49" s="1589"/>
    </row>
    <row r="50" spans="1:21" ht="26.1" customHeight="1" thickBot="1">
      <c r="A50" s="1567" t="s">
        <v>595</v>
      </c>
      <c r="B50" s="1568"/>
      <c r="C50" s="1568"/>
      <c r="D50" s="1568"/>
      <c r="E50" s="1568">
        <v>142038</v>
      </c>
      <c r="F50" s="1569"/>
      <c r="G50" s="1570"/>
      <c r="H50" s="1570"/>
      <c r="I50" s="1570"/>
      <c r="J50" s="1570"/>
      <c r="K50" s="1590"/>
      <c r="L50" s="1591"/>
      <c r="M50" s="1591"/>
      <c r="N50" s="1591"/>
      <c r="O50" s="1591"/>
      <c r="P50" s="1152"/>
      <c r="Q50" s="1592"/>
      <c r="R50" s="1593"/>
      <c r="S50" s="1591"/>
      <c r="T50" s="1594"/>
      <c r="U50" s="1595"/>
    </row>
    <row r="51" spans="1:21" s="498" customFormat="1" ht="27" customHeight="1" thickBot="1">
      <c r="A51" s="1558" t="s">
        <v>307</v>
      </c>
      <c r="B51" s="1148">
        <f>SUM(B35:B49)</f>
        <v>6076000</v>
      </c>
      <c r="C51" s="1148">
        <f>SUM(C35:C49)</f>
        <v>6453000</v>
      </c>
      <c r="D51" s="1148">
        <f>SUM(D35:D49)</f>
        <v>6453000</v>
      </c>
      <c r="E51" s="1148">
        <f>SUM(E35:E50)</f>
        <v>6217760</v>
      </c>
      <c r="F51" s="1559">
        <f>SUM(F35:F47)</f>
        <v>0</v>
      </c>
      <c r="G51" s="1560"/>
      <c r="H51" s="1560"/>
      <c r="I51" s="1560"/>
      <c r="J51" s="1572"/>
      <c r="K51" s="1596"/>
      <c r="L51" s="824"/>
      <c r="M51" s="824"/>
      <c r="N51" s="824"/>
      <c r="O51" s="824"/>
      <c r="P51" s="1153"/>
      <c r="Q51" s="1579"/>
      <c r="R51" s="1597"/>
      <c r="S51" s="824"/>
      <c r="T51" s="825"/>
      <c r="U51" s="1598"/>
    </row>
    <row r="52" spans="1:21" ht="15">
      <c r="F52" s="495"/>
      <c r="P52" s="495">
        <f>SUM(K51:P51)</f>
        <v>0</v>
      </c>
    </row>
  </sheetData>
  <sheetProtection selectLockedCells="1" selectUnlockedCells="1"/>
  <mergeCells count="19">
    <mergeCell ref="K6:U6"/>
    <mergeCell ref="P7:U7"/>
    <mergeCell ref="K30:U30"/>
    <mergeCell ref="P31:U31"/>
    <mergeCell ref="K1:P1"/>
    <mergeCell ref="A2:P2"/>
    <mergeCell ref="A3:P3"/>
    <mergeCell ref="A4:P4"/>
    <mergeCell ref="A6:A7"/>
    <mergeCell ref="B6:J6"/>
    <mergeCell ref="B7:E7"/>
    <mergeCell ref="F7:J7"/>
    <mergeCell ref="K7:O7"/>
    <mergeCell ref="A28:P28"/>
    <mergeCell ref="A30:A31"/>
    <mergeCell ref="B30:J30"/>
    <mergeCell ref="B31:E31"/>
    <mergeCell ref="F31:J31"/>
    <mergeCell ref="K31:O31"/>
  </mergeCells>
  <phoneticPr fontId="0" type="noConversion"/>
  <printOptions horizontalCentered="1"/>
  <pageMargins left="0.59027777777777779" right="0.59027777777777779" top="0.78749999999999998" bottom="0.78749999999999998" header="0.51180555555555551" footer="0.51180555555555551"/>
  <pageSetup paperSize="9" scale="59" firstPageNumber="0" orientation="landscape" horizontalDpi="300" verticalDpi="300" r:id="rId1"/>
  <headerFooter alignWithMargins="0"/>
  <colBreaks count="1" manualBreakCount="1">
    <brk id="21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view="pageBreakPreview" topLeftCell="A5" zoomScale="60" zoomScaleNormal="100" workbookViewId="0">
      <selection activeCell="P20" sqref="P20"/>
    </sheetView>
  </sheetViews>
  <sheetFormatPr defaultColWidth="11.42578125" defaultRowHeight="12.75"/>
  <cols>
    <col min="1" max="2" width="11.42578125" style="236" customWidth="1"/>
    <col min="3" max="3" width="54.140625" style="236" customWidth="1"/>
    <col min="4" max="4" width="5.5703125" style="499" customWidth="1"/>
    <col min="5" max="5" width="14.140625" style="260" customWidth="1"/>
    <col min="6" max="6" width="0.85546875" style="260" hidden="1" customWidth="1"/>
    <col min="7" max="7" width="13.85546875" style="260" bestFit="1" customWidth="1"/>
    <col min="8" max="8" width="18.42578125" style="260" bestFit="1" customWidth="1"/>
    <col min="9" max="9" width="17.5703125" style="236" customWidth="1"/>
    <col min="10" max="12" width="0" style="236" hidden="1" customWidth="1"/>
    <col min="13" max="13" width="15.42578125" style="236" customWidth="1"/>
    <col min="14" max="14" width="0" style="236" hidden="1" customWidth="1"/>
    <col min="15" max="16384" width="11.42578125" style="236"/>
  </cols>
  <sheetData>
    <row r="1" spans="1:15" ht="29.25" customHeight="1">
      <c r="A1" s="1886" t="s">
        <v>507</v>
      </c>
      <c r="B1" s="1886"/>
      <c r="C1" s="1886"/>
      <c r="D1" s="1886"/>
      <c r="E1" s="1886"/>
      <c r="F1" s="1886"/>
      <c r="G1" s="1886"/>
      <c r="H1" s="1886"/>
      <c r="I1" s="1886"/>
      <c r="J1" s="1886"/>
      <c r="K1" s="1886"/>
      <c r="L1" s="1886"/>
      <c r="M1" s="1886"/>
    </row>
    <row r="2" spans="1:15">
      <c r="C2" s="9"/>
      <c r="M2" s="236" t="s">
        <v>370</v>
      </c>
    </row>
    <row r="3" spans="1:15" ht="15.75">
      <c r="A3" s="1882" t="s">
        <v>371</v>
      </c>
      <c r="B3" s="1882"/>
      <c r="C3" s="1882"/>
      <c r="D3" s="1882"/>
      <c r="E3" s="1882"/>
      <c r="F3" s="1882"/>
      <c r="G3" s="1882"/>
      <c r="H3" s="1882"/>
      <c r="I3" s="1882"/>
      <c r="J3" s="1882"/>
      <c r="K3" s="1882"/>
      <c r="L3" s="1882"/>
      <c r="M3" s="1882"/>
      <c r="N3" s="500"/>
    </row>
    <row r="4" spans="1:15" ht="16.5" thickBot="1">
      <c r="A4" s="501"/>
      <c r="C4" s="500"/>
      <c r="D4" s="500"/>
      <c r="E4" s="502"/>
      <c r="F4" s="502"/>
      <c r="G4" s="502"/>
      <c r="H4" s="502"/>
      <c r="I4" s="500"/>
      <c r="J4" s="500"/>
      <c r="K4" s="500"/>
      <c r="L4" s="500"/>
      <c r="M4" s="500" t="s">
        <v>490</v>
      </c>
      <c r="N4" s="500"/>
    </row>
    <row r="5" spans="1:15" s="509" customFormat="1" ht="31.5" customHeight="1" thickBot="1">
      <c r="A5" s="503" t="s">
        <v>2</v>
      </c>
      <c r="B5" s="504" t="s">
        <v>4</v>
      </c>
      <c r="C5" s="505" t="s">
        <v>372</v>
      </c>
      <c r="D5" s="506" t="s">
        <v>373</v>
      </c>
      <c r="E5" s="1887" t="s">
        <v>5</v>
      </c>
      <c r="F5" s="1888"/>
      <c r="G5" s="1426" t="s">
        <v>592</v>
      </c>
      <c r="H5" s="1426" t="s">
        <v>301</v>
      </c>
      <c r="I5" s="1885" t="s">
        <v>374</v>
      </c>
      <c r="J5" s="1885"/>
      <c r="K5" s="1885"/>
      <c r="L5" s="1885"/>
      <c r="M5" s="1885" t="s">
        <v>336</v>
      </c>
      <c r="N5" s="1885"/>
      <c r="O5" s="508"/>
    </row>
    <row r="6" spans="1:15" s="509" customFormat="1" ht="31.5" hidden="1" customHeight="1">
      <c r="A6" s="510"/>
      <c r="B6" s="511"/>
      <c r="C6" s="512"/>
      <c r="D6" s="513"/>
      <c r="E6" s="1384" t="s">
        <v>9</v>
      </c>
      <c r="F6" s="1385" t="s">
        <v>375</v>
      </c>
      <c r="G6" s="516" t="s">
        <v>301</v>
      </c>
      <c r="H6" s="517" t="s">
        <v>308</v>
      </c>
      <c r="I6" s="514" t="s">
        <v>9</v>
      </c>
      <c r="J6" s="515" t="s">
        <v>375</v>
      </c>
      <c r="K6" s="518"/>
      <c r="L6" s="519"/>
      <c r="M6" s="520" t="s">
        <v>9</v>
      </c>
      <c r="N6" s="521" t="s">
        <v>375</v>
      </c>
      <c r="O6" s="508"/>
    </row>
    <row r="7" spans="1:15" ht="29.25" customHeight="1">
      <c r="A7" s="1168">
        <v>1</v>
      </c>
      <c r="B7" s="1169" t="s">
        <v>376</v>
      </c>
      <c r="C7" s="1165" t="s">
        <v>521</v>
      </c>
      <c r="D7" s="523" t="s">
        <v>345</v>
      </c>
      <c r="E7" s="1386">
        <v>635000</v>
      </c>
      <c r="F7" s="1387"/>
      <c r="G7" s="1400">
        <v>840592</v>
      </c>
      <c r="H7" s="1692">
        <v>564805</v>
      </c>
      <c r="I7" s="524"/>
      <c r="J7" s="526"/>
      <c r="K7" s="526"/>
      <c r="L7" s="527"/>
      <c r="M7" s="818">
        <v>564805</v>
      </c>
      <c r="N7" s="528"/>
      <c r="O7" s="457"/>
    </row>
    <row r="8" spans="1:15" ht="29.25" customHeight="1">
      <c r="A8" s="1168">
        <v>2</v>
      </c>
      <c r="B8" s="1169" t="s">
        <v>376</v>
      </c>
      <c r="C8" s="1165" t="s">
        <v>522</v>
      </c>
      <c r="D8" s="523" t="s">
        <v>345</v>
      </c>
      <c r="E8" s="1388">
        <f>254000</f>
        <v>254000</v>
      </c>
      <c r="F8" s="1389"/>
      <c r="G8" s="1401">
        <v>254000</v>
      </c>
      <c r="H8" s="1692">
        <v>245515</v>
      </c>
      <c r="I8" s="532"/>
      <c r="J8" s="533"/>
      <c r="K8" s="533"/>
      <c r="L8" s="527"/>
      <c r="M8" s="819">
        <v>245515</v>
      </c>
      <c r="N8" s="528"/>
      <c r="O8" s="457"/>
    </row>
    <row r="9" spans="1:15" ht="29.25" customHeight="1">
      <c r="A9" s="1168">
        <v>3</v>
      </c>
      <c r="B9" s="1169" t="s">
        <v>376</v>
      </c>
      <c r="C9" s="1165" t="s">
        <v>546</v>
      </c>
      <c r="D9" s="534" t="s">
        <v>345</v>
      </c>
      <c r="E9" s="1390">
        <v>1016000</v>
      </c>
      <c r="F9" s="1391"/>
      <c r="G9" s="1402">
        <v>1016000</v>
      </c>
      <c r="H9" s="1692">
        <v>979881</v>
      </c>
      <c r="I9" s="524"/>
      <c r="J9" s="536"/>
      <c r="K9" s="536"/>
      <c r="L9" s="527"/>
      <c r="M9" s="820">
        <v>979881</v>
      </c>
      <c r="N9" s="528"/>
      <c r="O9" s="457"/>
    </row>
    <row r="10" spans="1:15" ht="29.25" customHeight="1">
      <c r="A10" s="1168">
        <v>4</v>
      </c>
      <c r="B10" s="1169" t="s">
        <v>376</v>
      </c>
      <c r="C10" s="1165" t="s">
        <v>562</v>
      </c>
      <c r="D10" s="534" t="s">
        <v>345</v>
      </c>
      <c r="E10" s="1390">
        <f>2794000+381000+444500+762000</f>
        <v>4381500</v>
      </c>
      <c r="F10" s="1391"/>
      <c r="G10" s="1402">
        <v>4381500</v>
      </c>
      <c r="H10" s="1692">
        <v>4830284</v>
      </c>
      <c r="I10" s="524"/>
      <c r="J10" s="536"/>
      <c r="K10" s="536"/>
      <c r="L10" s="527"/>
      <c r="M10" s="820">
        <v>4830284</v>
      </c>
      <c r="N10" s="537"/>
      <c r="O10" s="457"/>
    </row>
    <row r="11" spans="1:15" ht="29.25" customHeight="1">
      <c r="A11" s="1168">
        <v>5</v>
      </c>
      <c r="B11" s="1169" t="s">
        <v>376</v>
      </c>
      <c r="C11" s="1166" t="s">
        <v>564</v>
      </c>
      <c r="D11" s="534" t="s">
        <v>345</v>
      </c>
      <c r="E11" s="1390">
        <v>889000</v>
      </c>
      <c r="F11" s="1391"/>
      <c r="G11" s="1402">
        <v>889000</v>
      </c>
      <c r="H11" s="1692"/>
      <c r="I11" s="524"/>
      <c r="J11" s="536"/>
      <c r="K11" s="536"/>
      <c r="L11" s="527"/>
      <c r="M11" s="820"/>
      <c r="N11" s="537"/>
      <c r="O11" s="457"/>
    </row>
    <row r="12" spans="1:15" ht="29.25" hidden="1" customHeight="1">
      <c r="A12" s="1168"/>
      <c r="B12" s="1169"/>
      <c r="C12" s="1165"/>
      <c r="D12" s="534"/>
      <c r="E12" s="1392"/>
      <c r="F12" s="1391"/>
      <c r="G12" s="1402"/>
      <c r="H12" s="1692"/>
      <c r="I12" s="524"/>
      <c r="J12" s="536"/>
      <c r="K12" s="536"/>
      <c r="L12" s="527"/>
      <c r="M12" s="535"/>
      <c r="N12" s="537"/>
      <c r="O12" s="457"/>
    </row>
    <row r="13" spans="1:15" ht="29.25" hidden="1" customHeight="1">
      <c r="A13" s="1168"/>
      <c r="B13" s="1170"/>
      <c r="C13" s="1167"/>
      <c r="D13" s="534"/>
      <c r="E13" s="1392"/>
      <c r="F13" s="1391"/>
      <c r="G13" s="1402"/>
      <c r="H13" s="1692"/>
      <c r="I13" s="524"/>
      <c r="J13" s="536"/>
      <c r="K13" s="536"/>
      <c r="L13" s="527"/>
      <c r="M13" s="535"/>
      <c r="N13" s="537"/>
      <c r="O13" s="456"/>
    </row>
    <row r="14" spans="1:15" ht="29.25" hidden="1" customHeight="1">
      <c r="A14" s="1168"/>
      <c r="B14" s="1169"/>
      <c r="C14" s="1165"/>
      <c r="D14" s="534"/>
      <c r="E14" s="1392"/>
      <c r="F14" s="1391"/>
      <c r="G14" s="1402"/>
      <c r="H14" s="1692"/>
      <c r="I14" s="524"/>
      <c r="J14" s="536"/>
      <c r="K14" s="536"/>
      <c r="L14" s="527"/>
      <c r="M14" s="535"/>
      <c r="N14" s="537"/>
      <c r="O14" s="456"/>
    </row>
    <row r="15" spans="1:15" ht="29.25" hidden="1" customHeight="1">
      <c r="A15" s="1168"/>
      <c r="B15" s="1169"/>
      <c r="C15" s="1166"/>
      <c r="D15" s="534"/>
      <c r="E15" s="1392"/>
      <c r="F15" s="1391"/>
      <c r="G15" s="1402"/>
      <c r="H15" s="1692"/>
      <c r="I15" s="524"/>
      <c r="J15" s="536"/>
      <c r="K15" s="536"/>
      <c r="L15" s="527"/>
      <c r="M15" s="535"/>
      <c r="N15" s="537"/>
      <c r="O15" s="457"/>
    </row>
    <row r="16" spans="1:15" ht="29.25" hidden="1" customHeight="1">
      <c r="A16" s="1168"/>
      <c r="B16" s="1169"/>
      <c r="C16" s="1166"/>
      <c r="D16" s="534"/>
      <c r="E16" s="1392"/>
      <c r="F16" s="1391"/>
      <c r="G16" s="1402"/>
      <c r="H16" s="1692"/>
      <c r="I16" s="524"/>
      <c r="J16" s="536"/>
      <c r="K16" s="536"/>
      <c r="L16" s="527"/>
      <c r="M16" s="535"/>
      <c r="N16" s="539"/>
      <c r="O16" s="457"/>
    </row>
    <row r="17" spans="1:15" ht="29.25" customHeight="1">
      <c r="A17" s="1158">
        <v>6</v>
      </c>
      <c r="B17" s="1171" t="s">
        <v>376</v>
      </c>
      <c r="C17" s="1159" t="s">
        <v>575</v>
      </c>
      <c r="D17" s="1160" t="s">
        <v>345</v>
      </c>
      <c r="E17" s="1393">
        <v>5365750</v>
      </c>
      <c r="F17" s="1394"/>
      <c r="G17" s="1403">
        <v>5365750</v>
      </c>
      <c r="H17" s="1693">
        <v>5365750</v>
      </c>
      <c r="I17" s="1162">
        <v>5365750</v>
      </c>
      <c r="J17" s="1161"/>
      <c r="K17" s="1161"/>
      <c r="L17" s="1163"/>
      <c r="M17" s="1164"/>
      <c r="N17" s="1157"/>
      <c r="O17" s="457"/>
    </row>
    <row r="18" spans="1:15" ht="29.25" customHeight="1">
      <c r="A18" s="1200">
        <v>7</v>
      </c>
      <c r="B18" s="1201" t="s">
        <v>376</v>
      </c>
      <c r="C18" s="1202" t="s">
        <v>576</v>
      </c>
      <c r="D18" s="1203" t="s">
        <v>345</v>
      </c>
      <c r="E18" s="1395">
        <v>432552</v>
      </c>
      <c r="F18" s="1396"/>
      <c r="G18" s="1404">
        <v>432552</v>
      </c>
      <c r="H18" s="1694">
        <v>432552</v>
      </c>
      <c r="I18" s="1205">
        <v>432552</v>
      </c>
      <c r="J18" s="1204"/>
      <c r="K18" s="1204"/>
      <c r="L18" s="1206"/>
      <c r="M18" s="1207"/>
      <c r="N18" s="1157"/>
      <c r="O18" s="457"/>
    </row>
    <row r="19" spans="1:15" ht="29.25" customHeight="1" thickBot="1">
      <c r="A19" s="1172">
        <v>4</v>
      </c>
      <c r="B19" s="538" t="s">
        <v>376</v>
      </c>
      <c r="C19" s="1173" t="s">
        <v>577</v>
      </c>
      <c r="D19" s="1174" t="s">
        <v>345</v>
      </c>
      <c r="E19" s="1397">
        <v>12988616</v>
      </c>
      <c r="F19" s="1398"/>
      <c r="G19" s="1405">
        <v>45802874</v>
      </c>
      <c r="H19" s="1695">
        <v>45802874</v>
      </c>
      <c r="I19" s="1176">
        <v>45460157</v>
      </c>
      <c r="J19" s="1175"/>
      <c r="K19" s="1175"/>
      <c r="L19" s="1156"/>
      <c r="M19" s="1177">
        <v>342717</v>
      </c>
      <c r="N19" s="1157"/>
      <c r="O19" s="457"/>
    </row>
    <row r="20" spans="1:15" ht="31.5" customHeight="1" thickBot="1">
      <c r="A20" s="1881" t="s">
        <v>307</v>
      </c>
      <c r="B20" s="1881"/>
      <c r="C20" s="1881"/>
      <c r="D20" s="540"/>
      <c r="E20" s="1399">
        <f>SUM(E7:E19)</f>
        <v>25962418</v>
      </c>
      <c r="F20" s="1399">
        <f>SUM(F7:F19)</f>
        <v>0</v>
      </c>
      <c r="G20" s="1399">
        <f>SUM(G7:G19)</f>
        <v>58982268</v>
      </c>
      <c r="H20" s="1399">
        <f>SUM(H7:H19)</f>
        <v>58221661</v>
      </c>
      <c r="I20" s="541">
        <f>SUM(I17:I19)</f>
        <v>51258459</v>
      </c>
      <c r="J20" s="541"/>
      <c r="K20" s="541"/>
      <c r="L20" s="541"/>
      <c r="M20" s="541">
        <f>SUM(M7:M19)</f>
        <v>6963202</v>
      </c>
      <c r="N20" s="543"/>
      <c r="O20" s="457"/>
    </row>
    <row r="21" spans="1:15" ht="31.5" customHeight="1">
      <c r="A21" s="500"/>
      <c r="B21" s="500"/>
      <c r="C21" s="500"/>
      <c r="D21" s="544"/>
      <c r="E21" s="545"/>
      <c r="F21" s="545"/>
      <c r="G21" s="545"/>
      <c r="H21" s="546"/>
      <c r="I21" s="545"/>
      <c r="J21" s="545"/>
      <c r="K21" s="545"/>
      <c r="L21" s="545"/>
      <c r="M21" s="545"/>
      <c r="N21" s="545"/>
    </row>
    <row r="22" spans="1:15" ht="15.75">
      <c r="A22" s="500"/>
      <c r="B22" s="500"/>
      <c r="C22" s="500"/>
      <c r="D22" s="544"/>
      <c r="E22" s="545"/>
      <c r="F22" s="545"/>
      <c r="G22" s="545"/>
      <c r="H22" s="545"/>
      <c r="I22" s="547"/>
      <c r="J22" s="547"/>
      <c r="K22" s="547"/>
      <c r="L22" s="547"/>
      <c r="M22" s="547"/>
    </row>
    <row r="23" spans="1:15" ht="14.25">
      <c r="A23" s="1882" t="s">
        <v>377</v>
      </c>
      <c r="B23" s="1882"/>
      <c r="C23" s="1882"/>
      <c r="D23" s="1882"/>
      <c r="E23" s="1882"/>
      <c r="F23" s="1882"/>
      <c r="G23" s="1882"/>
      <c r="H23" s="1882"/>
      <c r="I23" s="1882"/>
      <c r="J23" s="1882"/>
      <c r="K23" s="1882"/>
      <c r="L23" s="1882"/>
      <c r="M23" s="1882"/>
    </row>
    <row r="24" spans="1:15">
      <c r="A24" s="499"/>
      <c r="B24" s="499"/>
      <c r="C24" s="499"/>
      <c r="E24" s="499"/>
      <c r="F24" s="499"/>
      <c r="G24" s="499"/>
      <c r="H24" s="499"/>
      <c r="I24" s="499"/>
      <c r="J24" s="499"/>
      <c r="K24" s="499"/>
      <c r="L24" s="499"/>
      <c r="M24" s="499"/>
    </row>
    <row r="25" spans="1:15" ht="29.25" customHeight="1" thickBot="1">
      <c r="A25" s="503" t="s">
        <v>2</v>
      </c>
      <c r="B25" s="504"/>
      <c r="C25" s="505" t="s">
        <v>378</v>
      </c>
      <c r="D25" s="506" t="s">
        <v>373</v>
      </c>
      <c r="E25" s="1883" t="s">
        <v>5</v>
      </c>
      <c r="F25" s="1883"/>
      <c r="G25" s="1884"/>
      <c r="H25" s="1884"/>
      <c r="I25" s="1885" t="s">
        <v>374</v>
      </c>
      <c r="J25" s="1885"/>
      <c r="K25" s="1885"/>
      <c r="L25" s="1885"/>
      <c r="M25" s="1885" t="s">
        <v>336</v>
      </c>
      <c r="N25" s="1885"/>
      <c r="O25" s="457"/>
    </row>
    <row r="26" spans="1:15" ht="28.5" hidden="1" customHeight="1">
      <c r="A26" s="548"/>
      <c r="B26" s="549"/>
      <c r="C26" s="550"/>
      <c r="D26" s="551"/>
      <c r="E26" s="514" t="s">
        <v>9</v>
      </c>
      <c r="F26" s="515" t="s">
        <v>375</v>
      </c>
      <c r="G26" s="516" t="s">
        <v>301</v>
      </c>
      <c r="H26" s="517" t="s">
        <v>308</v>
      </c>
      <c r="I26" s="514" t="s">
        <v>9</v>
      </c>
      <c r="J26" s="515" t="s">
        <v>375</v>
      </c>
      <c r="K26" s="518" t="s">
        <v>301</v>
      </c>
      <c r="L26" s="519" t="s">
        <v>308</v>
      </c>
      <c r="M26" s="507" t="s">
        <v>9</v>
      </c>
      <c r="N26" s="552" t="s">
        <v>375</v>
      </c>
      <c r="O26" s="457"/>
    </row>
    <row r="27" spans="1:15" ht="29.25" customHeight="1">
      <c r="A27" s="553">
        <v>1</v>
      </c>
      <c r="B27" s="554" t="s">
        <v>379</v>
      </c>
      <c r="C27" s="555" t="s">
        <v>566</v>
      </c>
      <c r="D27" s="556" t="s">
        <v>345</v>
      </c>
      <c r="E27" s="821">
        <v>10350000</v>
      </c>
      <c r="F27" s="557"/>
      <c r="G27" s="558">
        <v>10350000</v>
      </c>
      <c r="H27" s="1692">
        <v>10350945</v>
      </c>
      <c r="I27" s="559">
        <v>10000000</v>
      </c>
      <c r="J27" s="560"/>
      <c r="K27" s="561"/>
      <c r="L27" s="527"/>
      <c r="M27" s="823">
        <v>350000</v>
      </c>
      <c r="N27" s="562"/>
      <c r="O27" s="457"/>
    </row>
    <row r="28" spans="1:15" ht="29.25" customHeight="1">
      <c r="A28" s="563">
        <v>2</v>
      </c>
      <c r="B28" s="564" t="s">
        <v>379</v>
      </c>
      <c r="C28" s="565" t="s">
        <v>565</v>
      </c>
      <c r="D28" s="566" t="s">
        <v>345</v>
      </c>
      <c r="E28" s="894">
        <v>190500</v>
      </c>
      <c r="F28" s="568"/>
      <c r="G28" s="569">
        <v>190500</v>
      </c>
      <c r="H28" s="1692"/>
      <c r="I28" s="895"/>
      <c r="J28" s="561"/>
      <c r="K28" s="561"/>
      <c r="L28" s="527"/>
      <c r="M28" s="823">
        <v>190500</v>
      </c>
      <c r="N28" s="562"/>
      <c r="O28" s="457"/>
    </row>
    <row r="29" spans="1:15" ht="29.25" customHeight="1" thickBot="1">
      <c r="A29" s="563">
        <v>3</v>
      </c>
      <c r="B29" s="564" t="s">
        <v>379</v>
      </c>
      <c r="C29" s="565" t="s">
        <v>563</v>
      </c>
      <c r="D29" s="566" t="s">
        <v>345</v>
      </c>
      <c r="E29" s="567">
        <v>800100</v>
      </c>
      <c r="F29" s="568"/>
      <c r="G29" s="569">
        <v>800100</v>
      </c>
      <c r="H29" s="1692">
        <v>502920</v>
      </c>
      <c r="I29" s="524"/>
      <c r="J29" s="561"/>
      <c r="K29" s="561"/>
      <c r="L29" s="527"/>
      <c r="M29" s="537">
        <v>800100</v>
      </c>
      <c r="N29" s="537"/>
      <c r="O29" s="457"/>
    </row>
    <row r="30" spans="1:15" ht="29.25" hidden="1" customHeight="1">
      <c r="A30" s="563"/>
      <c r="B30" s="564"/>
      <c r="C30" s="522"/>
      <c r="D30" s="570"/>
      <c r="E30" s="529"/>
      <c r="F30" s="530"/>
      <c r="G30" s="531"/>
      <c r="H30" s="525"/>
      <c r="I30" s="532"/>
      <c r="J30" s="533"/>
      <c r="K30" s="561"/>
      <c r="L30" s="527"/>
      <c r="M30" s="562"/>
      <c r="N30" s="562"/>
      <c r="O30" s="457"/>
    </row>
    <row r="31" spans="1:15" ht="29.25" hidden="1" customHeight="1">
      <c r="A31" s="563"/>
      <c r="B31" s="564"/>
      <c r="C31" s="522"/>
      <c r="D31" s="570"/>
      <c r="E31" s="529"/>
      <c r="F31" s="530"/>
      <c r="G31" s="531"/>
      <c r="H31" s="525"/>
      <c r="I31" s="532"/>
      <c r="J31" s="533"/>
      <c r="K31" s="533"/>
      <c r="L31" s="527"/>
      <c r="M31" s="537"/>
      <c r="N31" s="537"/>
      <c r="O31" s="457"/>
    </row>
    <row r="32" spans="1:15" ht="29.25" hidden="1" customHeight="1">
      <c r="A32" s="563"/>
      <c r="B32" s="538"/>
      <c r="C32" s="571"/>
      <c r="D32" s="523"/>
      <c r="E32" s="529"/>
      <c r="F32" s="530"/>
      <c r="G32" s="531"/>
      <c r="H32" s="525"/>
      <c r="I32" s="532"/>
      <c r="J32" s="533"/>
      <c r="K32" s="533"/>
      <c r="L32" s="527"/>
      <c r="M32" s="537"/>
      <c r="N32" s="537"/>
      <c r="O32" s="457"/>
    </row>
    <row r="33" spans="1:15" ht="29.25" customHeight="1" thickBot="1">
      <c r="A33" s="1880" t="s">
        <v>307</v>
      </c>
      <c r="B33" s="1880"/>
      <c r="C33" s="1880"/>
      <c r="D33" s="540"/>
      <c r="E33" s="1192">
        <f>SUM(E27:E32)</f>
        <v>11340600</v>
      </c>
      <c r="F33" s="542">
        <f t="shared" ref="F33:M33" si="0">SUM(F27:F32)</f>
        <v>0</v>
      </c>
      <c r="G33" s="541">
        <f t="shared" si="0"/>
        <v>11340600</v>
      </c>
      <c r="H33" s="541">
        <f t="shared" si="0"/>
        <v>10853865</v>
      </c>
      <c r="I33" s="1192">
        <f>SUM(I27:I32)</f>
        <v>10000000</v>
      </c>
      <c r="J33" s="542">
        <f t="shared" si="0"/>
        <v>0</v>
      </c>
      <c r="K33" s="541">
        <f t="shared" si="0"/>
        <v>0</v>
      </c>
      <c r="L33" s="541">
        <f t="shared" si="0"/>
        <v>0</v>
      </c>
      <c r="M33" s="541">
        <f t="shared" si="0"/>
        <v>1340600</v>
      </c>
      <c r="N33" s="543"/>
      <c r="O33" s="457"/>
    </row>
  </sheetData>
  <sheetProtection selectLockedCells="1" selectUnlockedCells="1"/>
  <mergeCells count="12">
    <mergeCell ref="A1:M1"/>
    <mergeCell ref="A3:M3"/>
    <mergeCell ref="E5:F5"/>
    <mergeCell ref="I5:L5"/>
    <mergeCell ref="M5:N5"/>
    <mergeCell ref="A33:C33"/>
    <mergeCell ref="A20:C20"/>
    <mergeCell ref="A23:M23"/>
    <mergeCell ref="E25:F25"/>
    <mergeCell ref="G25:H25"/>
    <mergeCell ref="I25:L25"/>
    <mergeCell ref="M25:N25"/>
  </mergeCells>
  <phoneticPr fontId="0" type="noConversion"/>
  <printOptions horizontalCentered="1"/>
  <pageMargins left="0.59027777777777779" right="0.59027777777777779" top="0.78749999999999998" bottom="0.78749999999999998" header="0.51180555555555551" footer="0.51180555555555551"/>
  <pageSetup paperSize="9" scale="83" firstPageNumber="0" orientation="landscape" r:id="rId1"/>
  <headerFooter alignWithMargins="0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0"/>
  <sheetViews>
    <sheetView view="pageBreakPreview" zoomScale="60" zoomScaleNormal="100" workbookViewId="0">
      <selection activeCell="T11" sqref="T11"/>
    </sheetView>
  </sheetViews>
  <sheetFormatPr defaultColWidth="11.42578125" defaultRowHeight="15.75"/>
  <cols>
    <col min="1" max="1" width="4.5703125" style="572" customWidth="1"/>
    <col min="2" max="2" width="18.42578125" style="573" customWidth="1"/>
    <col min="3" max="3" width="9.42578125" style="574" customWidth="1"/>
    <col min="4" max="4" width="8.85546875" style="574" bestFit="1" customWidth="1"/>
    <col min="5" max="5" width="9.5703125" style="574" bestFit="1" customWidth="1"/>
    <col min="6" max="6" width="10.140625" style="574" customWidth="1"/>
    <col min="7" max="8" width="8.5703125" style="574" customWidth="1"/>
    <col min="9" max="9" width="9.5703125" style="574" customWidth="1"/>
    <col min="10" max="10" width="9" style="574" customWidth="1"/>
    <col min="11" max="11" width="9.85546875" style="574" customWidth="1"/>
    <col min="12" max="12" width="9" style="574" customWidth="1"/>
    <col min="13" max="13" width="8.85546875" style="574" customWidth="1"/>
    <col min="14" max="14" width="8.5703125" style="574" customWidth="1"/>
    <col min="15" max="15" width="9.85546875" style="572" customWidth="1"/>
    <col min="16" max="17" width="0" style="574" hidden="1" customWidth="1"/>
    <col min="18" max="18" width="11.140625" style="953" bestFit="1" customWidth="1"/>
    <col min="19" max="19" width="10.140625" style="574" bestFit="1" customWidth="1"/>
    <col min="20" max="22" width="11.42578125" style="574" customWidth="1"/>
    <col min="23" max="23" width="13.42578125" style="574" bestFit="1" customWidth="1"/>
    <col min="24" max="16384" width="11.42578125" style="574"/>
  </cols>
  <sheetData>
    <row r="1" spans="1:23">
      <c r="M1" s="1890" t="s">
        <v>380</v>
      </c>
      <c r="N1" s="1890"/>
      <c r="O1" s="1890"/>
    </row>
    <row r="2" spans="1:23" ht="31.5" customHeight="1">
      <c r="A2" s="1891" t="s">
        <v>557</v>
      </c>
      <c r="B2" s="1891"/>
      <c r="C2" s="1891"/>
      <c r="D2" s="1891"/>
      <c r="E2" s="1891"/>
      <c r="F2" s="1891"/>
      <c r="G2" s="1891"/>
      <c r="H2" s="1891"/>
      <c r="I2" s="1891"/>
      <c r="J2" s="1891"/>
      <c r="K2" s="1891"/>
      <c r="L2" s="1891"/>
      <c r="M2" s="1891"/>
      <c r="N2" s="1891"/>
      <c r="O2" s="1891"/>
    </row>
    <row r="3" spans="1:23" ht="16.5" customHeight="1" thickBot="1">
      <c r="G3" s="1892"/>
      <c r="H3" s="1892"/>
      <c r="I3" s="1892"/>
      <c r="O3" s="575" t="s">
        <v>497</v>
      </c>
    </row>
    <row r="4" spans="1:23" s="572" customFormat="1" ht="35.25" customHeight="1" thickBot="1">
      <c r="A4" s="576" t="s">
        <v>381</v>
      </c>
      <c r="B4" s="577" t="s">
        <v>139</v>
      </c>
      <c r="C4" s="578" t="s">
        <v>382</v>
      </c>
      <c r="D4" s="578" t="s">
        <v>383</v>
      </c>
      <c r="E4" s="578" t="s">
        <v>384</v>
      </c>
      <c r="F4" s="578" t="s">
        <v>385</v>
      </c>
      <c r="G4" s="578" t="s">
        <v>386</v>
      </c>
      <c r="H4" s="578" t="s">
        <v>387</v>
      </c>
      <c r="I4" s="578" t="s">
        <v>388</v>
      </c>
      <c r="J4" s="578" t="s">
        <v>389</v>
      </c>
      <c r="K4" s="578" t="s">
        <v>390</v>
      </c>
      <c r="L4" s="578" t="s">
        <v>391</v>
      </c>
      <c r="M4" s="578" t="s">
        <v>392</v>
      </c>
      <c r="N4" s="578" t="s">
        <v>393</v>
      </c>
      <c r="O4" s="579" t="s">
        <v>344</v>
      </c>
      <c r="R4" s="954"/>
    </row>
    <row r="5" spans="1:23" s="581" customFormat="1" ht="15" customHeight="1" thickBot="1">
      <c r="A5" s="580" t="s">
        <v>15</v>
      </c>
      <c r="B5" s="1889" t="s">
        <v>262</v>
      </c>
      <c r="C5" s="1889"/>
      <c r="D5" s="1889"/>
      <c r="E5" s="1889"/>
      <c r="F5" s="1889"/>
      <c r="G5" s="1889"/>
      <c r="H5" s="1889"/>
      <c r="I5" s="1889"/>
      <c r="J5" s="1889"/>
      <c r="K5" s="1889"/>
      <c r="L5" s="1889"/>
      <c r="M5" s="1889"/>
      <c r="N5" s="1889"/>
      <c r="O5" s="1889"/>
      <c r="R5" s="952"/>
    </row>
    <row r="6" spans="1:23" s="581" customFormat="1" ht="15" customHeight="1">
      <c r="A6" s="582" t="s">
        <v>168</v>
      </c>
      <c r="B6" s="583" t="s">
        <v>394</v>
      </c>
      <c r="C6" s="584">
        <v>1200000</v>
      </c>
      <c r="D6" s="584">
        <v>1200000</v>
      </c>
      <c r="E6" s="584">
        <f>1200000+1200000</f>
        <v>2400000</v>
      </c>
      <c r="F6" s="584">
        <v>1200000</v>
      </c>
      <c r="G6" s="584">
        <v>4600000</v>
      </c>
      <c r="H6" s="584">
        <v>4600000</v>
      </c>
      <c r="I6" s="584">
        <v>4600000</v>
      </c>
      <c r="J6" s="584">
        <v>4600000</v>
      </c>
      <c r="K6" s="584">
        <f>1200000+8000000+1000000</f>
        <v>10200000</v>
      </c>
      <c r="L6" s="584">
        <f>4000000+872164</f>
        <v>4872164</v>
      </c>
      <c r="M6" s="584">
        <v>5200000</v>
      </c>
      <c r="N6" s="584">
        <v>4000000</v>
      </c>
      <c r="O6" s="585">
        <f>SUM(C6:N6)</f>
        <v>48672164</v>
      </c>
      <c r="P6" s="581">
        <v>105070</v>
      </c>
      <c r="R6" s="952"/>
    </row>
    <row r="7" spans="1:23" s="589" customFormat="1" ht="14.1" customHeight="1">
      <c r="A7" s="586" t="s">
        <v>76</v>
      </c>
      <c r="B7" s="587" t="s">
        <v>498</v>
      </c>
      <c r="C7" s="588">
        <v>613688</v>
      </c>
      <c r="D7" s="588">
        <v>613688</v>
      </c>
      <c r="E7" s="588">
        <v>613688</v>
      </c>
      <c r="F7" s="588">
        <v>613688</v>
      </c>
      <c r="G7" s="588">
        <v>613688</v>
      </c>
      <c r="H7" s="588">
        <v>613688</v>
      </c>
      <c r="I7" s="588">
        <v>231166</v>
      </c>
      <c r="J7" s="588">
        <v>231166</v>
      </c>
      <c r="K7" s="588">
        <v>613688</v>
      </c>
      <c r="L7" s="588">
        <v>613688</v>
      </c>
      <c r="M7" s="588">
        <v>613688</v>
      </c>
      <c r="N7" s="588">
        <v>613688</v>
      </c>
      <c r="O7" s="585">
        <f t="shared" ref="O7:O12" si="0">SUM(C7:N7)</f>
        <v>6599212</v>
      </c>
      <c r="P7" s="589">
        <v>73977</v>
      </c>
      <c r="R7" s="955"/>
      <c r="W7" s="581"/>
    </row>
    <row r="8" spans="1:23" s="589" customFormat="1" ht="19.5" customHeight="1">
      <c r="A8" s="586" t="s">
        <v>95</v>
      </c>
      <c r="B8" s="590" t="s">
        <v>395</v>
      </c>
      <c r="C8" s="591">
        <f>76850+173935</f>
        <v>250785</v>
      </c>
      <c r="D8" s="591">
        <f>76850+173935</f>
        <v>250785</v>
      </c>
      <c r="E8" s="591">
        <f>76850+173935</f>
        <v>250785</v>
      </c>
      <c r="F8" s="591">
        <f>76850+173935</f>
        <v>250785</v>
      </c>
      <c r="G8" s="591">
        <f t="shared" ref="G8:L8" si="1">76850+173935</f>
        <v>250785</v>
      </c>
      <c r="H8" s="591">
        <f t="shared" si="1"/>
        <v>250785</v>
      </c>
      <c r="I8" s="591">
        <f t="shared" si="1"/>
        <v>250785</v>
      </c>
      <c r="J8" s="591">
        <f>76850+173935</f>
        <v>250785</v>
      </c>
      <c r="K8" s="591">
        <f t="shared" si="1"/>
        <v>250785</v>
      </c>
      <c r="L8" s="591">
        <f t="shared" si="1"/>
        <v>250785</v>
      </c>
      <c r="M8" s="591">
        <f>7861900+76850+173935</f>
        <v>8112685</v>
      </c>
      <c r="N8" s="591">
        <f>76850+173935+2000000</f>
        <v>2250785</v>
      </c>
      <c r="O8" s="585">
        <f t="shared" si="0"/>
        <v>12871320</v>
      </c>
      <c r="P8" s="589">
        <v>13700</v>
      </c>
      <c r="R8" s="955"/>
      <c r="W8" s="581"/>
    </row>
    <row r="9" spans="1:23" s="589" customFormat="1" ht="19.5" customHeight="1">
      <c r="A9" s="586" t="s">
        <v>105</v>
      </c>
      <c r="B9" s="590" t="s">
        <v>396</v>
      </c>
      <c r="C9" s="591"/>
      <c r="D9" s="591"/>
      <c r="E9" s="591"/>
      <c r="F9" s="591"/>
      <c r="G9" s="591"/>
      <c r="H9" s="591"/>
      <c r="I9" s="591"/>
      <c r="J9" s="591"/>
      <c r="K9" s="591"/>
      <c r="L9" s="591"/>
      <c r="M9" s="591"/>
      <c r="N9" s="591"/>
      <c r="O9" s="585">
        <f t="shared" si="0"/>
        <v>0</v>
      </c>
      <c r="P9" s="589">
        <v>246945</v>
      </c>
      <c r="R9" s="955"/>
      <c r="W9" s="581"/>
    </row>
    <row r="10" spans="1:23" s="589" customFormat="1" ht="23.25" customHeight="1">
      <c r="A10" s="586" t="s">
        <v>113</v>
      </c>
      <c r="B10" s="587" t="s">
        <v>397</v>
      </c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5">
        <f t="shared" si="0"/>
        <v>0</v>
      </c>
      <c r="P10" s="589">
        <v>0</v>
      </c>
      <c r="R10" s="955"/>
      <c r="W10" s="581"/>
    </row>
    <row r="11" spans="1:23" s="589" customFormat="1" ht="23.25" customHeight="1">
      <c r="A11" s="586" t="s">
        <v>122</v>
      </c>
      <c r="B11" s="587" t="s">
        <v>398</v>
      </c>
      <c r="C11" s="588"/>
      <c r="D11" s="588"/>
      <c r="E11" s="588"/>
      <c r="F11" s="588"/>
      <c r="G11" s="588"/>
      <c r="H11" s="588">
        <v>2899991</v>
      </c>
      <c r="I11" s="588"/>
      <c r="J11" s="588"/>
      <c r="K11" s="588"/>
      <c r="L11" s="588">
        <v>2500000</v>
      </c>
      <c r="M11" s="588"/>
      <c r="N11" s="588"/>
      <c r="O11" s="585">
        <f t="shared" si="0"/>
        <v>5399991</v>
      </c>
      <c r="P11" s="589">
        <v>7592</v>
      </c>
      <c r="R11" s="955"/>
      <c r="W11" s="581"/>
    </row>
    <row r="12" spans="1:23" s="589" customFormat="1" ht="17.25" customHeight="1" thickBot="1">
      <c r="A12" s="586" t="s">
        <v>135</v>
      </c>
      <c r="B12" s="587" t="s">
        <v>399</v>
      </c>
      <c r="C12" s="588">
        <f>3845170+7702089</f>
        <v>11547259</v>
      </c>
      <c r="D12" s="588">
        <v>7702089</v>
      </c>
      <c r="E12" s="588">
        <v>7696566</v>
      </c>
      <c r="F12" s="588">
        <v>16443244</v>
      </c>
      <c r="G12" s="588">
        <f>15000000+10195617</f>
        <v>25195617</v>
      </c>
      <c r="H12" s="588">
        <v>10195617</v>
      </c>
      <c r="I12" s="588">
        <v>9744108</v>
      </c>
      <c r="J12" s="588">
        <v>9744108</v>
      </c>
      <c r="K12" s="588">
        <f>33000000+9744108</f>
        <v>42744108</v>
      </c>
      <c r="L12" s="588">
        <v>9744107</v>
      </c>
      <c r="M12" s="588">
        <v>9744107</v>
      </c>
      <c r="N12" s="588">
        <f>5357736+9620224</f>
        <v>14977960</v>
      </c>
      <c r="O12" s="585">
        <f t="shared" si="0"/>
        <v>175478890</v>
      </c>
      <c r="P12" s="589">
        <v>156053</v>
      </c>
      <c r="R12" s="955"/>
      <c r="W12" s="581"/>
    </row>
    <row r="13" spans="1:23" s="581" customFormat="1" ht="21.75" customHeight="1" thickBot="1">
      <c r="A13" s="586" t="s">
        <v>400</v>
      </c>
      <c r="B13" s="592"/>
      <c r="C13" s="592">
        <f>SUM(C7:C12)</f>
        <v>12411732</v>
      </c>
      <c r="D13" s="592">
        <f t="shared" ref="D13:O13" si="2">SUM(D6:D12)</f>
        <v>9766562</v>
      </c>
      <c r="E13" s="592">
        <f t="shared" si="2"/>
        <v>10961039</v>
      </c>
      <c r="F13" s="592">
        <f t="shared" si="2"/>
        <v>18507717</v>
      </c>
      <c r="G13" s="592">
        <f t="shared" si="2"/>
        <v>30660090</v>
      </c>
      <c r="H13" s="592">
        <f t="shared" si="2"/>
        <v>18560081</v>
      </c>
      <c r="I13" s="592">
        <f t="shared" si="2"/>
        <v>14826059</v>
      </c>
      <c r="J13" s="592">
        <f t="shared" si="2"/>
        <v>14826059</v>
      </c>
      <c r="K13" s="592">
        <f t="shared" si="2"/>
        <v>53808581</v>
      </c>
      <c r="L13" s="592">
        <f t="shared" si="2"/>
        <v>17980744</v>
      </c>
      <c r="M13" s="592">
        <f t="shared" si="2"/>
        <v>23670480</v>
      </c>
      <c r="N13" s="592">
        <f t="shared" si="2"/>
        <v>21842433</v>
      </c>
      <c r="O13" s="592">
        <f t="shared" si="2"/>
        <v>249021577</v>
      </c>
      <c r="Q13" s="581">
        <f>SUM(P6:P12)</f>
        <v>603337</v>
      </c>
      <c r="R13" s="952"/>
    </row>
    <row r="14" spans="1:23" s="581" customFormat="1" ht="22.5" customHeight="1" thickBot="1">
      <c r="A14" s="586" t="s">
        <v>401</v>
      </c>
      <c r="B14" s="1889" t="s">
        <v>281</v>
      </c>
      <c r="C14" s="1889"/>
      <c r="D14" s="1889"/>
      <c r="E14" s="1889"/>
      <c r="F14" s="1889"/>
      <c r="G14" s="1889"/>
      <c r="H14" s="1889"/>
      <c r="I14" s="1889"/>
      <c r="J14" s="1889"/>
      <c r="K14" s="1889"/>
      <c r="L14" s="1889"/>
      <c r="M14" s="1889"/>
      <c r="N14" s="1889"/>
      <c r="O14" s="1889">
        <f>SUM(O6:O13)</f>
        <v>498043154</v>
      </c>
      <c r="R14" s="952"/>
    </row>
    <row r="15" spans="1:23" s="589" customFormat="1" ht="27.75" customHeight="1">
      <c r="A15" s="586" t="s">
        <v>402</v>
      </c>
      <c r="B15" s="590" t="s">
        <v>403</v>
      </c>
      <c r="C15" s="591">
        <f>1454403+5177281+300000</f>
        <v>6931684</v>
      </c>
      <c r="D15" s="591">
        <f>1454403+466666</f>
        <v>1921069</v>
      </c>
      <c r="E15" s="591">
        <f>1454403+466666+2057250</f>
        <v>3978319</v>
      </c>
      <c r="F15" s="591">
        <f>1454403+5177281+5177281+2802500</f>
        <v>14611465</v>
      </c>
      <c r="G15" s="591">
        <f>1454403+5177281+388333+2057250</f>
        <v>9077267</v>
      </c>
      <c r="H15" s="591">
        <f>1454403+5177281+388333</f>
        <v>7020017</v>
      </c>
      <c r="I15" s="591">
        <f>1454403+388333+2057250+2802500</f>
        <v>6702486</v>
      </c>
      <c r="J15" s="591">
        <f>1454403+5177281+388333</f>
        <v>7020017</v>
      </c>
      <c r="K15" s="591">
        <f>1454403+388333+388333+2057250</f>
        <v>4288319</v>
      </c>
      <c r="L15" s="591">
        <f>1454403+5177281+388333+2057250</f>
        <v>9077267</v>
      </c>
      <c r="M15" s="591">
        <f>1454403+5177281+5177281</f>
        <v>11808965</v>
      </c>
      <c r="N15" s="591">
        <f>1454403+5177281+388333+388333</f>
        <v>7408350</v>
      </c>
      <c r="O15" s="585">
        <f>SUM(C15:N15)</f>
        <v>89845225</v>
      </c>
      <c r="P15" s="589">
        <v>550166</v>
      </c>
      <c r="R15" s="955"/>
      <c r="W15" s="581"/>
    </row>
    <row r="16" spans="1:23" s="589" customFormat="1" ht="27" customHeight="1">
      <c r="A16" s="586" t="s">
        <v>404</v>
      </c>
      <c r="B16" s="587" t="s">
        <v>405</v>
      </c>
      <c r="C16" s="588"/>
      <c r="D16" s="588"/>
      <c r="E16" s="588"/>
      <c r="F16" s="588"/>
      <c r="G16" s="588">
        <v>1390000</v>
      </c>
      <c r="H16" s="588"/>
      <c r="I16" s="588">
        <v>100000</v>
      </c>
      <c r="J16" s="588"/>
      <c r="K16" s="588"/>
      <c r="L16" s="588"/>
      <c r="M16" s="588"/>
      <c r="N16" s="588">
        <v>400000</v>
      </c>
      <c r="O16" s="585">
        <f>SUM(C16:N16)</f>
        <v>1890000</v>
      </c>
      <c r="P16" s="589">
        <v>124458</v>
      </c>
      <c r="R16" s="955"/>
      <c r="W16" s="581"/>
    </row>
    <row r="17" spans="1:23" s="589" customFormat="1" ht="20.25" customHeight="1">
      <c r="A17" s="586" t="s">
        <v>406</v>
      </c>
      <c r="B17" s="587" t="s">
        <v>407</v>
      </c>
      <c r="C17" s="588"/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5">
        <f>SUM(C17:N17)</f>
        <v>0</v>
      </c>
      <c r="P17" s="589">
        <v>47140</v>
      </c>
      <c r="R17" s="955"/>
      <c r="S17" s="955"/>
      <c r="W17" s="581"/>
    </row>
    <row r="18" spans="1:23" s="589" customFormat="1" ht="20.25" customHeight="1" thickBot="1">
      <c r="A18" s="586">
        <v>16</v>
      </c>
      <c r="B18" s="587" t="s">
        <v>408</v>
      </c>
      <c r="C18" s="588">
        <v>3845170</v>
      </c>
      <c r="D18" s="588"/>
      <c r="E18" s="588">
        <v>611000</v>
      </c>
      <c r="F18" s="588"/>
      <c r="G18" s="588"/>
      <c r="H18" s="588">
        <v>611000</v>
      </c>
      <c r="I18" s="588"/>
      <c r="J18" s="588"/>
      <c r="K18" s="588">
        <v>611000</v>
      </c>
      <c r="L18" s="588"/>
      <c r="M18" s="588"/>
      <c r="N18" s="588">
        <v>611000</v>
      </c>
      <c r="O18" s="585">
        <f>SUM(C18:N18)</f>
        <v>6289170</v>
      </c>
      <c r="R18" s="955"/>
      <c r="W18" s="581"/>
    </row>
    <row r="19" spans="1:23" s="581" customFormat="1" ht="21.75" customHeight="1" thickBot="1">
      <c r="A19" s="586" t="s">
        <v>409</v>
      </c>
      <c r="B19" s="593" t="s">
        <v>410</v>
      </c>
      <c r="C19" s="592">
        <f>SUM(C15:C18)</f>
        <v>10776854</v>
      </c>
      <c r="D19" s="592">
        <f t="shared" ref="D19:N19" si="3">SUM(D15:D18)</f>
        <v>1921069</v>
      </c>
      <c r="E19" s="592">
        <f t="shared" si="3"/>
        <v>4589319</v>
      </c>
      <c r="F19" s="592">
        <f t="shared" si="3"/>
        <v>14611465</v>
      </c>
      <c r="G19" s="592">
        <f t="shared" si="3"/>
        <v>10467267</v>
      </c>
      <c r="H19" s="592">
        <f t="shared" si="3"/>
        <v>7631017</v>
      </c>
      <c r="I19" s="592">
        <f t="shared" si="3"/>
        <v>6802486</v>
      </c>
      <c r="J19" s="592">
        <f t="shared" si="3"/>
        <v>7020017</v>
      </c>
      <c r="K19" s="592">
        <f t="shared" si="3"/>
        <v>4899319</v>
      </c>
      <c r="L19" s="592">
        <f t="shared" si="3"/>
        <v>9077267</v>
      </c>
      <c r="M19" s="592">
        <f t="shared" si="3"/>
        <v>11808965</v>
      </c>
      <c r="N19" s="592">
        <f t="shared" si="3"/>
        <v>8419350</v>
      </c>
      <c r="O19" s="592">
        <f>SUM(O15:O18)</f>
        <v>98024395</v>
      </c>
      <c r="Q19" s="581">
        <f>SUM(P15:P17)</f>
        <v>721764</v>
      </c>
      <c r="R19" s="952"/>
    </row>
    <row r="20" spans="1:23" ht="26.25" customHeight="1" thickBot="1">
      <c r="A20" s="586" t="s">
        <v>411</v>
      </c>
      <c r="B20" s="594" t="s">
        <v>412</v>
      </c>
      <c r="C20" s="595">
        <f>C13-C19</f>
        <v>1634878</v>
      </c>
      <c r="D20" s="595">
        <f>D13-D19</f>
        <v>7845493</v>
      </c>
      <c r="E20" s="595">
        <f t="shared" ref="E20:O20" si="4">E13-E19</f>
        <v>6371720</v>
      </c>
      <c r="F20" s="595">
        <f t="shared" si="4"/>
        <v>3896252</v>
      </c>
      <c r="G20" s="595">
        <f t="shared" si="4"/>
        <v>20192823</v>
      </c>
      <c r="H20" s="595">
        <f t="shared" si="4"/>
        <v>10929064</v>
      </c>
      <c r="I20" s="595">
        <f t="shared" si="4"/>
        <v>8023573</v>
      </c>
      <c r="J20" s="595">
        <f t="shared" si="4"/>
        <v>7806042</v>
      </c>
      <c r="K20" s="595">
        <f t="shared" si="4"/>
        <v>48909262</v>
      </c>
      <c r="L20" s="595">
        <f t="shared" si="4"/>
        <v>8903477</v>
      </c>
      <c r="M20" s="595">
        <f t="shared" si="4"/>
        <v>11861515</v>
      </c>
      <c r="N20" s="595">
        <f t="shared" si="4"/>
        <v>13423083</v>
      </c>
      <c r="O20" s="595">
        <f t="shared" si="4"/>
        <v>150997182</v>
      </c>
    </row>
  </sheetData>
  <sheetProtection selectLockedCells="1" selectUnlockedCells="1"/>
  <mergeCells count="5">
    <mergeCell ref="B14:O14"/>
    <mergeCell ref="M1:O1"/>
    <mergeCell ref="A2:O2"/>
    <mergeCell ref="G3:I3"/>
    <mergeCell ref="B5:O5"/>
  </mergeCells>
  <phoneticPr fontId="0" type="noConversion"/>
  <pageMargins left="0.7" right="0.7" top="0.75" bottom="0.75" header="0.51180555555555551" footer="0.51180555555555551"/>
  <pageSetup paperSize="9" scale="92" firstPageNumber="0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="60" zoomScaleNormal="100" workbookViewId="0">
      <selection activeCell="J9" sqref="J9"/>
    </sheetView>
  </sheetViews>
  <sheetFormatPr defaultColWidth="11.42578125" defaultRowHeight="15"/>
  <cols>
    <col min="1" max="1" width="8.140625" style="596" customWidth="1"/>
    <col min="2" max="2" width="64" style="596" customWidth="1"/>
    <col min="3" max="3" width="15.42578125" style="596" customWidth="1"/>
    <col min="4" max="4" width="13.85546875" style="596" customWidth="1"/>
    <col min="5" max="6" width="14.140625" style="596" bestFit="1" customWidth="1"/>
    <col min="7" max="16384" width="11.42578125" style="596"/>
  </cols>
  <sheetData>
    <row r="1" spans="1:8">
      <c r="F1" s="1194" t="s">
        <v>413</v>
      </c>
    </row>
    <row r="2" spans="1:8" ht="47.25" customHeight="1">
      <c r="A2" s="1893" t="s">
        <v>414</v>
      </c>
      <c r="B2" s="1893"/>
      <c r="C2" s="1893"/>
    </row>
    <row r="3" spans="1:8" ht="15.95" customHeight="1" thickBot="1">
      <c r="A3" s="597"/>
      <c r="B3" s="9"/>
      <c r="F3" s="598" t="s">
        <v>495</v>
      </c>
    </row>
    <row r="4" spans="1:8" ht="44.25" customHeight="1" thickBot="1">
      <c r="A4" s="599" t="s">
        <v>381</v>
      </c>
      <c r="B4" s="600" t="s">
        <v>415</v>
      </c>
      <c r="C4" s="601" t="s">
        <v>580</v>
      </c>
      <c r="D4" s="601" t="s">
        <v>581</v>
      </c>
      <c r="E4" s="601" t="s">
        <v>589</v>
      </c>
      <c r="F4" s="601" t="s">
        <v>593</v>
      </c>
    </row>
    <row r="5" spans="1:8" ht="26.25" customHeight="1" thickBot="1">
      <c r="A5" s="602">
        <v>1</v>
      </c>
      <c r="B5" s="603">
        <v>2</v>
      </c>
      <c r="C5" s="604">
        <v>3</v>
      </c>
      <c r="D5" s="604">
        <v>4</v>
      </c>
      <c r="E5" s="604">
        <v>5</v>
      </c>
      <c r="F5" s="604">
        <v>5</v>
      </c>
    </row>
    <row r="6" spans="1:8" ht="26.25" customHeight="1">
      <c r="A6" s="605" t="s">
        <v>15</v>
      </c>
      <c r="B6" s="606" t="s">
        <v>416</v>
      </c>
      <c r="C6" s="822">
        <v>53700000</v>
      </c>
      <c r="D6" s="822">
        <v>53700000</v>
      </c>
      <c r="E6" s="822">
        <v>48400000</v>
      </c>
      <c r="F6" s="822">
        <v>46926957</v>
      </c>
    </row>
    <row r="7" spans="1:8" ht="26.25" customHeight="1">
      <c r="A7" s="607" t="s">
        <v>168</v>
      </c>
      <c r="B7" s="606" t="s">
        <v>417</v>
      </c>
      <c r="C7" s="608"/>
      <c r="D7" s="1193">
        <v>272164</v>
      </c>
      <c r="E7" s="1193">
        <v>272164</v>
      </c>
      <c r="F7" s="1193">
        <v>246413</v>
      </c>
    </row>
    <row r="8" spans="1:8" ht="33.75" customHeight="1">
      <c r="A8" s="609" t="s">
        <v>76</v>
      </c>
      <c r="B8" s="610" t="s">
        <v>418</v>
      </c>
      <c r="C8" s="611"/>
      <c r="D8" s="611"/>
      <c r="E8" s="611"/>
      <c r="F8" s="611"/>
    </row>
    <row r="9" spans="1:8" ht="33" customHeight="1">
      <c r="A9" s="607" t="s">
        <v>95</v>
      </c>
      <c r="B9" s="612" t="s">
        <v>419</v>
      </c>
      <c r="C9" s="611"/>
      <c r="D9" s="611"/>
      <c r="E9" s="611"/>
      <c r="F9" s="611"/>
    </row>
    <row r="10" spans="1:8" ht="26.25" customHeight="1">
      <c r="A10" s="609" t="s">
        <v>105</v>
      </c>
      <c r="B10" s="612" t="s">
        <v>420</v>
      </c>
      <c r="C10" s="613"/>
      <c r="D10" s="613"/>
      <c r="E10" s="613"/>
      <c r="F10" s="613"/>
    </row>
    <row r="11" spans="1:8" ht="26.25" customHeight="1" thickBot="1">
      <c r="A11" s="609" t="s">
        <v>113</v>
      </c>
      <c r="B11" s="614" t="s">
        <v>421</v>
      </c>
      <c r="C11" s="611"/>
      <c r="D11" s="611"/>
      <c r="E11" s="611"/>
      <c r="F11" s="611"/>
    </row>
    <row r="12" spans="1:8" ht="26.25" customHeight="1" thickBot="1">
      <c r="A12" s="1894" t="s">
        <v>422</v>
      </c>
      <c r="B12" s="1894"/>
      <c r="C12" s="615">
        <f>SUM(C6:C11)</f>
        <v>53700000</v>
      </c>
      <c r="D12" s="615">
        <f>SUM(D6:D11)</f>
        <v>53972164</v>
      </c>
      <c r="E12" s="615">
        <f>SUM(E6:E11)</f>
        <v>48672164</v>
      </c>
      <c r="F12" s="615">
        <f>SUM(F6:F11)</f>
        <v>47173370</v>
      </c>
    </row>
    <row r="13" spans="1:8" ht="33.75" customHeight="1" thickBot="1">
      <c r="A13" s="1895" t="s">
        <v>423</v>
      </c>
      <c r="B13" s="1895"/>
      <c r="C13" s="616">
        <f>C12/2</f>
        <v>26850000</v>
      </c>
      <c r="D13" s="616">
        <f>D12/2</f>
        <v>26986082</v>
      </c>
      <c r="E13" s="616">
        <f>E12/2</f>
        <v>24336082</v>
      </c>
      <c r="F13" s="616">
        <f>F12/2</f>
        <v>23586685</v>
      </c>
      <c r="H13" s="617"/>
    </row>
    <row r="14" spans="1:8" ht="15.75" thickTop="1"/>
  </sheetData>
  <sheetProtection selectLockedCells="1" selectUnlockedCells="1"/>
  <mergeCells count="3">
    <mergeCell ref="A2:C2"/>
    <mergeCell ref="A12:B12"/>
    <mergeCell ref="A13:B13"/>
  </mergeCells>
  <phoneticPr fontId="0" type="noConversion"/>
  <printOptions horizontalCentered="1"/>
  <pageMargins left="0.70833333333333337" right="0.70833333333333337" top="0.74791666666666667" bottom="0.74791666666666667" header="0.51180555555555551" footer="0.51180555555555551"/>
  <pageSetup paperSize="9" scale="102" firstPageNumber="0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topLeftCell="A15" zoomScale="60" zoomScaleNormal="100" workbookViewId="0">
      <selection activeCell="I29" sqref="I29"/>
    </sheetView>
  </sheetViews>
  <sheetFormatPr defaultColWidth="11.42578125" defaultRowHeight="15"/>
  <cols>
    <col min="1" max="1" width="76" style="618" customWidth="1"/>
    <col min="2" max="2" width="14" style="618" customWidth="1"/>
    <col min="3" max="3" width="14.140625" style="618" customWidth="1"/>
    <col min="4" max="4" width="7" style="618" hidden="1" customWidth="1"/>
    <col min="5" max="5" width="3.42578125" style="618" hidden="1" customWidth="1"/>
    <col min="6" max="6" width="13.42578125" style="618" bestFit="1" customWidth="1"/>
    <col min="7" max="7" width="15.140625" style="618" customWidth="1"/>
    <col min="8" max="16384" width="11.42578125" style="618"/>
  </cols>
  <sheetData>
    <row r="1" spans="1:9" ht="21" customHeight="1">
      <c r="G1" s="1300" t="s">
        <v>424</v>
      </c>
      <c r="H1" s="1300"/>
      <c r="I1" s="1300"/>
    </row>
    <row r="2" spans="1:9" s="619" customFormat="1" ht="51.75" customHeight="1">
      <c r="A2" s="1896" t="s">
        <v>558</v>
      </c>
      <c r="B2" s="1896"/>
      <c r="C2" s="1896"/>
      <c r="D2" s="1896"/>
    </row>
    <row r="3" spans="1:9" ht="15.75" customHeight="1" thickBot="1">
      <c r="A3" s="9"/>
      <c r="E3" s="620" t="s">
        <v>426</v>
      </c>
      <c r="G3" s="1195" t="s">
        <v>425</v>
      </c>
    </row>
    <row r="4" spans="1:9" ht="24" customHeight="1" thickBot="1">
      <c r="A4" s="621" t="s">
        <v>427</v>
      </c>
      <c r="B4" s="622" t="s">
        <v>428</v>
      </c>
      <c r="C4" s="622" t="s">
        <v>10</v>
      </c>
      <c r="D4" s="622" t="s">
        <v>429</v>
      </c>
      <c r="E4" s="623" t="s">
        <v>14</v>
      </c>
      <c r="F4" s="622" t="s">
        <v>11</v>
      </c>
      <c r="G4" s="622" t="s">
        <v>301</v>
      </c>
    </row>
    <row r="5" spans="1:9" s="627" customFormat="1" ht="21" customHeight="1">
      <c r="A5" s="624" t="s">
        <v>513</v>
      </c>
      <c r="B5" s="625">
        <v>65221736</v>
      </c>
      <c r="C5" s="625">
        <v>65520918</v>
      </c>
      <c r="D5" s="625"/>
      <c r="E5" s="626"/>
      <c r="F5" s="625">
        <v>65520918</v>
      </c>
      <c r="G5" s="625">
        <v>65520918</v>
      </c>
    </row>
    <row r="6" spans="1:9" s="627" customFormat="1" ht="21" customHeight="1">
      <c r="A6" s="628" t="s">
        <v>430</v>
      </c>
      <c r="B6" s="629">
        <v>2789640</v>
      </c>
      <c r="C6" s="629">
        <v>2789640</v>
      </c>
      <c r="D6" s="629"/>
      <c r="E6" s="630"/>
      <c r="F6" s="629">
        <v>2789640</v>
      </c>
      <c r="G6" s="629">
        <v>2789640</v>
      </c>
    </row>
    <row r="7" spans="1:9" s="627" customFormat="1" ht="21" customHeight="1">
      <c r="A7" s="628" t="s">
        <v>431</v>
      </c>
      <c r="B7" s="629">
        <v>3520000</v>
      </c>
      <c r="C7" s="629">
        <v>3520000</v>
      </c>
      <c r="D7" s="629"/>
      <c r="E7" s="630"/>
      <c r="F7" s="629">
        <v>3520000</v>
      </c>
      <c r="G7" s="629">
        <v>3520000</v>
      </c>
    </row>
    <row r="8" spans="1:9" s="627" customFormat="1" ht="21" customHeight="1">
      <c r="A8" s="628" t="s">
        <v>432</v>
      </c>
      <c r="B8" s="629">
        <v>100000</v>
      </c>
      <c r="C8" s="629">
        <v>100000</v>
      </c>
      <c r="D8" s="629"/>
      <c r="E8" s="630"/>
      <c r="F8" s="629">
        <v>100000</v>
      </c>
      <c r="G8" s="629">
        <v>100000</v>
      </c>
    </row>
    <row r="9" spans="1:9" s="627" customFormat="1" ht="21" customHeight="1">
      <c r="A9" s="628" t="s">
        <v>433</v>
      </c>
      <c r="B9" s="629">
        <v>1729740</v>
      </c>
      <c r="C9" s="629">
        <v>1729740</v>
      </c>
      <c r="D9" s="629"/>
      <c r="E9" s="630"/>
      <c r="F9" s="629">
        <v>1729740</v>
      </c>
      <c r="G9" s="629">
        <v>1729740</v>
      </c>
    </row>
    <row r="10" spans="1:9" s="627" customFormat="1" ht="21" customHeight="1">
      <c r="A10" s="624" t="s">
        <v>434</v>
      </c>
      <c r="B10" s="631">
        <f>SUM(B6:B9)</f>
        <v>8139380</v>
      </c>
      <c r="C10" s="631">
        <f>SUM(C6:C9)</f>
        <v>8139380</v>
      </c>
      <c r="D10" s="629"/>
      <c r="E10" s="630"/>
      <c r="F10" s="631">
        <f>SUM(F6:F9)</f>
        <v>8139380</v>
      </c>
      <c r="G10" s="631">
        <f>SUM(G6:G9)</f>
        <v>8139380</v>
      </c>
    </row>
    <row r="11" spans="1:9" s="627" customFormat="1" ht="21" customHeight="1">
      <c r="A11" s="628" t="s">
        <v>435</v>
      </c>
      <c r="B11" s="629">
        <v>2088663</v>
      </c>
      <c r="C11" s="629">
        <v>2088663</v>
      </c>
      <c r="D11" s="629"/>
      <c r="E11" s="630"/>
      <c r="F11" s="629">
        <v>2088663</v>
      </c>
      <c r="G11" s="629">
        <v>2088663</v>
      </c>
    </row>
    <row r="12" spans="1:9" s="627" customFormat="1" ht="21" hidden="1" customHeight="1">
      <c r="A12" s="633" t="s">
        <v>436</v>
      </c>
      <c r="B12" s="631"/>
      <c r="C12" s="631"/>
      <c r="D12" s="631"/>
      <c r="E12" s="632"/>
      <c r="F12" s="631"/>
      <c r="G12" s="631"/>
    </row>
    <row r="13" spans="1:9" s="627" customFormat="1" ht="21" customHeight="1">
      <c r="A13" s="634" t="s">
        <v>535</v>
      </c>
      <c r="B13" s="631">
        <f>SUM(B11:B12)</f>
        <v>2088663</v>
      </c>
      <c r="C13" s="631">
        <f>SUM(C11:C12)</f>
        <v>2088663</v>
      </c>
      <c r="D13" s="635"/>
      <c r="E13" s="636"/>
      <c r="F13" s="631">
        <f>SUM(F11:F12)</f>
        <v>2088663</v>
      </c>
      <c r="G13" s="631">
        <f>SUM(G11:G12)</f>
        <v>2088663</v>
      </c>
    </row>
    <row r="14" spans="1:9" s="627" customFormat="1" ht="21" customHeight="1">
      <c r="A14" s="633" t="s">
        <v>437</v>
      </c>
      <c r="B14" s="865">
        <v>22950</v>
      </c>
      <c r="C14" s="637">
        <v>22950</v>
      </c>
      <c r="D14" s="637"/>
      <c r="E14" s="638"/>
      <c r="F14" s="637">
        <v>22950</v>
      </c>
      <c r="G14" s="637">
        <v>22950</v>
      </c>
    </row>
    <row r="15" spans="1:9" s="627" customFormat="1" ht="21" customHeight="1">
      <c r="A15" s="866" t="s">
        <v>534</v>
      </c>
      <c r="B15" s="637"/>
      <c r="C15" s="637"/>
      <c r="D15" s="637"/>
      <c r="E15" s="638"/>
      <c r="F15" s="637"/>
      <c r="G15" s="637"/>
    </row>
    <row r="16" spans="1:9" s="627" customFormat="1" ht="21" customHeight="1">
      <c r="A16" s="867" t="s">
        <v>590</v>
      </c>
      <c r="B16" s="629"/>
      <c r="C16" s="629"/>
      <c r="D16" s="629"/>
      <c r="E16" s="630"/>
      <c r="F16" s="629">
        <v>79721</v>
      </c>
      <c r="G16" s="629">
        <v>79721</v>
      </c>
    </row>
    <row r="17" spans="1:7" s="627" customFormat="1" ht="21" customHeight="1" thickBot="1">
      <c r="A17" s="828" t="s">
        <v>536</v>
      </c>
      <c r="B17" s="637">
        <v>1024800</v>
      </c>
      <c r="C17" s="637">
        <v>1024800</v>
      </c>
      <c r="D17" s="637"/>
      <c r="E17" s="638"/>
      <c r="F17" s="637">
        <v>1024800</v>
      </c>
      <c r="G17" s="637">
        <v>1024800</v>
      </c>
    </row>
    <row r="18" spans="1:7" s="643" customFormat="1" ht="24.95" customHeight="1" thickBot="1">
      <c r="A18" s="639" t="s">
        <v>438</v>
      </c>
      <c r="B18" s="640">
        <f>B5+B10+B13+B14+B16+B15+B17</f>
        <v>76497529</v>
      </c>
      <c r="C18" s="640">
        <f>C5+C10+C13+C14+C16+C15+C17</f>
        <v>76796711</v>
      </c>
      <c r="D18" s="641" t="e">
        <f>D5+#REF!-D12+D13</f>
        <v>#REF!</v>
      </c>
      <c r="E18" s="642" t="e">
        <f>E5+#REF!-E12+E13</f>
        <v>#REF!</v>
      </c>
      <c r="F18" s="640">
        <f>F5+F10+F13+F14+F16+F15+F17</f>
        <v>76876432</v>
      </c>
      <c r="G18" s="640">
        <f>G5+G10+G13+G14+G16+G15+G17</f>
        <v>76876432</v>
      </c>
    </row>
    <row r="19" spans="1:7" ht="24.95" customHeight="1">
      <c r="A19" s="644" t="s">
        <v>439</v>
      </c>
      <c r="B19" s="625">
        <v>22286000</v>
      </c>
      <c r="C19" s="625">
        <v>24619383</v>
      </c>
      <c r="D19" s="625"/>
      <c r="E19" s="626"/>
      <c r="F19" s="625">
        <v>25493683</v>
      </c>
      <c r="G19" s="625">
        <v>25493683</v>
      </c>
    </row>
    <row r="20" spans="1:7" ht="24.95" customHeight="1">
      <c r="A20" s="633" t="s">
        <v>440</v>
      </c>
      <c r="B20" s="631">
        <v>3896000</v>
      </c>
      <c r="C20" s="631">
        <v>4022620</v>
      </c>
      <c r="D20" s="631"/>
      <c r="E20" s="632"/>
      <c r="F20" s="631">
        <v>4217420</v>
      </c>
      <c r="G20" s="631">
        <v>4217420</v>
      </c>
    </row>
    <row r="21" spans="1:7" ht="24.95" customHeight="1" thickBot="1">
      <c r="A21" s="828" t="s">
        <v>526</v>
      </c>
      <c r="B21" s="637">
        <v>793400</v>
      </c>
      <c r="C21" s="637">
        <v>1157042</v>
      </c>
      <c r="D21" s="637"/>
      <c r="E21" s="638"/>
      <c r="F21" s="637">
        <v>1157042</v>
      </c>
      <c r="G21" s="637">
        <v>1157042</v>
      </c>
    </row>
    <row r="22" spans="1:7" s="643" customFormat="1" ht="24.95" customHeight="1" thickBot="1">
      <c r="A22" s="639" t="s">
        <v>441</v>
      </c>
      <c r="B22" s="645">
        <f>SUM(B19:B21)</f>
        <v>26975400</v>
      </c>
      <c r="C22" s="1196">
        <f>SUM(C19:C21)</f>
        <v>29799045</v>
      </c>
      <c r="D22" s="646">
        <f>SUM(D19:D20)</f>
        <v>0</v>
      </c>
      <c r="E22" s="647">
        <f>SUM(E19:E20)</f>
        <v>0</v>
      </c>
      <c r="F22" s="1196">
        <f>SUM(F19:F21)</f>
        <v>30868145</v>
      </c>
      <c r="G22" s="1196">
        <f>SUM(G19:G21)</f>
        <v>30868145</v>
      </c>
    </row>
    <row r="23" spans="1:7" ht="24.95" customHeight="1" thickBot="1">
      <c r="A23" s="957" t="s">
        <v>442</v>
      </c>
      <c r="B23" s="958">
        <v>4525000</v>
      </c>
      <c r="C23" s="1197">
        <v>4525000</v>
      </c>
      <c r="D23" s="649"/>
      <c r="E23" s="650"/>
      <c r="F23" s="1197">
        <v>4525000</v>
      </c>
      <c r="G23" s="1197">
        <v>4525000</v>
      </c>
    </row>
    <row r="24" spans="1:7" ht="24.95" customHeight="1" thickBot="1">
      <c r="A24" s="959" t="s">
        <v>544</v>
      </c>
      <c r="B24" s="960">
        <v>4550000</v>
      </c>
      <c r="C24" s="1198">
        <v>4927000</v>
      </c>
      <c r="D24" s="649"/>
      <c r="E24" s="956"/>
      <c r="F24" s="1198">
        <v>4927000</v>
      </c>
      <c r="G24" s="1198">
        <v>4927000</v>
      </c>
    </row>
    <row r="25" spans="1:7" ht="24.95" customHeight="1">
      <c r="A25" s="651" t="s">
        <v>443</v>
      </c>
      <c r="B25" s="652">
        <v>7260000</v>
      </c>
      <c r="C25" s="653">
        <v>4609440</v>
      </c>
      <c r="D25" s="653"/>
      <c r="E25" s="1897"/>
      <c r="F25" s="653">
        <v>4411440</v>
      </c>
      <c r="G25" s="653">
        <v>4411440</v>
      </c>
    </row>
    <row r="26" spans="1:7" ht="24.95" customHeight="1">
      <c r="A26" s="654" t="s">
        <v>444</v>
      </c>
      <c r="B26" s="655">
        <v>5569124</v>
      </c>
      <c r="C26" s="653">
        <v>4925289</v>
      </c>
      <c r="D26" s="653"/>
      <c r="E26" s="1897"/>
      <c r="F26" s="653">
        <v>3975447</v>
      </c>
      <c r="G26" s="653">
        <v>3975447</v>
      </c>
    </row>
    <row r="27" spans="1:7" ht="24.95" customHeight="1" thickBot="1">
      <c r="A27" s="741" t="s">
        <v>496</v>
      </c>
      <c r="B27" s="742">
        <v>190323</v>
      </c>
      <c r="C27" s="653">
        <v>190323</v>
      </c>
      <c r="D27" s="653"/>
      <c r="E27" s="1897"/>
      <c r="F27" s="653">
        <v>145179</v>
      </c>
      <c r="G27" s="653">
        <v>145179</v>
      </c>
    </row>
    <row r="28" spans="1:7" ht="24.95" customHeight="1" thickBot="1">
      <c r="A28" s="656" t="s">
        <v>445</v>
      </c>
      <c r="B28" s="648">
        <f>SUM(B25:B27)</f>
        <v>13019447</v>
      </c>
      <c r="C28" s="648">
        <f>SUM(C25:C27)</f>
        <v>9725052</v>
      </c>
      <c r="D28" s="653"/>
      <c r="E28" s="1897"/>
      <c r="F28" s="648">
        <f>SUM(F25:F27)</f>
        <v>8532066</v>
      </c>
      <c r="G28" s="648">
        <f>SUM(G25:G27)</f>
        <v>8532066</v>
      </c>
    </row>
    <row r="29" spans="1:7" ht="24.95" customHeight="1" thickBot="1">
      <c r="A29" s="949" t="s">
        <v>446</v>
      </c>
      <c r="B29" s="657">
        <v>1800000</v>
      </c>
      <c r="C29" s="1199">
        <v>2402000</v>
      </c>
      <c r="D29" s="653"/>
      <c r="E29" s="1897"/>
      <c r="F29" s="1199">
        <v>2402000</v>
      </c>
      <c r="G29" s="1199">
        <v>2402000</v>
      </c>
    </row>
    <row r="30" spans="1:7" s="660" customFormat="1" ht="24.95" customHeight="1" thickBot="1">
      <c r="A30" s="950" t="s">
        <v>591</v>
      </c>
      <c r="B30" s="951"/>
      <c r="C30" s="658"/>
      <c r="D30" s="658"/>
      <c r="E30" s="659"/>
      <c r="F30" s="658">
        <v>971550</v>
      </c>
      <c r="G30" s="658">
        <v>971550</v>
      </c>
    </row>
    <row r="31" spans="1:7" ht="24.95" hidden="1" customHeight="1">
      <c r="A31" s="644" t="s">
        <v>447</v>
      </c>
      <c r="B31" s="661"/>
      <c r="C31" s="661"/>
      <c r="D31" s="661"/>
      <c r="E31" s="662"/>
      <c r="F31" s="661"/>
      <c r="G31" s="661"/>
    </row>
    <row r="32" spans="1:7" ht="24.95" hidden="1" customHeight="1">
      <c r="A32" s="634" t="s">
        <v>448</v>
      </c>
      <c r="B32" s="663"/>
      <c r="C32" s="663"/>
      <c r="D32" s="663"/>
      <c r="E32" s="664"/>
      <c r="F32" s="663"/>
      <c r="G32" s="663"/>
    </row>
    <row r="33" spans="1:7" ht="24.95" hidden="1" customHeight="1">
      <c r="A33" s="634" t="s">
        <v>449</v>
      </c>
      <c r="B33" s="663"/>
      <c r="C33" s="663"/>
      <c r="D33" s="663"/>
      <c r="E33" s="664"/>
      <c r="F33" s="663"/>
      <c r="G33" s="663"/>
    </row>
    <row r="34" spans="1:7" ht="24.95" hidden="1" customHeight="1">
      <c r="A34" s="634" t="s">
        <v>450</v>
      </c>
      <c r="B34" s="663"/>
      <c r="C34" s="663"/>
      <c r="D34" s="663"/>
      <c r="E34" s="664"/>
      <c r="F34" s="663"/>
      <c r="G34" s="663"/>
    </row>
    <row r="35" spans="1:7" ht="24.95" hidden="1" customHeight="1">
      <c r="A35" s="634" t="s">
        <v>451</v>
      </c>
      <c r="B35" s="663"/>
      <c r="C35" s="663"/>
      <c r="D35" s="663"/>
      <c r="E35" s="664"/>
      <c r="F35" s="663"/>
      <c r="G35" s="663"/>
    </row>
    <row r="36" spans="1:7" ht="24.95" hidden="1" customHeight="1">
      <c r="A36" s="634" t="s">
        <v>452</v>
      </c>
      <c r="B36" s="663"/>
      <c r="C36" s="663"/>
      <c r="D36" s="663"/>
      <c r="E36" s="664"/>
      <c r="F36" s="663"/>
      <c r="G36" s="663"/>
    </row>
    <row r="37" spans="1:7" ht="24.95" hidden="1" customHeight="1">
      <c r="A37" s="634" t="s">
        <v>453</v>
      </c>
      <c r="B37" s="663"/>
      <c r="C37" s="663"/>
      <c r="D37" s="663"/>
      <c r="E37" s="664"/>
      <c r="F37" s="663"/>
      <c r="G37" s="663"/>
    </row>
    <row r="38" spans="1:7" ht="24.95" hidden="1" customHeight="1">
      <c r="A38" s="634" t="s">
        <v>454</v>
      </c>
      <c r="B38" s="663"/>
      <c r="C38" s="663"/>
      <c r="D38" s="663"/>
      <c r="E38" s="664"/>
      <c r="F38" s="663"/>
      <c r="G38" s="663"/>
    </row>
    <row r="39" spans="1:7" s="643" customFormat="1" ht="26.25" customHeight="1" thickBot="1">
      <c r="A39" s="665" t="s">
        <v>310</v>
      </c>
      <c r="B39" s="666">
        <f>B18+B22+B23+B28+B29+B30+B24</f>
        <v>127367376</v>
      </c>
      <c r="C39" s="666">
        <f>C18+C22+C23+C28+C29+C30+C24</f>
        <v>128174808</v>
      </c>
      <c r="D39" s="666" t="e">
        <f>#REF!+D31+D32+D34+D35+D37+D33</f>
        <v>#REF!</v>
      </c>
      <c r="E39" s="667" t="e">
        <f>#REF!+E31+E32+E34+E35+E37+E33+E36+E38</f>
        <v>#REF!</v>
      </c>
      <c r="F39" s="666">
        <f>F18+F22+F23+F28+F29+F30+F24</f>
        <v>129102193</v>
      </c>
      <c r="G39" s="666">
        <f>G18+G22+G23+G28+G29+G30+G24</f>
        <v>129102193</v>
      </c>
    </row>
  </sheetData>
  <sheetProtection selectLockedCells="1" selectUnlockedCells="1"/>
  <mergeCells count="2">
    <mergeCell ref="A2:D2"/>
    <mergeCell ref="E25:E29"/>
  </mergeCells>
  <phoneticPr fontId="0" type="noConversion"/>
  <pageMargins left="0.7" right="0.7" top="0.75" bottom="0.75" header="0.51180555555555551" footer="0.51180555555555551"/>
  <pageSetup paperSize="9" scale="65" firstPageNumber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view="pageBreakPreview" topLeftCell="A5" zoomScale="60" zoomScaleNormal="100" workbookViewId="0">
      <selection activeCell="G5" sqref="G5"/>
    </sheetView>
  </sheetViews>
  <sheetFormatPr defaultColWidth="11.42578125" defaultRowHeight="15"/>
  <cols>
    <col min="1" max="1" width="31" style="668" customWidth="1"/>
    <col min="2" max="2" width="19.85546875" style="669" customWidth="1"/>
    <col min="3" max="3" width="15.140625" style="669" customWidth="1"/>
    <col min="4" max="4" width="14.140625" style="669" customWidth="1"/>
    <col min="5" max="5" width="13.42578125" style="669" customWidth="1"/>
    <col min="6" max="6" width="13.85546875" style="669" customWidth="1"/>
    <col min="7" max="7" width="12.85546875" style="669" customWidth="1"/>
    <col min="8" max="8" width="13.5703125" style="669" customWidth="1"/>
    <col min="9" max="16384" width="11.42578125" style="669"/>
  </cols>
  <sheetData>
    <row r="1" spans="1:7">
      <c r="C1" s="9"/>
      <c r="F1" s="1898" t="s">
        <v>455</v>
      </c>
      <c r="G1" s="1898"/>
    </row>
    <row r="2" spans="1:7" ht="24.75" customHeight="1">
      <c r="A2" s="1899" t="s">
        <v>456</v>
      </c>
      <c r="B2" s="1899"/>
      <c r="C2" s="1899"/>
      <c r="D2" s="1899"/>
      <c r="E2" s="1899"/>
      <c r="F2" s="1899"/>
      <c r="G2" s="1899"/>
    </row>
    <row r="3" spans="1:7" ht="18.75" customHeight="1">
      <c r="A3" s="1900">
        <v>2019</v>
      </c>
      <c r="B3" s="1900"/>
      <c r="C3" s="1900"/>
      <c r="D3" s="1900"/>
      <c r="E3" s="1900"/>
      <c r="F3" s="1900"/>
      <c r="G3" s="1900"/>
    </row>
    <row r="4" spans="1:7" ht="24.75" customHeight="1">
      <c r="A4" s="1901" t="s">
        <v>457</v>
      </c>
      <c r="B4" s="1901"/>
      <c r="C4" s="1901"/>
      <c r="D4" s="1901"/>
      <c r="E4" s="1901"/>
      <c r="F4" s="1901"/>
      <c r="G4" s="1901"/>
    </row>
    <row r="5" spans="1:7">
      <c r="G5" s="670" t="s">
        <v>490</v>
      </c>
    </row>
    <row r="6" spans="1:7" ht="24.95" customHeight="1">
      <c r="A6" s="1902" t="s">
        <v>458</v>
      </c>
      <c r="B6" s="1903" t="s">
        <v>459</v>
      </c>
      <c r="C6" s="1903"/>
      <c r="D6" s="1903"/>
      <c r="E6" s="1904" t="s">
        <v>460</v>
      </c>
      <c r="F6" s="1904"/>
      <c r="G6" s="1904"/>
    </row>
    <row r="7" spans="1:7" ht="24.95" customHeight="1" thickBot="1">
      <c r="A7" s="1902"/>
      <c r="B7" s="671" t="s">
        <v>461</v>
      </c>
      <c r="C7" s="671" t="s">
        <v>462</v>
      </c>
      <c r="D7" s="671" t="s">
        <v>463</v>
      </c>
      <c r="E7" s="672" t="s">
        <v>461</v>
      </c>
      <c r="F7" s="671" t="s">
        <v>464</v>
      </c>
      <c r="G7" s="673" t="s">
        <v>463</v>
      </c>
    </row>
    <row r="8" spans="1:7" ht="33.75" customHeight="1">
      <c r="A8" s="674" t="s">
        <v>26</v>
      </c>
      <c r="B8" s="675"/>
      <c r="C8" s="675"/>
      <c r="D8" s="864"/>
      <c r="E8" s="676"/>
      <c r="F8" s="676"/>
      <c r="G8" s="677"/>
    </row>
    <row r="9" spans="1:7" ht="33.75" customHeight="1">
      <c r="A9" s="678" t="s">
        <v>465</v>
      </c>
      <c r="B9" s="679"/>
      <c r="C9" s="679"/>
      <c r="D9" s="675"/>
      <c r="E9" s="680"/>
      <c r="F9" s="680"/>
      <c r="G9" s="681"/>
    </row>
    <row r="10" spans="1:7" ht="33.75" customHeight="1">
      <c r="A10" s="678" t="s">
        <v>466</v>
      </c>
      <c r="B10" s="679"/>
      <c r="C10" s="679"/>
      <c r="D10" s="675"/>
      <c r="E10" s="680"/>
      <c r="F10" s="680"/>
      <c r="G10" s="681"/>
    </row>
    <row r="11" spans="1:7" ht="33.75" customHeight="1">
      <c r="A11" s="682" t="s">
        <v>24</v>
      </c>
      <c r="B11" s="683"/>
      <c r="C11" s="683"/>
      <c r="D11" s="862"/>
      <c r="E11" s="684"/>
      <c r="F11" s="684"/>
      <c r="G11" s="681"/>
    </row>
    <row r="12" spans="1:7" ht="33.75" customHeight="1" thickBot="1">
      <c r="A12" s="685" t="s">
        <v>44</v>
      </c>
      <c r="B12" s="686"/>
      <c r="C12" s="686"/>
      <c r="D12" s="863"/>
      <c r="E12" s="687"/>
      <c r="F12" s="687"/>
      <c r="G12" s="688"/>
    </row>
    <row r="13" spans="1:7" ht="33.75" customHeight="1" thickBot="1">
      <c r="A13" s="689" t="s">
        <v>307</v>
      </c>
      <c r="B13" s="690">
        <f>SUM(B10:B12)</f>
        <v>0</v>
      </c>
      <c r="C13" s="690">
        <f>SUM(C8:C12)</f>
        <v>0</v>
      </c>
      <c r="D13" s="690">
        <f>SUM(D9:D12)</f>
        <v>0</v>
      </c>
      <c r="E13" s="690">
        <f>SUM(E10:E12)</f>
        <v>0</v>
      </c>
      <c r="F13" s="690">
        <f>SUM(F8:F12)</f>
        <v>0</v>
      </c>
      <c r="G13" s="691">
        <f>SUM(G10:G12)</f>
        <v>0</v>
      </c>
    </row>
    <row r="15" spans="1:7" ht="28.5" customHeight="1">
      <c r="A15" s="1901" t="s">
        <v>467</v>
      </c>
      <c r="B15" s="1901"/>
      <c r="C15" s="1901"/>
      <c r="D15" s="1901"/>
      <c r="E15" s="1901"/>
      <c r="F15" s="1901"/>
      <c r="G15" s="1901"/>
    </row>
    <row r="16" spans="1:7" ht="16.5" customHeight="1">
      <c r="A16" s="1902" t="s">
        <v>427</v>
      </c>
      <c r="B16" s="1903" t="s">
        <v>459</v>
      </c>
      <c r="C16" s="1903"/>
      <c r="D16" s="1903"/>
      <c r="E16" s="1904" t="s">
        <v>460</v>
      </c>
      <c r="F16" s="1904"/>
      <c r="G16" s="1904"/>
    </row>
    <row r="17" spans="1:7" ht="20.100000000000001" customHeight="1">
      <c r="A17" s="1902"/>
      <c r="B17" s="671" t="s">
        <v>461</v>
      </c>
      <c r="C17" s="671" t="s">
        <v>462</v>
      </c>
      <c r="D17" s="671" t="s">
        <v>463</v>
      </c>
      <c r="E17" s="672" t="s">
        <v>461</v>
      </c>
      <c r="F17" s="671" t="s">
        <v>464</v>
      </c>
      <c r="G17" s="673" t="s">
        <v>463</v>
      </c>
    </row>
    <row r="18" spans="1:7" ht="30" customHeight="1">
      <c r="A18" s="692" t="s">
        <v>468</v>
      </c>
      <c r="B18" s="693"/>
      <c r="C18" s="694"/>
      <c r="D18" s="695"/>
      <c r="E18" s="696"/>
      <c r="F18" s="696"/>
      <c r="G18" s="697"/>
    </row>
    <row r="19" spans="1:7" ht="29.25" customHeight="1">
      <c r="A19" s="698" t="s">
        <v>469</v>
      </c>
      <c r="B19" s="699"/>
      <c r="C19" s="684"/>
      <c r="D19" s="700"/>
      <c r="E19" s="701"/>
      <c r="F19" s="701"/>
      <c r="G19" s="702"/>
    </row>
    <row r="20" spans="1:7" s="707" customFormat="1" ht="27.75" customHeight="1">
      <c r="A20" s="703" t="s">
        <v>307</v>
      </c>
      <c r="B20" s="704">
        <f>SUM(B18:B19)</f>
        <v>0</v>
      </c>
      <c r="C20" s="704"/>
      <c r="D20" s="704">
        <f>SUM(D18:D19)</f>
        <v>0</v>
      </c>
      <c r="E20" s="705"/>
      <c r="F20" s="705"/>
      <c r="G20" s="706"/>
    </row>
  </sheetData>
  <sheetProtection selectLockedCells="1" selectUnlockedCells="1"/>
  <mergeCells count="11">
    <mergeCell ref="E6:G6"/>
    <mergeCell ref="F1:G1"/>
    <mergeCell ref="A2:G2"/>
    <mergeCell ref="A3:G3"/>
    <mergeCell ref="A4:G4"/>
    <mergeCell ref="A15:G15"/>
    <mergeCell ref="A16:A17"/>
    <mergeCell ref="B16:D16"/>
    <mergeCell ref="E16:G16"/>
    <mergeCell ref="A6:A7"/>
    <mergeCell ref="B6:D6"/>
  </mergeCells>
  <phoneticPr fontId="0" type="noConversion"/>
  <pageMargins left="0.7" right="0.7" top="0.75" bottom="0.75" header="0.51180555555555551" footer="0.51180555555555551"/>
  <pageSetup paperSize="9" scale="72" firstPageNumber="0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BreakPreview" zoomScale="60" zoomScaleNormal="100" workbookViewId="0">
      <selection activeCell="A25" sqref="A25"/>
    </sheetView>
  </sheetViews>
  <sheetFormatPr defaultColWidth="12.85546875" defaultRowHeight="12.75"/>
  <cols>
    <col min="1" max="1" width="5.85546875" customWidth="1"/>
    <col min="2" max="2" width="30.5703125" customWidth="1"/>
    <col min="3" max="3" width="16.140625" customWidth="1"/>
    <col min="4" max="4" width="12" customWidth="1"/>
    <col min="6" max="6" width="11" customWidth="1"/>
  </cols>
  <sheetData>
    <row r="1" spans="1:6" ht="12.75" customHeight="1">
      <c r="E1" s="1905" t="s">
        <v>470</v>
      </c>
      <c r="F1" s="1905"/>
    </row>
    <row r="2" spans="1:6" ht="24.75">
      <c r="A2" s="1906" t="s">
        <v>471</v>
      </c>
      <c r="B2" s="1906"/>
      <c r="C2" s="1906"/>
      <c r="D2" s="1906"/>
      <c r="E2" s="1906"/>
      <c r="F2" s="1906"/>
    </row>
    <row r="3" spans="1:6" ht="19.5">
      <c r="A3" s="1907" t="s">
        <v>472</v>
      </c>
      <c r="B3" s="1907"/>
      <c r="C3" s="1907"/>
      <c r="D3" s="1907"/>
      <c r="E3" s="1907"/>
      <c r="F3" s="1907"/>
    </row>
    <row r="4" spans="1:6" ht="33.75" customHeight="1">
      <c r="A4" s="708"/>
      <c r="B4" s="708"/>
      <c r="C4" s="9"/>
      <c r="D4" s="708"/>
      <c r="E4" s="708"/>
      <c r="F4" s="708"/>
    </row>
    <row r="5" spans="1:6" ht="15.75">
      <c r="A5" s="709" t="s">
        <v>473</v>
      </c>
      <c r="B5" s="710"/>
      <c r="C5" s="710"/>
      <c r="D5" s="710"/>
      <c r="E5" s="710"/>
      <c r="F5" s="710"/>
    </row>
    <row r="6" spans="1:6" ht="15.75">
      <c r="A6" s="710"/>
      <c r="B6" s="710"/>
      <c r="C6" s="710"/>
      <c r="D6" s="710"/>
      <c r="E6" s="710"/>
      <c r="F6" s="710"/>
    </row>
    <row r="7" spans="1:6" ht="15.75">
      <c r="A7" s="709" t="s">
        <v>474</v>
      </c>
      <c r="B7" s="710"/>
      <c r="C7" s="710"/>
      <c r="D7" s="710"/>
      <c r="E7" s="710"/>
      <c r="F7" s="710"/>
    </row>
    <row r="8" spans="1:6" ht="15.75">
      <c r="A8" s="709"/>
      <c r="B8" s="710"/>
      <c r="C8" s="710"/>
      <c r="D8" s="710"/>
      <c r="E8" s="710"/>
      <c r="F8" s="710"/>
    </row>
    <row r="9" spans="1:6" ht="15">
      <c r="A9" s="711" t="s">
        <v>475</v>
      </c>
      <c r="B9" s="712"/>
      <c r="C9" s="712"/>
      <c r="D9" s="712"/>
      <c r="E9" s="712"/>
      <c r="F9" s="713"/>
    </row>
    <row r="10" spans="1:6" ht="15">
      <c r="A10" s="711"/>
      <c r="B10" s="712"/>
      <c r="C10" s="712"/>
      <c r="D10" s="712"/>
      <c r="E10" s="712"/>
      <c r="F10" s="713"/>
    </row>
    <row r="11" spans="1:6" ht="15">
      <c r="A11" s="711" t="s">
        <v>476</v>
      </c>
      <c r="B11" s="712"/>
      <c r="C11" s="712"/>
      <c r="D11" s="712"/>
      <c r="E11" s="712"/>
    </row>
    <row r="13" spans="1:6" ht="38.25">
      <c r="A13" s="714" t="s">
        <v>381</v>
      </c>
      <c r="B13" s="715" t="s">
        <v>477</v>
      </c>
      <c r="C13" s="716" t="s">
        <v>478</v>
      </c>
      <c r="D13" s="716" t="s">
        <v>479</v>
      </c>
      <c r="E13" s="716" t="s">
        <v>480</v>
      </c>
      <c r="F13" s="717" t="s">
        <v>344</v>
      </c>
    </row>
    <row r="14" spans="1:6" ht="24.75" customHeight="1">
      <c r="A14" s="718" t="s">
        <v>15</v>
      </c>
      <c r="B14" s="719" t="s">
        <v>481</v>
      </c>
      <c r="C14" s="720"/>
      <c r="D14" s="720"/>
      <c r="E14" s="720"/>
      <c r="F14" s="721">
        <v>0</v>
      </c>
    </row>
    <row r="15" spans="1:6" ht="25.5">
      <c r="A15" s="722" t="s">
        <v>168</v>
      </c>
      <c r="B15" s="723" t="s">
        <v>482</v>
      </c>
      <c r="C15" s="724"/>
      <c r="D15" s="724"/>
      <c r="E15" s="724"/>
      <c r="F15" s="725">
        <v>0</v>
      </c>
    </row>
    <row r="16" spans="1:6" ht="25.5">
      <c r="A16" s="722" t="s">
        <v>76</v>
      </c>
      <c r="B16" s="723" t="s">
        <v>483</v>
      </c>
      <c r="C16" s="724"/>
      <c r="D16" s="724"/>
      <c r="E16" s="724"/>
      <c r="F16" s="725">
        <v>0</v>
      </c>
    </row>
    <row r="17" spans="1:6" ht="21" customHeight="1">
      <c r="A17" s="722" t="s">
        <v>95</v>
      </c>
      <c r="B17" s="723" t="s">
        <v>484</v>
      </c>
      <c r="C17" s="724"/>
      <c r="D17" s="724"/>
      <c r="E17" s="724"/>
      <c r="F17" s="725">
        <v>0</v>
      </c>
    </row>
    <row r="18" spans="1:6" ht="40.5" customHeight="1">
      <c r="A18" s="722" t="s">
        <v>105</v>
      </c>
      <c r="B18" s="723" t="s">
        <v>485</v>
      </c>
      <c r="C18" s="724"/>
      <c r="D18" s="724"/>
      <c r="E18" s="724"/>
      <c r="F18" s="725">
        <v>0</v>
      </c>
    </row>
    <row r="19" spans="1:6" ht="21.75" customHeight="1">
      <c r="A19" s="726" t="s">
        <v>113</v>
      </c>
      <c r="B19" s="727" t="s">
        <v>486</v>
      </c>
      <c r="C19" s="728"/>
      <c r="D19" s="728"/>
      <c r="E19" s="728"/>
      <c r="F19" s="729">
        <v>0</v>
      </c>
    </row>
    <row r="20" spans="1:6" ht="21.75" customHeight="1">
      <c r="A20" s="730" t="s">
        <v>122</v>
      </c>
      <c r="B20" s="731" t="s">
        <v>344</v>
      </c>
      <c r="C20" s="732">
        <v>0</v>
      </c>
      <c r="D20" s="732">
        <v>0</v>
      </c>
      <c r="E20" s="732">
        <v>0</v>
      </c>
      <c r="F20" s="733">
        <v>0</v>
      </c>
    </row>
    <row r="21" spans="1:6">
      <c r="A21" s="713"/>
      <c r="B21" s="713"/>
      <c r="C21" s="713"/>
      <c r="D21" s="713"/>
      <c r="E21" s="713"/>
      <c r="F21" s="713"/>
    </row>
    <row r="22" spans="1:6">
      <c r="A22" s="713"/>
      <c r="B22" s="713"/>
      <c r="C22" s="713"/>
      <c r="D22" s="713"/>
      <c r="E22" s="713"/>
      <c r="F22" s="713"/>
    </row>
    <row r="23" spans="1:6">
      <c r="A23" s="713"/>
      <c r="B23" s="713"/>
      <c r="C23" s="713"/>
      <c r="D23" s="713"/>
      <c r="E23" s="713"/>
      <c r="F23" s="713"/>
    </row>
    <row r="24" spans="1:6" ht="15.75">
      <c r="A24" s="710" t="s">
        <v>554</v>
      </c>
      <c r="B24" s="713"/>
      <c r="C24" s="713"/>
      <c r="D24" s="713"/>
      <c r="E24" s="713"/>
      <c r="F24" s="713"/>
    </row>
    <row r="25" spans="1:6">
      <c r="A25" s="713"/>
      <c r="B25" s="713"/>
      <c r="C25" s="713"/>
      <c r="D25" s="713"/>
      <c r="E25" s="713"/>
      <c r="F25" s="713"/>
    </row>
    <row r="26" spans="1:6">
      <c r="A26" s="713"/>
      <c r="B26" s="713"/>
      <c r="C26" s="713"/>
      <c r="D26" s="713"/>
      <c r="E26" s="713"/>
      <c r="F26" s="713"/>
    </row>
    <row r="29" spans="1:6" ht="13.5">
      <c r="C29" s="734"/>
      <c r="D29" s="735" t="s">
        <v>487</v>
      </c>
      <c r="E29" s="734"/>
    </row>
  </sheetData>
  <sheetProtection selectLockedCells="1" selectUnlockedCells="1"/>
  <mergeCells count="3">
    <mergeCell ref="E1:F1"/>
    <mergeCell ref="A2:F2"/>
    <mergeCell ref="A3:F3"/>
  </mergeCells>
  <phoneticPr fontId="0" type="noConversion"/>
  <pageMargins left="0.74791666666666667" right="0.74791666666666667" top="0.98402777777777772" bottom="0.98402777777777772" header="0.51180555555555551" footer="0.51180555555555551"/>
  <pageSetup paperSize="9" scale="97" firstPageNumber="0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0"/>
  <sheetViews>
    <sheetView view="pageBreakPreview" zoomScale="60" zoomScaleNormal="100" workbookViewId="0">
      <selection activeCell="F25" sqref="F25"/>
    </sheetView>
  </sheetViews>
  <sheetFormatPr defaultColWidth="9" defaultRowHeight="12.75"/>
  <cols>
    <col min="1" max="1" width="7" customWidth="1"/>
    <col min="2" max="2" width="36.140625" customWidth="1"/>
    <col min="3" max="12" width="11" bestFit="1" customWidth="1"/>
    <col min="13" max="13" width="13.140625" customWidth="1"/>
  </cols>
  <sheetData>
    <row r="2" spans="1:13" ht="18.75">
      <c r="A2" s="1908" t="s">
        <v>548</v>
      </c>
      <c r="B2" s="1908"/>
      <c r="C2" s="1908"/>
      <c r="D2" s="1908"/>
      <c r="E2" s="1908"/>
      <c r="F2" s="1908"/>
      <c r="G2" s="1908"/>
      <c r="H2" s="1908"/>
      <c r="I2" s="1908"/>
      <c r="J2" s="1908"/>
      <c r="K2" s="1908"/>
      <c r="L2" s="1908"/>
      <c r="M2" s="1908"/>
    </row>
    <row r="4" spans="1:13" ht="15.75" thickBot="1">
      <c r="M4" s="670" t="s">
        <v>490</v>
      </c>
    </row>
    <row r="5" spans="1:13" ht="13.5" thickBot="1">
      <c r="A5" s="984" t="s">
        <v>549</v>
      </c>
      <c r="B5" s="985" t="s">
        <v>139</v>
      </c>
      <c r="C5" s="985">
        <v>2019</v>
      </c>
      <c r="D5" s="985">
        <v>2020</v>
      </c>
      <c r="E5" s="985">
        <v>2021</v>
      </c>
      <c r="F5" s="985">
        <v>2022</v>
      </c>
      <c r="G5" s="985">
        <v>2023</v>
      </c>
      <c r="H5" s="985">
        <v>2024</v>
      </c>
      <c r="I5" s="985">
        <v>2025</v>
      </c>
      <c r="J5" s="985">
        <v>2026</v>
      </c>
      <c r="K5" s="985">
        <v>2027</v>
      </c>
      <c r="L5" s="1003">
        <v>2028</v>
      </c>
      <c r="M5" s="986" t="s">
        <v>307</v>
      </c>
    </row>
    <row r="6" spans="1:13">
      <c r="A6" s="987" t="s">
        <v>15</v>
      </c>
      <c r="B6" s="989" t="s">
        <v>550</v>
      </c>
      <c r="C6" s="995">
        <v>1413279</v>
      </c>
      <c r="D6" s="995"/>
      <c r="E6" s="995"/>
      <c r="F6" s="995"/>
      <c r="G6" s="995"/>
      <c r="H6" s="995"/>
      <c r="I6" s="995"/>
      <c r="J6" s="995"/>
      <c r="K6" s="995"/>
      <c r="L6" s="1004"/>
      <c r="M6" s="996">
        <f>SUM(C6:K6)</f>
        <v>1413279</v>
      </c>
    </row>
    <row r="7" spans="1:13">
      <c r="A7" s="988" t="s">
        <v>168</v>
      </c>
      <c r="B7" s="990" t="s">
        <v>551</v>
      </c>
      <c r="C7" s="997">
        <v>611000</v>
      </c>
      <c r="D7" s="997">
        <v>2444000</v>
      </c>
      <c r="E7" s="997">
        <v>2444000</v>
      </c>
      <c r="F7" s="997">
        <v>1833000</v>
      </c>
      <c r="G7" s="997">
        <v>2444000</v>
      </c>
      <c r="H7" s="997">
        <v>3055000</v>
      </c>
      <c r="I7" s="997">
        <v>2444000</v>
      </c>
      <c r="J7" s="997">
        <v>2444000</v>
      </c>
      <c r="K7" s="997">
        <v>2444000</v>
      </c>
      <c r="L7" s="1005">
        <v>1837000</v>
      </c>
      <c r="M7" s="998">
        <f>SUM(C7:L7)</f>
        <v>22000000</v>
      </c>
    </row>
    <row r="8" spans="1:13">
      <c r="A8" s="988" t="s">
        <v>76</v>
      </c>
      <c r="B8" s="990" t="s">
        <v>552</v>
      </c>
      <c r="C8" s="997"/>
      <c r="D8" s="997"/>
      <c r="E8" s="997"/>
      <c r="F8" s="997"/>
      <c r="G8" s="997"/>
      <c r="H8" s="997"/>
      <c r="I8" s="997"/>
      <c r="J8" s="997"/>
      <c r="K8" s="997"/>
      <c r="L8" s="1005"/>
      <c r="M8" s="998"/>
    </row>
    <row r="9" spans="1:13" ht="13.5" thickBot="1">
      <c r="A9" s="991" t="s">
        <v>95</v>
      </c>
      <c r="B9" s="992"/>
      <c r="C9" s="999"/>
      <c r="D9" s="999"/>
      <c r="E9" s="999"/>
      <c r="F9" s="999"/>
      <c r="G9" s="999"/>
      <c r="H9" s="999"/>
      <c r="I9" s="999"/>
      <c r="J9" s="999"/>
      <c r="K9" s="999"/>
      <c r="L9" s="1006"/>
      <c r="M9" s="1000"/>
    </row>
    <row r="10" spans="1:13" ht="16.5" thickBot="1">
      <c r="A10" s="994" t="s">
        <v>105</v>
      </c>
      <c r="B10" s="993" t="s">
        <v>553</v>
      </c>
      <c r="C10" s="1001">
        <f>SUM(C6:C9)</f>
        <v>2024279</v>
      </c>
      <c r="D10" s="1001">
        <f>SUM(D7:D9)</f>
        <v>2444000</v>
      </c>
      <c r="E10" s="1001">
        <f>SUM(E7:E9)</f>
        <v>2444000</v>
      </c>
      <c r="F10" s="1001">
        <f>SUM(F6:F9)</f>
        <v>1833000</v>
      </c>
      <c r="G10" s="1001">
        <f>SUM(G7:G9)</f>
        <v>2444000</v>
      </c>
      <c r="H10" s="1001">
        <f>SUM(H7:H9)</f>
        <v>3055000</v>
      </c>
      <c r="I10" s="1001">
        <f>SUM(I6:I9)</f>
        <v>2444000</v>
      </c>
      <c r="J10" s="1001">
        <f>SUM(J7:J9)</f>
        <v>2444000</v>
      </c>
      <c r="K10" s="1001">
        <f>SUM(K7:K9)</f>
        <v>2444000</v>
      </c>
      <c r="L10" s="1007">
        <f>SUM(L6:L9)</f>
        <v>1837000</v>
      </c>
      <c r="M10" s="1002">
        <f>SUM(M6:M9)</f>
        <v>23413279</v>
      </c>
    </row>
  </sheetData>
  <mergeCells count="1">
    <mergeCell ref="A2:M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60" zoomScaleNormal="100" workbookViewId="0">
      <selection activeCell="L24" sqref="L24"/>
    </sheetView>
  </sheetViews>
  <sheetFormatPr defaultColWidth="11.42578125" defaultRowHeight="12.75"/>
  <cols>
    <col min="1" max="6" width="11.42578125" style="1601" customWidth="1"/>
    <col min="7" max="7" width="12" style="1601" customWidth="1"/>
    <col min="8" max="16384" width="11.42578125" style="1601"/>
  </cols>
  <sheetData>
    <row r="1" spans="1:9" ht="15">
      <c r="A1" s="1599"/>
      <c r="B1" s="1600"/>
      <c r="C1" s="1600"/>
      <c r="D1" s="1600"/>
      <c r="E1" s="1600"/>
      <c r="F1" s="1600"/>
      <c r="G1" s="1600"/>
      <c r="H1" s="1909" t="s">
        <v>596</v>
      </c>
      <c r="I1" s="1910"/>
    </row>
    <row r="2" spans="1:9" ht="15">
      <c r="A2" s="1599"/>
      <c r="B2" s="1600"/>
      <c r="C2" s="1600"/>
      <c r="D2" s="1600"/>
      <c r="E2" s="1600"/>
      <c r="F2" s="1600"/>
      <c r="G2" s="1600"/>
      <c r="H2" s="1600"/>
      <c r="I2" s="1600"/>
    </row>
    <row r="3" spans="1:9" ht="15">
      <c r="A3" s="1599"/>
      <c r="B3" s="1911" t="s">
        <v>615</v>
      </c>
      <c r="C3" s="1911"/>
      <c r="D3" s="1911"/>
      <c r="E3" s="1911"/>
      <c r="F3" s="1911"/>
      <c r="G3" s="1911"/>
      <c r="H3" s="1911"/>
      <c r="I3" s="1911"/>
    </row>
    <row r="4" spans="1:9" ht="15">
      <c r="A4" s="1599"/>
      <c r="B4" s="1911"/>
      <c r="C4" s="1911"/>
      <c r="D4" s="1911"/>
      <c r="E4" s="1911"/>
      <c r="F4" s="1911"/>
      <c r="G4" s="1911"/>
      <c r="H4" s="1911"/>
      <c r="I4" s="1911"/>
    </row>
    <row r="5" spans="1:9" ht="15.75" thickBot="1">
      <c r="A5" s="1599"/>
      <c r="B5" s="1600"/>
      <c r="C5" s="1600"/>
      <c r="D5" s="1600"/>
      <c r="E5" s="1600"/>
      <c r="F5" s="1600"/>
      <c r="G5" s="1600"/>
      <c r="H5" s="1912" t="s">
        <v>597</v>
      </c>
      <c r="I5" s="1912"/>
    </row>
    <row r="6" spans="1:9" ht="15.75" thickBot="1">
      <c r="A6" s="1599"/>
      <c r="B6" s="1602" t="s">
        <v>381</v>
      </c>
      <c r="C6" s="1913" t="s">
        <v>139</v>
      </c>
      <c r="D6" s="1913"/>
      <c r="E6" s="1913"/>
      <c r="F6" s="1913"/>
      <c r="G6" s="1913"/>
      <c r="H6" s="1913" t="s">
        <v>309</v>
      </c>
      <c r="I6" s="1913"/>
    </row>
    <row r="7" spans="1:9" ht="15">
      <c r="A7" s="1599"/>
      <c r="B7" s="1603">
        <v>1</v>
      </c>
      <c r="C7" s="1914" t="s">
        <v>598</v>
      </c>
      <c r="D7" s="1914"/>
      <c r="E7" s="1914"/>
      <c r="F7" s="1914"/>
      <c r="G7" s="1914"/>
      <c r="H7" s="1915">
        <v>272108223</v>
      </c>
      <c r="I7" s="1915"/>
    </row>
    <row r="8" spans="1:9" ht="15">
      <c r="A8" s="1599"/>
      <c r="B8" s="1604">
        <v>2</v>
      </c>
      <c r="C8" s="1916" t="s">
        <v>599</v>
      </c>
      <c r="D8" s="1916"/>
      <c r="E8" s="1916"/>
      <c r="F8" s="1916"/>
      <c r="G8" s="1916"/>
      <c r="H8" s="1917">
        <v>161176808</v>
      </c>
      <c r="I8" s="1917"/>
    </row>
    <row r="9" spans="1:9" ht="15">
      <c r="A9" s="1599"/>
      <c r="B9" s="1604">
        <v>3</v>
      </c>
      <c r="C9" s="1918" t="s">
        <v>600</v>
      </c>
      <c r="D9" s="1918"/>
      <c r="E9" s="1918"/>
      <c r="F9" s="1918"/>
      <c r="G9" s="1918"/>
      <c r="H9" s="1919">
        <f>H7-H8</f>
        <v>110931415</v>
      </c>
      <c r="I9" s="1919"/>
    </row>
    <row r="10" spans="1:9" ht="15">
      <c r="A10" s="1599"/>
      <c r="B10" s="1604">
        <v>4</v>
      </c>
      <c r="C10" s="1916" t="s">
        <v>601</v>
      </c>
      <c r="D10" s="1916"/>
      <c r="E10" s="1916"/>
      <c r="F10" s="1916"/>
      <c r="G10" s="1916"/>
      <c r="H10" s="1917">
        <v>176877158</v>
      </c>
      <c r="I10" s="1917"/>
    </row>
    <row r="11" spans="1:9" ht="15">
      <c r="A11" s="1599"/>
      <c r="B11" s="1604">
        <v>5</v>
      </c>
      <c r="C11" s="1916" t="s">
        <v>602</v>
      </c>
      <c r="D11" s="1916"/>
      <c r="E11" s="1916"/>
      <c r="F11" s="1916"/>
      <c r="G11" s="1916"/>
      <c r="H11" s="1917">
        <v>107945109</v>
      </c>
      <c r="I11" s="1917"/>
    </row>
    <row r="12" spans="1:9" ht="15.75" thickBot="1">
      <c r="A12" s="1599"/>
      <c r="B12" s="1605">
        <v>6</v>
      </c>
      <c r="C12" s="1920" t="s">
        <v>603</v>
      </c>
      <c r="D12" s="1920"/>
      <c r="E12" s="1920"/>
      <c r="F12" s="1920"/>
      <c r="G12" s="1920"/>
      <c r="H12" s="1921">
        <f>H10-H11</f>
        <v>68932049</v>
      </c>
      <c r="I12" s="1921"/>
    </row>
    <row r="13" spans="1:9" ht="15.75" thickBot="1">
      <c r="A13" s="1599"/>
      <c r="B13" s="1606">
        <v>7</v>
      </c>
      <c r="C13" s="1922" t="s">
        <v>604</v>
      </c>
      <c r="D13" s="1922"/>
      <c r="E13" s="1922"/>
      <c r="F13" s="1922"/>
      <c r="G13" s="1922"/>
      <c r="H13" s="1923">
        <f>H9+H12</f>
        <v>179863464</v>
      </c>
      <c r="I13" s="1923"/>
    </row>
    <row r="14" spans="1:9" ht="15">
      <c r="A14" s="1599"/>
      <c r="B14" s="1603">
        <v>8</v>
      </c>
      <c r="C14" s="1914" t="s">
        <v>605</v>
      </c>
      <c r="D14" s="1914"/>
      <c r="E14" s="1914"/>
      <c r="F14" s="1914"/>
      <c r="G14" s="1914"/>
      <c r="H14" s="1915"/>
      <c r="I14" s="1915"/>
    </row>
    <row r="15" spans="1:9" ht="15">
      <c r="A15" s="1599"/>
      <c r="B15" s="1604">
        <v>9</v>
      </c>
      <c r="C15" s="1916" t="s">
        <v>606</v>
      </c>
      <c r="D15" s="1916"/>
      <c r="E15" s="1916"/>
      <c r="F15" s="1916"/>
      <c r="G15" s="1916"/>
      <c r="H15" s="1917"/>
      <c r="I15" s="1917"/>
    </row>
    <row r="16" spans="1:9" ht="15">
      <c r="A16" s="1599"/>
      <c r="B16" s="1604">
        <v>10</v>
      </c>
      <c r="C16" s="1918" t="s">
        <v>607</v>
      </c>
      <c r="D16" s="1918"/>
      <c r="E16" s="1918"/>
      <c r="F16" s="1918"/>
      <c r="G16" s="1918"/>
      <c r="H16" s="1919">
        <f>H14-H15</f>
        <v>0</v>
      </c>
      <c r="I16" s="1919"/>
    </row>
    <row r="17" spans="1:9" ht="15">
      <c r="A17" s="1599"/>
      <c r="B17" s="1604">
        <v>11</v>
      </c>
      <c r="C17" s="1916" t="s">
        <v>608</v>
      </c>
      <c r="D17" s="1916"/>
      <c r="E17" s="1916"/>
      <c r="F17" s="1916"/>
      <c r="G17" s="1916"/>
      <c r="H17" s="1917"/>
      <c r="I17" s="1917"/>
    </row>
    <row r="18" spans="1:9" ht="15">
      <c r="A18" s="1599"/>
      <c r="B18" s="1604">
        <v>12</v>
      </c>
      <c r="C18" s="1916" t="s">
        <v>609</v>
      </c>
      <c r="D18" s="1916"/>
      <c r="E18" s="1916"/>
      <c r="F18" s="1916"/>
      <c r="G18" s="1916"/>
      <c r="H18" s="1917"/>
      <c r="I18" s="1917"/>
    </row>
    <row r="19" spans="1:9" ht="15.75" thickBot="1">
      <c r="A19" s="1599"/>
      <c r="B19" s="1605">
        <v>13</v>
      </c>
      <c r="C19" s="1920" t="s">
        <v>610</v>
      </c>
      <c r="D19" s="1920"/>
      <c r="E19" s="1920"/>
      <c r="F19" s="1920"/>
      <c r="G19" s="1920"/>
      <c r="H19" s="1921">
        <f>H17-H18</f>
        <v>0</v>
      </c>
      <c r="I19" s="1921"/>
    </row>
    <row r="20" spans="1:9" ht="15.75" thickBot="1">
      <c r="A20" s="1599"/>
      <c r="B20" s="1606">
        <v>14</v>
      </c>
      <c r="C20" s="1922" t="s">
        <v>611</v>
      </c>
      <c r="D20" s="1922"/>
      <c r="E20" s="1922"/>
      <c r="F20" s="1922"/>
      <c r="G20" s="1922"/>
      <c r="H20" s="1923">
        <f>H16+H19</f>
        <v>0</v>
      </c>
      <c r="I20" s="1923"/>
    </row>
    <row r="21" spans="1:9" ht="15.75" thickBot="1">
      <c r="A21" s="1599"/>
      <c r="B21" s="1606">
        <v>15</v>
      </c>
      <c r="C21" s="1922" t="s">
        <v>612</v>
      </c>
      <c r="D21" s="1922"/>
      <c r="E21" s="1922"/>
      <c r="F21" s="1922"/>
      <c r="G21" s="1922"/>
      <c r="H21" s="1923">
        <f>H13+H20</f>
        <v>179863464</v>
      </c>
      <c r="I21" s="1923"/>
    </row>
    <row r="22" spans="1:9" ht="15" customHeight="1" thickBot="1">
      <c r="B22" s="1607">
        <v>16</v>
      </c>
      <c r="C22" s="1928" t="s">
        <v>613</v>
      </c>
      <c r="D22" s="1928"/>
      <c r="E22" s="1928"/>
      <c r="F22" s="1928"/>
      <c r="G22" s="1928"/>
      <c r="H22" s="1929">
        <v>491636</v>
      </c>
      <c r="I22" s="1930"/>
    </row>
    <row r="23" spans="1:9" ht="13.5" thickBot="1">
      <c r="B23" s="1608">
        <v>17</v>
      </c>
      <c r="C23" s="1924" t="s">
        <v>614</v>
      </c>
      <c r="D23" s="1925"/>
      <c r="E23" s="1925"/>
      <c r="F23" s="1925"/>
      <c r="G23" s="1925"/>
      <c r="H23" s="1926">
        <f>H21-H22</f>
        <v>179371828</v>
      </c>
      <c r="I23" s="1927"/>
    </row>
    <row r="24" spans="1:9">
      <c r="B24" s="1609"/>
      <c r="C24" s="1609"/>
      <c r="D24" s="1609"/>
      <c r="E24" s="1609"/>
      <c r="F24" s="1609"/>
      <c r="G24" s="1609"/>
      <c r="H24" s="1609"/>
      <c r="I24" s="1609"/>
    </row>
  </sheetData>
  <mergeCells count="39">
    <mergeCell ref="C23:G23"/>
    <mergeCell ref="H23:I23"/>
    <mergeCell ref="C20:G20"/>
    <mergeCell ref="H20:I20"/>
    <mergeCell ref="C21:G21"/>
    <mergeCell ref="H21:I21"/>
    <mergeCell ref="C22:G22"/>
    <mergeCell ref="H22:I22"/>
    <mergeCell ref="C17:G17"/>
    <mergeCell ref="H17:I17"/>
    <mergeCell ref="C18:G18"/>
    <mergeCell ref="H18:I18"/>
    <mergeCell ref="C19:G19"/>
    <mergeCell ref="H19:I19"/>
    <mergeCell ref="C14:G14"/>
    <mergeCell ref="H14:I14"/>
    <mergeCell ref="C15:G15"/>
    <mergeCell ref="H15:I15"/>
    <mergeCell ref="C16:G16"/>
    <mergeCell ref="H16:I16"/>
    <mergeCell ref="C11:G11"/>
    <mergeCell ref="H11:I11"/>
    <mergeCell ref="C12:G12"/>
    <mergeCell ref="H12:I12"/>
    <mergeCell ref="C13:G13"/>
    <mergeCell ref="H13:I13"/>
    <mergeCell ref="C8:G8"/>
    <mergeCell ref="H8:I8"/>
    <mergeCell ref="C9:G9"/>
    <mergeCell ref="H9:I9"/>
    <mergeCell ref="C10:G10"/>
    <mergeCell ref="H10:I10"/>
    <mergeCell ref="H1:I1"/>
    <mergeCell ref="B3:I4"/>
    <mergeCell ref="H5:I5"/>
    <mergeCell ref="C6:G6"/>
    <mergeCell ref="H6:I6"/>
    <mergeCell ref="C7:G7"/>
    <mergeCell ref="H7:I7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7"/>
  <sheetViews>
    <sheetView view="pageBreakPreview" topLeftCell="A31" zoomScale="60" zoomScaleNormal="100" workbookViewId="0">
      <selection activeCell="I39" sqref="I39"/>
    </sheetView>
  </sheetViews>
  <sheetFormatPr defaultColWidth="11.42578125" defaultRowHeight="15.75"/>
  <cols>
    <col min="1" max="1" width="2.85546875" style="121" customWidth="1"/>
    <col min="2" max="2" width="3.85546875" style="122" customWidth="1"/>
    <col min="3" max="3" width="7.85546875" style="122" customWidth="1"/>
    <col min="4" max="4" width="74.5703125" style="123" customWidth="1"/>
    <col min="5" max="5" width="12.140625" style="123" customWidth="1"/>
    <col min="6" max="6" width="22.5703125" style="124" customWidth="1"/>
    <col min="7" max="7" width="19.140625" style="124" bestFit="1" customWidth="1"/>
    <col min="8" max="9" width="19.140625" style="124" customWidth="1"/>
    <col min="10" max="10" width="22.85546875" style="125" customWidth="1"/>
    <col min="11" max="11" width="19.140625" style="125" bestFit="1" customWidth="1"/>
    <col min="12" max="12" width="20.140625" style="125" customWidth="1"/>
    <col min="13" max="13" width="18.140625" style="125" customWidth="1"/>
    <col min="14" max="14" width="22" style="125" customWidth="1"/>
    <col min="15" max="15" width="15.85546875" style="125" customWidth="1"/>
    <col min="16" max="16" width="12.140625" style="125" hidden="1" customWidth="1"/>
    <col min="17" max="17" width="13.140625" style="125" hidden="1" customWidth="1"/>
    <col min="18" max="18" width="0.85546875" style="125" hidden="1" customWidth="1"/>
    <col min="19" max="20" width="15.85546875" style="125" customWidth="1"/>
    <col min="21" max="21" width="23.140625" style="125" customWidth="1"/>
    <col min="22" max="27" width="0" style="124" hidden="1" customWidth="1"/>
    <col min="28" max="16384" width="11.42578125" style="124"/>
  </cols>
  <sheetData>
    <row r="1" spans="1:27" ht="44.25" hidden="1" customHeight="1">
      <c r="A1" s="1746"/>
      <c r="B1" s="1746"/>
      <c r="C1" s="1746"/>
      <c r="D1" s="1746"/>
      <c r="E1" s="1746"/>
      <c r="F1" s="1746"/>
      <c r="G1" s="1746"/>
      <c r="H1" s="1746"/>
      <c r="I1" s="1746"/>
      <c r="J1" s="1746"/>
      <c r="K1" s="1746"/>
      <c r="L1" s="1746"/>
      <c r="M1" s="1746"/>
      <c r="N1" s="1746"/>
      <c r="O1" s="1746"/>
      <c r="P1" s="1746"/>
      <c r="Q1" s="1746"/>
      <c r="R1" s="1746"/>
      <c r="S1" s="1746"/>
      <c r="T1" s="1746"/>
      <c r="U1" s="1746"/>
    </row>
    <row r="2" spans="1:27" ht="21.75" hidden="1" customHeight="1">
      <c r="A2" s="1747"/>
      <c r="B2" s="1747"/>
      <c r="C2" s="127"/>
      <c r="D2" s="128"/>
      <c r="E2" s="128"/>
      <c r="U2" s="129" t="s">
        <v>1</v>
      </c>
    </row>
    <row r="3" spans="1:27" ht="41.25" customHeight="1">
      <c r="A3" s="1748" t="s">
        <v>560</v>
      </c>
      <c r="B3" s="1748"/>
      <c r="C3" s="1748"/>
      <c r="D3" s="1748"/>
      <c r="E3" s="1748"/>
      <c r="F3" s="1748"/>
      <c r="G3" s="1748"/>
      <c r="H3" s="1748"/>
      <c r="I3" s="1748"/>
      <c r="J3" s="1748"/>
      <c r="K3" s="1748"/>
      <c r="L3" s="1748"/>
      <c r="M3" s="1748"/>
      <c r="N3" s="1748"/>
      <c r="O3" s="1748"/>
      <c r="P3" s="1748"/>
      <c r="Q3" s="1748"/>
      <c r="R3" s="1748"/>
      <c r="S3" s="1748"/>
      <c r="T3" s="1748"/>
      <c r="U3" s="1748"/>
    </row>
    <row r="4" spans="1:27" ht="36.75" customHeight="1">
      <c r="A4" s="126"/>
      <c r="B4" s="126"/>
      <c r="C4" s="127"/>
      <c r="D4" s="128"/>
      <c r="E4" s="1749"/>
      <c r="F4" s="1749"/>
      <c r="U4" s="129"/>
    </row>
    <row r="5" spans="1:27" ht="18.75" customHeight="1" thickBot="1">
      <c r="A5" s="126"/>
      <c r="B5" s="126"/>
      <c r="C5" s="127"/>
      <c r="D5" s="128"/>
      <c r="E5" s="128"/>
      <c r="U5" s="129" t="s">
        <v>490</v>
      </c>
    </row>
    <row r="6" spans="1:27" s="9" customFormat="1" ht="56.25" customHeight="1" thickBot="1">
      <c r="A6" s="1743" t="s">
        <v>139</v>
      </c>
      <c r="B6" s="1743"/>
      <c r="C6" s="1743"/>
      <c r="D6" s="1743"/>
      <c r="E6" s="103" t="s">
        <v>4</v>
      </c>
      <c r="F6" s="1744" t="s">
        <v>5</v>
      </c>
      <c r="G6" s="1744"/>
      <c r="H6" s="1744"/>
      <c r="I6" s="1744"/>
      <c r="J6" s="1743" t="s">
        <v>6</v>
      </c>
      <c r="K6" s="1751"/>
      <c r="L6" s="1751"/>
      <c r="M6" s="1752"/>
      <c r="N6" s="1743" t="s">
        <v>7</v>
      </c>
      <c r="O6" s="1751"/>
      <c r="P6" s="1751"/>
      <c r="Q6" s="1751"/>
      <c r="R6" s="1751"/>
      <c r="S6" s="1751"/>
      <c r="T6" s="1752"/>
      <c r="U6" s="1750" t="s">
        <v>140</v>
      </c>
      <c r="V6" s="1750"/>
      <c r="W6" s="1750"/>
      <c r="X6" s="1750"/>
      <c r="Y6" s="1750"/>
      <c r="Z6" s="1750"/>
      <c r="AA6" s="1750"/>
    </row>
    <row r="7" spans="1:27" s="9" customFormat="1" ht="111" hidden="1" thickBot="1">
      <c r="A7" s="130"/>
      <c r="B7" s="131"/>
      <c r="C7" s="131"/>
      <c r="D7" s="131"/>
      <c r="E7" s="103"/>
      <c r="F7" s="132" t="s">
        <v>9</v>
      </c>
      <c r="G7" s="133" t="s">
        <v>141</v>
      </c>
      <c r="H7" s="133" t="s">
        <v>142</v>
      </c>
      <c r="I7" s="134" t="s">
        <v>145</v>
      </c>
      <c r="J7" s="132" t="s">
        <v>9</v>
      </c>
      <c r="K7" s="133" t="s">
        <v>141</v>
      </c>
      <c r="L7" s="134" t="s">
        <v>145</v>
      </c>
      <c r="M7" s="1515"/>
      <c r="N7" s="132" t="s">
        <v>9</v>
      </c>
      <c r="O7" s="133" t="s">
        <v>141</v>
      </c>
      <c r="P7" s="133" t="s">
        <v>142</v>
      </c>
      <c r="Q7" s="133" t="s">
        <v>143</v>
      </c>
      <c r="R7" s="133" t="s">
        <v>144</v>
      </c>
      <c r="S7" s="134" t="s">
        <v>145</v>
      </c>
      <c r="T7" s="1515"/>
      <c r="U7" s="132" t="s">
        <v>9</v>
      </c>
      <c r="V7" s="133" t="s">
        <v>141</v>
      </c>
      <c r="W7" s="133" t="s">
        <v>142</v>
      </c>
      <c r="X7" s="133" t="s">
        <v>143</v>
      </c>
      <c r="Y7" s="133" t="s">
        <v>144</v>
      </c>
      <c r="Z7" s="134" t="s">
        <v>145</v>
      </c>
      <c r="AA7" s="134" t="s">
        <v>145</v>
      </c>
    </row>
    <row r="8" spans="1:27" s="136" customFormat="1" ht="33" customHeight="1" thickBot="1">
      <c r="A8" s="67" t="s">
        <v>15</v>
      </c>
      <c r="B8" s="1734" t="s">
        <v>146</v>
      </c>
      <c r="C8" s="1734"/>
      <c r="D8" s="1734"/>
      <c r="E8" s="135"/>
      <c r="F8" s="96">
        <f>F9+F10+F11+F12+F13</f>
        <v>203462159</v>
      </c>
      <c r="G8" s="96">
        <f t="shared" ref="G8:O8" si="0">G9+G10+G11+G12+G13</f>
        <v>208571294</v>
      </c>
      <c r="H8" s="96">
        <f t="shared" si="0"/>
        <v>218351458</v>
      </c>
      <c r="I8" s="96">
        <f t="shared" si="0"/>
        <v>183366086</v>
      </c>
      <c r="J8" s="96">
        <f t="shared" si="0"/>
        <v>203462159</v>
      </c>
      <c r="K8" s="96">
        <f t="shared" si="0"/>
        <v>208571294</v>
      </c>
      <c r="L8" s="96">
        <f t="shared" si="0"/>
        <v>218351461</v>
      </c>
      <c r="M8" s="96">
        <f t="shared" si="0"/>
        <v>183366086</v>
      </c>
      <c r="N8" s="96">
        <f t="shared" si="0"/>
        <v>0</v>
      </c>
      <c r="O8" s="96">
        <f t="shared" si="0"/>
        <v>0</v>
      </c>
      <c r="P8" s="96"/>
      <c r="Q8" s="96"/>
      <c r="R8" s="96"/>
      <c r="S8" s="96"/>
      <c r="T8" s="96"/>
      <c r="U8" s="96"/>
      <c r="V8" s="96" t="e">
        <f t="shared" ref="V8:AA8" si="1">V9+V10+V11+V12+V13</f>
        <v>#REF!</v>
      </c>
      <c r="W8" s="96" t="e">
        <f t="shared" si="1"/>
        <v>#REF!</v>
      </c>
      <c r="X8" s="96" t="e">
        <f t="shared" si="1"/>
        <v>#REF!</v>
      </c>
      <c r="Y8" s="96" t="e">
        <f t="shared" si="1"/>
        <v>#REF!</v>
      </c>
      <c r="Z8" s="96" t="e">
        <f t="shared" si="1"/>
        <v>#REF!</v>
      </c>
      <c r="AA8" s="96" t="e">
        <f t="shared" si="1"/>
        <v>#REF!</v>
      </c>
    </row>
    <row r="9" spans="1:27" s="143" customFormat="1" ht="33" customHeight="1">
      <c r="A9" s="137"/>
      <c r="B9" s="138" t="s">
        <v>18</v>
      </c>
      <c r="C9" s="138"/>
      <c r="D9" s="139" t="s">
        <v>147</v>
      </c>
      <c r="E9" s="140" t="s">
        <v>148</v>
      </c>
      <c r="F9" s="141">
        <f>'4.sz.m.ÖNK kiadás'!F7+'Vitnyédi KÖH'!J32+'5. sz. m óvoda'!J34</f>
        <v>84004260</v>
      </c>
      <c r="G9" s="141">
        <f>'4.sz.m.ÖNK kiadás'!G7+'Vitnyédi KÖH'!K32+'5. sz. m óvoda'!K34</f>
        <v>86872028</v>
      </c>
      <c r="H9" s="141">
        <f>'4.sz.m.ÖNK kiadás'!H7+'Vitnyédi KÖH'!L32+'5. sz. m óvoda'!L34</f>
        <v>91102890</v>
      </c>
      <c r="I9" s="141">
        <f>'4.sz.m.ÖNK kiadás'!I7+'Vitnyédi KÖH'!M32+'5. sz. m óvoda'!M34</f>
        <v>87659288</v>
      </c>
      <c r="J9" s="141">
        <v>84004260</v>
      </c>
      <c r="K9" s="142">
        <v>86872028</v>
      </c>
      <c r="L9" s="142">
        <v>91102890</v>
      </c>
      <c r="M9" s="142">
        <v>87659288</v>
      </c>
      <c r="N9" s="141"/>
      <c r="O9" s="142"/>
      <c r="P9" s="142"/>
      <c r="Q9" s="142"/>
      <c r="R9" s="142"/>
      <c r="S9" s="142"/>
      <c r="T9" s="876"/>
      <c r="U9" s="141"/>
      <c r="V9" s="142" t="e">
        <f>#REF!</f>
        <v>#REF!</v>
      </c>
      <c r="W9" s="142" t="e">
        <f>#REF!</f>
        <v>#REF!</v>
      </c>
      <c r="X9" s="142" t="e">
        <f>#REF!</f>
        <v>#REF!</v>
      </c>
      <c r="Y9" s="142" t="e">
        <f>#REF!</f>
        <v>#REF!</v>
      </c>
      <c r="Z9" s="142" t="e">
        <f>#REF!</f>
        <v>#REF!</v>
      </c>
      <c r="AA9" s="142" t="e">
        <f>#REF!</f>
        <v>#REF!</v>
      </c>
    </row>
    <row r="10" spans="1:27" s="143" customFormat="1" ht="33" customHeight="1">
      <c r="A10" s="144"/>
      <c r="B10" s="145" t="s">
        <v>28</v>
      </c>
      <c r="C10" s="145"/>
      <c r="D10" s="146" t="s">
        <v>149</v>
      </c>
      <c r="E10" s="140" t="s">
        <v>150</v>
      </c>
      <c r="F10" s="141">
        <f>'4.sz.m.ÖNK kiadás'!F8+'Vitnyédi KÖH'!J33+'5. sz. m óvoda'!J35</f>
        <v>14504932</v>
      </c>
      <c r="G10" s="141">
        <f>'4.sz.m.ÖNK kiadás'!G8+'Vitnyédi KÖH'!K33+'5. sz. m óvoda'!K35</f>
        <v>14165086</v>
      </c>
      <c r="H10" s="141">
        <f>'4.sz.m.ÖNK kiadás'!H8+'Vitnyédi KÖH'!L33+'5. sz. m óvoda'!L35</f>
        <v>14719238</v>
      </c>
      <c r="I10" s="141">
        <f>'4.sz.m.ÖNK kiadás'!I8+'Vitnyédi KÖH'!M33+'5. sz. m óvoda'!M35</f>
        <v>14245966</v>
      </c>
      <c r="J10" s="141">
        <v>14504932</v>
      </c>
      <c r="K10" s="142">
        <v>14165086</v>
      </c>
      <c r="L10" s="142">
        <v>14719238</v>
      </c>
      <c r="M10" s="142">
        <v>14245966</v>
      </c>
      <c r="N10" s="141"/>
      <c r="O10" s="142"/>
      <c r="P10" s="142"/>
      <c r="Q10" s="142"/>
      <c r="R10" s="142"/>
      <c r="S10" s="142"/>
      <c r="T10" s="876"/>
      <c r="U10" s="141"/>
      <c r="V10" s="142" t="e">
        <f>#REF!</f>
        <v>#REF!</v>
      </c>
      <c r="W10" s="142" t="e">
        <f>#REF!</f>
        <v>#REF!</v>
      </c>
      <c r="X10" s="142" t="e">
        <f>#REF!</f>
        <v>#REF!</v>
      </c>
      <c r="Y10" s="142" t="e">
        <f>#REF!</f>
        <v>#REF!</v>
      </c>
      <c r="Z10" s="142" t="e">
        <f>#REF!</f>
        <v>#REF!</v>
      </c>
      <c r="AA10" s="142" t="e">
        <f>#REF!</f>
        <v>#REF!</v>
      </c>
    </row>
    <row r="11" spans="1:27" s="143" customFormat="1" ht="33" customHeight="1">
      <c r="A11" s="144"/>
      <c r="B11" s="145" t="s">
        <v>151</v>
      </c>
      <c r="C11" s="145"/>
      <c r="D11" s="146" t="s">
        <v>152</v>
      </c>
      <c r="E11" s="140" t="s">
        <v>153</v>
      </c>
      <c r="F11" s="141">
        <f>'4.sz.m.ÖNK kiadás'!F9+'Vitnyédi KÖH'!J34+'5. sz. m óvoda'!J36</f>
        <v>80269336</v>
      </c>
      <c r="G11" s="141">
        <f>'4.sz.m.ÖNK kiadás'!G9+'Vitnyédi KÖH'!K34+'5. sz. m óvoda'!K36</f>
        <v>81677024</v>
      </c>
      <c r="H11" s="141">
        <f>'4.sz.m.ÖNK kiadás'!H9+'Vitnyédi KÖH'!L34+'5. sz. m óvoda'!L36</f>
        <v>86550975</v>
      </c>
      <c r="I11" s="141">
        <f>'4.sz.m.ÖNK kiadás'!I9+'Vitnyédi KÖH'!M34+'5. sz. m óvoda'!M36</f>
        <v>64382398</v>
      </c>
      <c r="J11" s="141">
        <v>80269336</v>
      </c>
      <c r="K11" s="142">
        <v>81677024</v>
      </c>
      <c r="L11" s="142">
        <v>86550978</v>
      </c>
      <c r="M11" s="876">
        <v>64382398</v>
      </c>
      <c r="N11" s="141"/>
      <c r="O11" s="142"/>
      <c r="P11" s="142"/>
      <c r="Q11" s="142"/>
      <c r="R11" s="142"/>
      <c r="S11" s="142"/>
      <c r="T11" s="876"/>
      <c r="U11" s="141"/>
      <c r="V11" s="142" t="e">
        <f>#REF!</f>
        <v>#REF!</v>
      </c>
      <c r="W11" s="142" t="e">
        <f>#REF!</f>
        <v>#REF!</v>
      </c>
      <c r="X11" s="142" t="e">
        <f>#REF!</f>
        <v>#REF!</v>
      </c>
      <c r="Y11" s="142" t="e">
        <f>#REF!</f>
        <v>#REF!</v>
      </c>
      <c r="Z11" s="142" t="e">
        <f>#REF!</f>
        <v>#REF!</v>
      </c>
      <c r="AA11" s="142" t="e">
        <f>#REF!</f>
        <v>#REF!</v>
      </c>
    </row>
    <row r="12" spans="1:27" s="143" customFormat="1" ht="33" customHeight="1">
      <c r="A12" s="144"/>
      <c r="B12" s="145" t="s">
        <v>38</v>
      </c>
      <c r="C12" s="145"/>
      <c r="D12" s="146" t="s">
        <v>154</v>
      </c>
      <c r="E12" s="140" t="s">
        <v>155</v>
      </c>
      <c r="F12" s="141">
        <f>'4.sz.m.ÖNK kiadás'!F10</f>
        <v>4660000</v>
      </c>
      <c r="G12" s="141">
        <f>'4.sz.m.ÖNK kiadás'!G10</f>
        <v>4660000</v>
      </c>
      <c r="H12" s="141">
        <f>'4.sz.m.ÖNK kiadás'!H10</f>
        <v>4781199</v>
      </c>
      <c r="I12" s="141">
        <f>'4.sz.m.ÖNK kiadás'!I10</f>
        <v>4781199</v>
      </c>
      <c r="J12" s="141">
        <v>4660000</v>
      </c>
      <c r="K12" s="142">
        <v>4660000</v>
      </c>
      <c r="L12" s="142">
        <v>4781199</v>
      </c>
      <c r="M12" s="876">
        <v>4781199</v>
      </c>
      <c r="N12" s="141"/>
      <c r="O12" s="142"/>
      <c r="P12" s="142"/>
      <c r="Q12" s="142"/>
      <c r="R12" s="142"/>
      <c r="S12" s="142"/>
      <c r="T12" s="876"/>
      <c r="U12" s="141"/>
      <c r="V12" s="142"/>
      <c r="W12" s="142"/>
      <c r="X12" s="142"/>
      <c r="Y12" s="142"/>
      <c r="Z12" s="142"/>
      <c r="AA12" s="142"/>
    </row>
    <row r="13" spans="1:27" s="143" customFormat="1" ht="33" customHeight="1">
      <c r="A13" s="144"/>
      <c r="B13" s="145" t="s">
        <v>45</v>
      </c>
      <c r="C13" s="145"/>
      <c r="D13" s="147" t="s">
        <v>156</v>
      </c>
      <c r="E13" s="148" t="s">
        <v>157</v>
      </c>
      <c r="F13" s="141">
        <f>'4.sz.m.ÖNK kiadás'!F11+'Vitnyédi KÖH'!J36</f>
        <v>20023631</v>
      </c>
      <c r="G13" s="141">
        <f>'4.sz.m.ÖNK kiadás'!G11+'Vitnyédi KÖH'!K36</f>
        <v>21197156</v>
      </c>
      <c r="H13" s="141">
        <f>'4.sz.m.ÖNK kiadás'!H11+'Vitnyédi KÖH'!L36</f>
        <v>21197156</v>
      </c>
      <c r="I13" s="141">
        <f>'4.sz.m.ÖNK kiadás'!I11+'Vitnyédi KÖH'!M36</f>
        <v>12297235</v>
      </c>
      <c r="J13" s="141">
        <v>20023631</v>
      </c>
      <c r="K13" s="142">
        <v>21197156</v>
      </c>
      <c r="L13" s="142">
        <v>21197156</v>
      </c>
      <c r="M13" s="876">
        <v>12297235</v>
      </c>
      <c r="N13" s="141"/>
      <c r="O13" s="142"/>
      <c r="P13" s="142"/>
      <c r="Q13" s="142"/>
      <c r="R13" s="142"/>
      <c r="S13" s="142"/>
      <c r="T13" s="876"/>
      <c r="U13" s="141"/>
      <c r="V13" s="142"/>
      <c r="W13" s="142"/>
      <c r="X13" s="142"/>
      <c r="Y13" s="142"/>
      <c r="Z13" s="142"/>
      <c r="AA13" s="142"/>
    </row>
    <row r="14" spans="1:27" s="143" customFormat="1" ht="33" customHeight="1">
      <c r="A14" s="144"/>
      <c r="B14" s="149"/>
      <c r="C14" s="145" t="s">
        <v>158</v>
      </c>
      <c r="D14" s="146" t="s">
        <v>159</v>
      </c>
      <c r="E14" s="140"/>
      <c r="F14" s="141"/>
      <c r="G14" s="142"/>
      <c r="H14" s="142"/>
      <c r="I14" s="142"/>
      <c r="J14" s="141"/>
      <c r="K14" s="142"/>
      <c r="L14" s="142"/>
      <c r="M14" s="876"/>
      <c r="N14" s="141"/>
      <c r="O14" s="142"/>
      <c r="P14" s="142"/>
      <c r="Q14" s="142"/>
      <c r="R14" s="142"/>
      <c r="S14" s="142"/>
      <c r="T14" s="876"/>
      <c r="U14" s="141"/>
      <c r="V14" s="142"/>
      <c r="W14" s="142"/>
      <c r="X14" s="142"/>
      <c r="Y14" s="142"/>
      <c r="Z14" s="142"/>
      <c r="AA14" s="142"/>
    </row>
    <row r="15" spans="1:27" s="143" customFormat="1" ht="57.75" customHeight="1">
      <c r="A15" s="144"/>
      <c r="B15" s="145"/>
      <c r="C15" s="145" t="s">
        <v>160</v>
      </c>
      <c r="D15" s="146" t="s">
        <v>161</v>
      </c>
      <c r="E15" s="140"/>
      <c r="F15" s="141"/>
      <c r="G15" s="142"/>
      <c r="H15" s="142"/>
      <c r="I15" s="142"/>
      <c r="J15" s="141"/>
      <c r="K15" s="142"/>
      <c r="L15" s="142"/>
      <c r="M15" s="876"/>
      <c r="N15" s="141"/>
      <c r="O15" s="142"/>
      <c r="P15" s="142"/>
      <c r="Q15" s="142"/>
      <c r="R15" s="142"/>
      <c r="S15" s="142"/>
      <c r="T15" s="876"/>
      <c r="U15" s="141"/>
      <c r="V15" s="142"/>
      <c r="W15" s="142"/>
      <c r="X15" s="142"/>
      <c r="Y15" s="142"/>
      <c r="Z15" s="142"/>
      <c r="AA15" s="142"/>
    </row>
    <row r="16" spans="1:27" s="143" customFormat="1" ht="54.75" customHeight="1" thickBot="1">
      <c r="A16" s="150"/>
      <c r="B16" s="151"/>
      <c r="C16" s="145" t="s">
        <v>162</v>
      </c>
      <c r="D16" s="146" t="s">
        <v>163</v>
      </c>
      <c r="E16" s="140"/>
      <c r="F16" s="141"/>
      <c r="G16" s="142"/>
      <c r="H16" s="142"/>
      <c r="I16" s="142"/>
      <c r="J16" s="141"/>
      <c r="K16" s="142"/>
      <c r="L16" s="142"/>
      <c r="M16" s="876"/>
      <c r="N16" s="141"/>
      <c r="O16" s="142"/>
      <c r="P16" s="142"/>
      <c r="Q16" s="142"/>
      <c r="R16" s="142"/>
      <c r="S16" s="142"/>
      <c r="T16" s="876"/>
      <c r="U16" s="141"/>
      <c r="V16" s="142"/>
      <c r="W16" s="142"/>
      <c r="X16" s="142"/>
      <c r="Y16" s="142"/>
      <c r="Z16" s="142"/>
      <c r="AA16" s="142"/>
    </row>
    <row r="17" spans="1:27" s="143" customFormat="1" ht="33" hidden="1" customHeight="1" thickBot="1">
      <c r="A17" s="144"/>
      <c r="B17" s="145"/>
      <c r="C17" s="145" t="s">
        <v>164</v>
      </c>
      <c r="D17" s="146" t="s">
        <v>165</v>
      </c>
      <c r="E17" s="140"/>
      <c r="F17" s="141"/>
      <c r="G17" s="142"/>
      <c r="H17" s="142"/>
      <c r="I17" s="142"/>
      <c r="J17" s="141"/>
      <c r="K17" s="142"/>
      <c r="L17" s="142"/>
      <c r="M17" s="876"/>
      <c r="N17" s="141"/>
      <c r="O17" s="142"/>
      <c r="P17" s="142"/>
      <c r="Q17" s="142"/>
      <c r="R17" s="142"/>
      <c r="S17" s="142"/>
      <c r="T17" s="876"/>
      <c r="U17" s="141"/>
      <c r="V17" s="142"/>
      <c r="W17" s="142"/>
      <c r="X17" s="142"/>
      <c r="Y17" s="142"/>
      <c r="Z17" s="142"/>
      <c r="AA17" s="142"/>
    </row>
    <row r="18" spans="1:27" s="143" customFormat="1" ht="33" hidden="1" customHeight="1" thickBot="1">
      <c r="A18" s="152"/>
      <c r="B18" s="153"/>
      <c r="C18" s="153" t="s">
        <v>166</v>
      </c>
      <c r="D18" s="154" t="s">
        <v>167</v>
      </c>
      <c r="E18" s="155"/>
      <c r="F18" s="141"/>
      <c r="G18" s="142"/>
      <c r="H18" s="142"/>
      <c r="I18" s="142"/>
      <c r="J18" s="141"/>
      <c r="K18" s="142"/>
      <c r="L18" s="142"/>
      <c r="M18" s="876"/>
      <c r="N18" s="141"/>
      <c r="O18" s="142"/>
      <c r="P18" s="142"/>
      <c r="Q18" s="142"/>
      <c r="R18" s="142"/>
      <c r="S18" s="142"/>
      <c r="T18" s="876"/>
      <c r="U18" s="141"/>
      <c r="V18" s="142"/>
      <c r="W18" s="142"/>
      <c r="X18" s="142"/>
      <c r="Y18" s="142"/>
      <c r="Z18" s="142"/>
      <c r="AA18" s="142"/>
    </row>
    <row r="19" spans="1:27" s="143" customFormat="1" ht="33" customHeight="1" thickBot="1">
      <c r="A19" s="67" t="s">
        <v>168</v>
      </c>
      <c r="B19" s="1734" t="s">
        <v>169</v>
      </c>
      <c r="C19" s="1734"/>
      <c r="D19" s="1734"/>
      <c r="E19" s="135"/>
      <c r="F19" s="96">
        <f>F20+F21+F22</f>
        <v>20683900</v>
      </c>
      <c r="G19" s="96">
        <f t="shared" ref="G19:T19" si="2">G20+G21+G22</f>
        <v>39898833</v>
      </c>
      <c r="H19" s="96">
        <f t="shared" si="2"/>
        <v>73368683</v>
      </c>
      <c r="I19" s="96">
        <f t="shared" si="2"/>
        <v>72028539</v>
      </c>
      <c r="J19" s="96">
        <f t="shared" si="2"/>
        <v>18793900</v>
      </c>
      <c r="K19" s="96">
        <f t="shared" si="2"/>
        <v>38008833</v>
      </c>
      <c r="L19" s="96">
        <f t="shared" si="2"/>
        <v>71431687</v>
      </c>
      <c r="M19" s="96">
        <f t="shared" si="2"/>
        <v>69688539</v>
      </c>
      <c r="N19" s="96">
        <f t="shared" si="2"/>
        <v>1890000</v>
      </c>
      <c r="O19" s="96">
        <f t="shared" si="2"/>
        <v>1890000</v>
      </c>
      <c r="P19" s="96">
        <f t="shared" si="2"/>
        <v>0</v>
      </c>
      <c r="Q19" s="96">
        <f t="shared" si="2"/>
        <v>0</v>
      </c>
      <c r="R19" s="96">
        <f t="shared" si="2"/>
        <v>0</v>
      </c>
      <c r="S19" s="96">
        <f t="shared" si="2"/>
        <v>2340000</v>
      </c>
      <c r="T19" s="96">
        <f t="shared" si="2"/>
        <v>2340000</v>
      </c>
      <c r="U19" s="96"/>
      <c r="V19" s="156">
        <f t="shared" ref="V19:AA19" si="3">SUM(V20:V22)</f>
        <v>0</v>
      </c>
      <c r="W19" s="156">
        <f t="shared" si="3"/>
        <v>0</v>
      </c>
      <c r="X19" s="156">
        <f t="shared" si="3"/>
        <v>0</v>
      </c>
      <c r="Y19" s="156">
        <f t="shared" si="3"/>
        <v>0</v>
      </c>
      <c r="Z19" s="156">
        <f t="shared" si="3"/>
        <v>0</v>
      </c>
      <c r="AA19" s="156">
        <f t="shared" si="3"/>
        <v>0</v>
      </c>
    </row>
    <row r="20" spans="1:27" s="143" customFormat="1" ht="33" customHeight="1">
      <c r="A20" s="137"/>
      <c r="B20" s="138" t="s">
        <v>51</v>
      </c>
      <c r="C20" s="1741" t="s">
        <v>170</v>
      </c>
      <c r="D20" s="1741"/>
      <c r="E20" s="157" t="s">
        <v>171</v>
      </c>
      <c r="F20" s="141">
        <f>'4.sz.m.ÖNK kiadás'!F18+'5. sz. m óvoda'!J40+'Vitnyédi KÖH'!J38</f>
        <v>7453300</v>
      </c>
      <c r="G20" s="1210">
        <f>'4.sz.m.ÖNK kiadás'!G18+'5. sz. m óvoda'!K40+'Vitnyédi KÖH'!K38</f>
        <v>26668233</v>
      </c>
      <c r="H20" s="1210">
        <f>'4.sz.m.ÖNK kiadás'!H18+'5. sz. m óvoda'!L40+'Vitnyédi KÖH'!L38</f>
        <v>59688083</v>
      </c>
      <c r="I20" s="1210">
        <f>'4.sz.m.ÖNK kiadás'!I18+'5. sz. m óvoda'!M40+'Vitnyédi KÖH'!M38</f>
        <v>58834674</v>
      </c>
      <c r="J20" s="141">
        <v>7453300</v>
      </c>
      <c r="K20" s="142">
        <v>26668233</v>
      </c>
      <c r="L20" s="142">
        <v>59688083</v>
      </c>
      <c r="M20" s="876">
        <v>58834674</v>
      </c>
      <c r="N20" s="141"/>
      <c r="O20" s="142"/>
      <c r="P20" s="142"/>
      <c r="Q20" s="142"/>
      <c r="R20" s="142"/>
      <c r="S20" s="142"/>
      <c r="T20" s="876"/>
      <c r="U20" s="141"/>
      <c r="V20" s="142"/>
      <c r="W20" s="142"/>
      <c r="X20" s="142"/>
      <c r="Y20" s="142"/>
      <c r="Z20" s="142"/>
      <c r="AA20" s="142"/>
    </row>
    <row r="21" spans="1:27" s="143" customFormat="1" ht="33" customHeight="1">
      <c r="A21" s="144"/>
      <c r="B21" s="145" t="s">
        <v>54</v>
      </c>
      <c r="C21" s="1745" t="s">
        <v>172</v>
      </c>
      <c r="D21" s="1745"/>
      <c r="E21" s="157" t="s">
        <v>173</v>
      </c>
      <c r="F21" s="141">
        <f>'4.sz.m.ÖNK kiadás'!F19</f>
        <v>11340600</v>
      </c>
      <c r="G21" s="141">
        <f>'4.sz.m.ÖNK kiadás'!G19</f>
        <v>11340600</v>
      </c>
      <c r="H21" s="141">
        <f>'4.sz.m.ÖNK kiadás'!H19</f>
        <v>11340600</v>
      </c>
      <c r="I21" s="141">
        <f>'4.sz.m.ÖNK kiadás'!I19</f>
        <v>10853865</v>
      </c>
      <c r="J21" s="141">
        <v>11340600</v>
      </c>
      <c r="K21" s="142">
        <v>11340600</v>
      </c>
      <c r="L21" s="142">
        <v>11743604</v>
      </c>
      <c r="M21" s="876">
        <v>10853865</v>
      </c>
      <c r="N21" s="141"/>
      <c r="O21" s="142"/>
      <c r="P21" s="142"/>
      <c r="Q21" s="142"/>
      <c r="R21" s="142"/>
      <c r="S21" s="142"/>
      <c r="T21" s="876"/>
      <c r="U21" s="141"/>
      <c r="V21" s="142"/>
      <c r="W21" s="142"/>
      <c r="X21" s="142"/>
      <c r="Y21" s="142"/>
      <c r="Z21" s="142"/>
      <c r="AA21" s="142"/>
    </row>
    <row r="22" spans="1:27" s="143" customFormat="1" ht="33" customHeight="1">
      <c r="A22" s="158"/>
      <c r="B22" s="145" t="s">
        <v>57</v>
      </c>
      <c r="C22" s="1702" t="s">
        <v>174</v>
      </c>
      <c r="D22" s="1702"/>
      <c r="E22" s="57" t="s">
        <v>175</v>
      </c>
      <c r="F22" s="141">
        <f>'4.sz.m.ÖNK kiadás'!F20</f>
        <v>1890000</v>
      </c>
      <c r="G22" s="141">
        <f>'4.sz.m.ÖNK kiadás'!G20</f>
        <v>1890000</v>
      </c>
      <c r="H22" s="141">
        <f>'4.sz.m.ÖNK kiadás'!H20</f>
        <v>2340000</v>
      </c>
      <c r="I22" s="141">
        <f>'4.sz.m.ÖNK kiadás'!I20</f>
        <v>2340000</v>
      </c>
      <c r="J22" s="141"/>
      <c r="K22" s="142"/>
      <c r="L22" s="142"/>
      <c r="M22" s="876"/>
      <c r="N22" s="141">
        <v>1890000</v>
      </c>
      <c r="O22" s="142">
        <v>1890000</v>
      </c>
      <c r="P22" s="142"/>
      <c r="Q22" s="142"/>
      <c r="R22" s="142"/>
      <c r="S22" s="142">
        <v>2340000</v>
      </c>
      <c r="T22" s="876">
        <v>2340000</v>
      </c>
      <c r="U22" s="141"/>
      <c r="V22" s="142"/>
      <c r="W22" s="142"/>
      <c r="X22" s="142"/>
      <c r="Y22" s="142"/>
      <c r="Z22" s="142"/>
      <c r="AA22" s="142"/>
    </row>
    <row r="23" spans="1:27" s="143" customFormat="1" ht="34.5" customHeight="1">
      <c r="A23" s="159"/>
      <c r="B23" s="160"/>
      <c r="C23" s="160" t="s">
        <v>60</v>
      </c>
      <c r="D23" s="36" t="s">
        <v>176</v>
      </c>
      <c r="E23" s="57"/>
      <c r="F23" s="141">
        <v>1890000</v>
      </c>
      <c r="G23" s="141">
        <v>1890000</v>
      </c>
      <c r="H23" s="142"/>
      <c r="I23" s="142"/>
      <c r="J23" s="141"/>
      <c r="K23" s="142"/>
      <c r="L23" s="142"/>
      <c r="M23" s="876"/>
      <c r="N23" s="141">
        <v>1890000</v>
      </c>
      <c r="O23" s="142">
        <v>1890000</v>
      </c>
      <c r="P23" s="142"/>
      <c r="Q23" s="142"/>
      <c r="R23" s="142"/>
      <c r="S23" s="142">
        <v>2340000</v>
      </c>
      <c r="T23" s="876">
        <v>2340000</v>
      </c>
      <c r="U23" s="141"/>
      <c r="V23" s="142"/>
      <c r="W23" s="142"/>
      <c r="X23" s="142"/>
      <c r="Y23" s="142"/>
      <c r="Z23" s="142"/>
      <c r="AA23" s="142"/>
    </row>
    <row r="24" spans="1:27" s="143" customFormat="1" ht="33" customHeight="1">
      <c r="A24" s="159"/>
      <c r="B24" s="160"/>
      <c r="C24" s="160" t="s">
        <v>62</v>
      </c>
      <c r="D24" s="36" t="s">
        <v>177</v>
      </c>
      <c r="E24" s="57"/>
      <c r="F24" s="141"/>
      <c r="G24" s="142"/>
      <c r="H24" s="142"/>
      <c r="I24" s="142"/>
      <c r="J24" s="141"/>
      <c r="K24" s="142"/>
      <c r="L24" s="142"/>
      <c r="M24" s="876"/>
      <c r="N24" s="141"/>
      <c r="O24" s="142"/>
      <c r="P24" s="142"/>
      <c r="Q24" s="142"/>
      <c r="R24" s="142"/>
      <c r="S24" s="142"/>
      <c r="T24" s="876"/>
      <c r="U24" s="141"/>
      <c r="V24" s="142"/>
      <c r="W24" s="142"/>
      <c r="X24" s="142"/>
      <c r="Y24" s="142"/>
      <c r="Z24" s="142"/>
      <c r="AA24" s="142"/>
    </row>
    <row r="25" spans="1:27" s="143" customFormat="1" ht="33" customHeight="1">
      <c r="A25" s="158"/>
      <c r="B25" s="36"/>
      <c r="C25" s="160" t="s">
        <v>64</v>
      </c>
      <c r="D25" s="36" t="s">
        <v>165</v>
      </c>
      <c r="E25" s="57"/>
      <c r="F25" s="141"/>
      <c r="G25" s="142"/>
      <c r="H25" s="142"/>
      <c r="I25" s="142"/>
      <c r="J25" s="141"/>
      <c r="K25" s="142"/>
      <c r="L25" s="142"/>
      <c r="M25" s="876"/>
      <c r="N25" s="141"/>
      <c r="O25" s="142"/>
      <c r="P25" s="142"/>
      <c r="Q25" s="142"/>
      <c r="R25" s="142"/>
      <c r="S25" s="142"/>
      <c r="T25" s="876"/>
      <c r="U25" s="141"/>
      <c r="V25" s="142"/>
      <c r="W25" s="142"/>
      <c r="X25" s="142"/>
      <c r="Y25" s="142"/>
      <c r="Z25" s="142"/>
      <c r="AA25" s="142"/>
    </row>
    <row r="26" spans="1:27" s="143" customFormat="1" ht="33" customHeight="1" thickBot="1">
      <c r="A26" s="161"/>
      <c r="B26" s="162"/>
      <c r="C26" s="163" t="s">
        <v>178</v>
      </c>
      <c r="D26" s="162" t="s">
        <v>179</v>
      </c>
      <c r="E26" s="164"/>
      <c r="F26" s="141"/>
      <c r="G26" s="142"/>
      <c r="H26" s="142"/>
      <c r="I26" s="142"/>
      <c r="J26" s="141"/>
      <c r="K26" s="142"/>
      <c r="L26" s="142"/>
      <c r="M26" s="876"/>
      <c r="N26" s="141"/>
      <c r="O26" s="142"/>
      <c r="P26" s="142"/>
      <c r="Q26" s="142"/>
      <c r="R26" s="142"/>
      <c r="S26" s="142"/>
      <c r="T26" s="876"/>
      <c r="U26" s="141"/>
      <c r="V26" s="142"/>
      <c r="W26" s="142"/>
      <c r="X26" s="142"/>
      <c r="Y26" s="142"/>
      <c r="Z26" s="142"/>
      <c r="AA26" s="142"/>
    </row>
    <row r="27" spans="1:27" s="143" customFormat="1" ht="33" customHeight="1" thickBot="1">
      <c r="A27" s="67" t="s">
        <v>76</v>
      </c>
      <c r="B27" s="1734" t="s">
        <v>180</v>
      </c>
      <c r="C27" s="1734"/>
      <c r="D27" s="1734"/>
      <c r="E27" s="135" t="s">
        <v>181</v>
      </c>
      <c r="F27" s="96">
        <f>F28+F29+F30</f>
        <v>156114425</v>
      </c>
      <c r="G27" s="96">
        <f t="shared" ref="G27:N27" si="4">G28+G29+G30</f>
        <v>196983767</v>
      </c>
      <c r="H27" s="96">
        <f t="shared" si="4"/>
        <v>167059654</v>
      </c>
      <c r="I27" s="96">
        <f t="shared" si="4"/>
        <v>0</v>
      </c>
      <c r="J27" s="96">
        <f t="shared" si="4"/>
        <v>156114425</v>
      </c>
      <c r="K27" s="96">
        <f t="shared" si="4"/>
        <v>196983767</v>
      </c>
      <c r="L27" s="96">
        <f t="shared" si="4"/>
        <v>166656647</v>
      </c>
      <c r="M27" s="96"/>
      <c r="N27" s="96">
        <f t="shared" si="4"/>
        <v>0</v>
      </c>
      <c r="O27" s="96"/>
      <c r="P27" s="96"/>
      <c r="Q27" s="96"/>
      <c r="R27" s="96"/>
      <c r="S27" s="96"/>
      <c r="T27" s="96"/>
      <c r="U27" s="96"/>
      <c r="V27" s="156">
        <f t="shared" ref="V27:AA27" si="5">SUM(V28:V30)</f>
        <v>0</v>
      </c>
      <c r="W27" s="156">
        <f t="shared" si="5"/>
        <v>0</v>
      </c>
      <c r="X27" s="156">
        <f t="shared" si="5"/>
        <v>0</v>
      </c>
      <c r="Y27" s="156">
        <f t="shared" si="5"/>
        <v>0</v>
      </c>
      <c r="Z27" s="156">
        <f t="shared" si="5"/>
        <v>0</v>
      </c>
      <c r="AA27" s="156">
        <f t="shared" si="5"/>
        <v>0</v>
      </c>
    </row>
    <row r="28" spans="1:27" s="143" customFormat="1" ht="33" customHeight="1">
      <c r="A28" s="137"/>
      <c r="B28" s="138" t="s">
        <v>79</v>
      </c>
      <c r="C28" s="1741" t="s">
        <v>182</v>
      </c>
      <c r="D28" s="1741"/>
      <c r="E28" s="157"/>
      <c r="F28" s="141">
        <f>'4.sz.m.ÖNK kiadás'!F26</f>
        <v>17349965</v>
      </c>
      <c r="G28" s="141">
        <f>'4.sz.m.ÖNK kiadás'!G26</f>
        <v>13694530</v>
      </c>
      <c r="H28" s="141">
        <f>'4.sz.m.ÖNK kiadás'!H26</f>
        <v>10770835</v>
      </c>
      <c r="I28" s="141">
        <f>'4.sz.m.ÖNK kiadás'!I26</f>
        <v>0</v>
      </c>
      <c r="J28" s="141">
        <v>17349965</v>
      </c>
      <c r="K28" s="142">
        <v>13694530</v>
      </c>
      <c r="L28" s="142">
        <v>10367828</v>
      </c>
      <c r="M28" s="876"/>
      <c r="N28" s="141"/>
      <c r="O28" s="142"/>
      <c r="P28" s="142"/>
      <c r="Q28" s="142"/>
      <c r="R28" s="142"/>
      <c r="S28" s="142"/>
      <c r="T28" s="876"/>
      <c r="U28" s="141"/>
      <c r="V28" s="142"/>
      <c r="W28" s="142"/>
      <c r="X28" s="142"/>
      <c r="Y28" s="142"/>
      <c r="Z28" s="142"/>
      <c r="AA28" s="142"/>
    </row>
    <row r="29" spans="1:27" s="136" customFormat="1" ht="33" customHeight="1">
      <c r="A29" s="150"/>
      <c r="B29" s="145" t="s">
        <v>82</v>
      </c>
      <c r="C29" s="1704" t="s">
        <v>183</v>
      </c>
      <c r="D29" s="1704"/>
      <c r="E29" s="165"/>
      <c r="F29" s="141">
        <f>'4.sz.m.ÖNK kiadás'!F27</f>
        <v>720000</v>
      </c>
      <c r="G29" s="141">
        <f>'4.sz.m.ÖNK kiadás'!G27</f>
        <v>598259</v>
      </c>
      <c r="H29" s="141">
        <f>'4.sz.m.ÖNK kiadás'!H27</f>
        <v>598259</v>
      </c>
      <c r="I29" s="141">
        <f>'4.sz.m.ÖNK kiadás'!I27</f>
        <v>0</v>
      </c>
      <c r="J29" s="141">
        <v>720000</v>
      </c>
      <c r="K29" s="142">
        <v>598259</v>
      </c>
      <c r="L29" s="142">
        <v>598259</v>
      </c>
      <c r="M29" s="876"/>
      <c r="N29" s="141"/>
      <c r="O29" s="142"/>
      <c r="P29" s="142"/>
      <c r="Q29" s="142"/>
      <c r="R29" s="142"/>
      <c r="S29" s="142"/>
      <c r="T29" s="876"/>
      <c r="U29" s="141"/>
      <c r="V29" s="142"/>
      <c r="W29" s="142"/>
      <c r="X29" s="142"/>
      <c r="Y29" s="142"/>
      <c r="Z29" s="142"/>
      <c r="AA29" s="142"/>
    </row>
    <row r="30" spans="1:27" s="136" customFormat="1" ht="33" customHeight="1" thickBot="1">
      <c r="A30" s="166"/>
      <c r="B30" s="153" t="s">
        <v>84</v>
      </c>
      <c r="C30" s="167" t="s">
        <v>184</v>
      </c>
      <c r="D30" s="167"/>
      <c r="E30" s="168"/>
      <c r="F30" s="141">
        <f>'4.sz.m.ÖNK kiadás'!F28</f>
        <v>138044460</v>
      </c>
      <c r="G30" s="1210">
        <f>'4.sz.m.ÖNK kiadás'!G28</f>
        <v>182690978</v>
      </c>
      <c r="H30" s="1210">
        <f>'4.sz.m.ÖNK kiadás'!H28</f>
        <v>155690560</v>
      </c>
      <c r="I30" s="1210">
        <f>'4.sz.m.ÖNK kiadás'!I28</f>
        <v>0</v>
      </c>
      <c r="J30" s="141">
        <v>138044460</v>
      </c>
      <c r="K30" s="142">
        <v>182690978</v>
      </c>
      <c r="L30" s="142">
        <v>155690560</v>
      </c>
      <c r="M30" s="876"/>
      <c r="N30" s="141"/>
      <c r="O30" s="142"/>
      <c r="P30" s="142"/>
      <c r="Q30" s="142"/>
      <c r="R30" s="142"/>
      <c r="S30" s="142"/>
      <c r="T30" s="876"/>
      <c r="U30" s="141"/>
      <c r="V30" s="142"/>
      <c r="W30" s="142"/>
      <c r="X30" s="142"/>
      <c r="Y30" s="142"/>
      <c r="Z30" s="142"/>
      <c r="AA30" s="142"/>
    </row>
    <row r="31" spans="1:27" s="136" customFormat="1" ht="33" customHeight="1" thickBot="1">
      <c r="A31" s="169" t="s">
        <v>95</v>
      </c>
      <c r="B31" s="170" t="s">
        <v>185</v>
      </c>
      <c r="C31" s="170"/>
      <c r="D31" s="170"/>
      <c r="E31" s="171"/>
      <c r="F31" s="172"/>
      <c r="G31" s="173"/>
      <c r="H31" s="173"/>
      <c r="I31" s="173"/>
      <c r="J31" s="172"/>
      <c r="K31" s="173"/>
      <c r="L31" s="173"/>
      <c r="M31" s="880"/>
      <c r="N31" s="172"/>
      <c r="O31" s="173"/>
      <c r="P31" s="173"/>
      <c r="Q31" s="173"/>
      <c r="R31" s="173"/>
      <c r="S31" s="173"/>
      <c r="T31" s="880"/>
      <c r="U31" s="172"/>
      <c r="V31" s="173"/>
      <c r="W31" s="173"/>
      <c r="X31" s="173"/>
      <c r="Y31" s="173"/>
      <c r="Z31" s="173"/>
      <c r="AA31" s="173"/>
    </row>
    <row r="32" spans="1:27" s="136" customFormat="1" ht="33" customHeight="1" thickBot="1">
      <c r="A32" s="67" t="s">
        <v>105</v>
      </c>
      <c r="B32" s="1742" t="s">
        <v>186</v>
      </c>
      <c r="C32" s="1742"/>
      <c r="D32" s="1742"/>
      <c r="E32" s="108"/>
      <c r="F32" s="96">
        <f>F8+F19+F27</f>
        <v>380260484</v>
      </c>
      <c r="G32" s="96">
        <f t="shared" ref="G32:T32" si="6">G8+G19+G27</f>
        <v>445453894</v>
      </c>
      <c r="H32" s="96">
        <f t="shared" si="6"/>
        <v>458779795</v>
      </c>
      <c r="I32" s="96">
        <f t="shared" si="6"/>
        <v>255394625</v>
      </c>
      <c r="J32" s="96">
        <f t="shared" si="6"/>
        <v>378370484</v>
      </c>
      <c r="K32" s="96">
        <f t="shared" si="6"/>
        <v>443563894</v>
      </c>
      <c r="L32" s="96">
        <f t="shared" si="6"/>
        <v>456439795</v>
      </c>
      <c r="M32" s="96">
        <f t="shared" si="6"/>
        <v>253054625</v>
      </c>
      <c r="N32" s="96">
        <f t="shared" si="6"/>
        <v>1890000</v>
      </c>
      <c r="O32" s="96">
        <f t="shared" si="6"/>
        <v>1890000</v>
      </c>
      <c r="P32" s="96">
        <f t="shared" si="6"/>
        <v>0</v>
      </c>
      <c r="Q32" s="96">
        <f t="shared" si="6"/>
        <v>0</v>
      </c>
      <c r="R32" s="96">
        <f t="shared" si="6"/>
        <v>0</v>
      </c>
      <c r="S32" s="96">
        <f t="shared" si="6"/>
        <v>2340000</v>
      </c>
      <c r="T32" s="96">
        <f t="shared" si="6"/>
        <v>2340000</v>
      </c>
      <c r="U32" s="96"/>
      <c r="V32" s="156" t="e">
        <f t="shared" ref="V32:AA32" si="7">V8+V19+V27+V31</f>
        <v>#REF!</v>
      </c>
      <c r="W32" s="156" t="e">
        <f t="shared" si="7"/>
        <v>#REF!</v>
      </c>
      <c r="X32" s="156" t="e">
        <f t="shared" si="7"/>
        <v>#REF!</v>
      </c>
      <c r="Y32" s="156" t="e">
        <f t="shared" si="7"/>
        <v>#REF!</v>
      </c>
      <c r="Z32" s="156" t="e">
        <f t="shared" si="7"/>
        <v>#REF!</v>
      </c>
      <c r="AA32" s="156" t="e">
        <f t="shared" si="7"/>
        <v>#REF!</v>
      </c>
    </row>
    <row r="33" spans="1:27" s="136" customFormat="1" ht="33" customHeight="1" thickBot="1">
      <c r="A33" s="169" t="s">
        <v>113</v>
      </c>
      <c r="B33" s="1735" t="s">
        <v>187</v>
      </c>
      <c r="C33" s="1735"/>
      <c r="D33" s="1735"/>
      <c r="E33" s="171" t="s">
        <v>188</v>
      </c>
      <c r="F33" s="68">
        <f>F34+F35+F38</f>
        <v>6289170</v>
      </c>
      <c r="G33" s="68">
        <f t="shared" ref="G33:T33" si="8">G34+G35</f>
        <v>6289170</v>
      </c>
      <c r="H33" s="68">
        <f t="shared" si="8"/>
        <v>6289170</v>
      </c>
      <c r="I33" s="68">
        <f t="shared" si="8"/>
        <v>6289170</v>
      </c>
      <c r="J33" s="68">
        <f>J34+J35+J38</f>
        <v>3845170</v>
      </c>
      <c r="K33" s="68">
        <f t="shared" si="8"/>
        <v>3845170</v>
      </c>
      <c r="L33" s="68">
        <f t="shared" si="8"/>
        <v>3845170</v>
      </c>
      <c r="M33" s="68">
        <f t="shared" si="8"/>
        <v>3845170</v>
      </c>
      <c r="N33" s="68">
        <f t="shared" si="8"/>
        <v>2444000</v>
      </c>
      <c r="O33" s="68">
        <f t="shared" si="8"/>
        <v>2444000</v>
      </c>
      <c r="P33" s="68">
        <f t="shared" si="8"/>
        <v>0</v>
      </c>
      <c r="Q33" s="68">
        <f t="shared" si="8"/>
        <v>0</v>
      </c>
      <c r="R33" s="68">
        <f t="shared" si="8"/>
        <v>0</v>
      </c>
      <c r="S33" s="68">
        <f t="shared" si="8"/>
        <v>2444000</v>
      </c>
      <c r="T33" s="68">
        <f t="shared" si="8"/>
        <v>2444000</v>
      </c>
      <c r="U33" s="68"/>
      <c r="V33" s="71"/>
      <c r="W33" s="71"/>
      <c r="X33" s="71"/>
      <c r="Y33" s="71"/>
      <c r="Z33" s="71"/>
      <c r="AA33" s="71"/>
    </row>
    <row r="34" spans="1:27" s="143" customFormat="1" ht="33" customHeight="1">
      <c r="A34" s="174"/>
      <c r="B34" s="138" t="s">
        <v>189</v>
      </c>
      <c r="C34" s="1700" t="s">
        <v>190</v>
      </c>
      <c r="D34" s="1700"/>
      <c r="E34" s="57"/>
      <c r="F34" s="141">
        <f>'4.sz.m.ÖNK kiadás'!F33</f>
        <v>2444000</v>
      </c>
      <c r="G34" s="141">
        <f>'4.sz.m.ÖNK kiadás'!G33</f>
        <v>2444000</v>
      </c>
      <c r="H34" s="141">
        <f>'4.sz.m.ÖNK kiadás'!H33</f>
        <v>2444000</v>
      </c>
      <c r="I34" s="141">
        <f>'4.sz.m.ÖNK kiadás'!I33</f>
        <v>2444000</v>
      </c>
      <c r="J34" s="141"/>
      <c r="K34" s="142"/>
      <c r="L34" s="142"/>
      <c r="M34" s="876"/>
      <c r="N34" s="141">
        <v>2444000</v>
      </c>
      <c r="O34" s="142">
        <v>2444000</v>
      </c>
      <c r="P34" s="142"/>
      <c r="Q34" s="142"/>
      <c r="R34" s="142"/>
      <c r="S34" s="142">
        <v>2444000</v>
      </c>
      <c r="T34" s="876">
        <v>2444000</v>
      </c>
      <c r="U34" s="141"/>
      <c r="V34" s="142"/>
      <c r="W34" s="142"/>
      <c r="X34" s="142"/>
      <c r="Y34" s="142"/>
      <c r="Z34" s="142"/>
      <c r="AA34" s="142"/>
    </row>
    <row r="35" spans="1:27" s="143" customFormat="1" ht="33" customHeight="1">
      <c r="A35" s="804"/>
      <c r="B35" s="805" t="s">
        <v>191</v>
      </c>
      <c r="C35" s="1728" t="s">
        <v>489</v>
      </c>
      <c r="D35" s="1728"/>
      <c r="E35" s="806"/>
      <c r="F35" s="807">
        <f>'4.sz.m.ÖNK kiadás'!F34</f>
        <v>3845170</v>
      </c>
      <c r="G35" s="807">
        <f>'4.sz.m.ÖNK kiadás'!G34</f>
        <v>3845170</v>
      </c>
      <c r="H35" s="807">
        <f>'4.sz.m.ÖNK kiadás'!H34</f>
        <v>3845170</v>
      </c>
      <c r="I35" s="807">
        <f>'4.sz.m.ÖNK kiadás'!I34</f>
        <v>3845170</v>
      </c>
      <c r="J35" s="807">
        <v>3845170</v>
      </c>
      <c r="K35" s="808">
        <v>3845170</v>
      </c>
      <c r="L35" s="808">
        <v>3845170</v>
      </c>
      <c r="M35" s="1516">
        <v>3845170</v>
      </c>
      <c r="N35" s="807"/>
      <c r="O35" s="808"/>
      <c r="P35" s="808"/>
      <c r="Q35" s="808"/>
      <c r="R35" s="808"/>
      <c r="S35" s="808"/>
      <c r="T35" s="1516"/>
      <c r="U35" s="807"/>
      <c r="V35" s="101"/>
      <c r="W35" s="101"/>
      <c r="X35" s="101"/>
      <c r="Y35" s="101"/>
      <c r="Z35" s="101"/>
      <c r="AA35" s="101"/>
    </row>
    <row r="36" spans="1:27" s="143" customFormat="1" ht="33" hidden="1" customHeight="1">
      <c r="A36" s="802" t="s">
        <v>122</v>
      </c>
      <c r="B36" s="1737"/>
      <c r="C36" s="1737"/>
      <c r="D36" s="1737"/>
      <c r="E36" s="803"/>
      <c r="F36" s="788"/>
      <c r="G36" s="789"/>
      <c r="H36" s="789"/>
      <c r="I36" s="789"/>
      <c r="J36" s="788"/>
      <c r="K36" s="789"/>
      <c r="L36" s="789"/>
      <c r="M36" s="978"/>
      <c r="N36" s="788"/>
      <c r="O36" s="789"/>
      <c r="P36" s="789"/>
      <c r="Q36" s="789"/>
      <c r="R36" s="789"/>
      <c r="S36" s="789"/>
      <c r="T36" s="978"/>
      <c r="U36" s="788"/>
      <c r="V36" s="176" t="e">
        <f t="shared" ref="V36:AA36" si="9">V32+V33</f>
        <v>#REF!</v>
      </c>
      <c r="W36" s="176" t="e">
        <f t="shared" si="9"/>
        <v>#REF!</v>
      </c>
      <c r="X36" s="176" t="e">
        <f t="shared" si="9"/>
        <v>#REF!</v>
      </c>
      <c r="Y36" s="176" t="e">
        <f t="shared" si="9"/>
        <v>#REF!</v>
      </c>
      <c r="Z36" s="176" t="e">
        <f t="shared" si="9"/>
        <v>#REF!</v>
      </c>
      <c r="AA36" s="176" t="e">
        <f t="shared" si="9"/>
        <v>#REF!</v>
      </c>
    </row>
    <row r="37" spans="1:27" s="143" customFormat="1" ht="33" hidden="1" customHeight="1" thickBot="1">
      <c r="A37" s="1738" t="s">
        <v>192</v>
      </c>
      <c r="B37" s="1738"/>
      <c r="C37" s="1738"/>
      <c r="D37" s="1738"/>
      <c r="E37" s="177"/>
      <c r="F37" s="178"/>
      <c r="G37" s="179"/>
      <c r="H37" s="179"/>
      <c r="I37" s="101"/>
      <c r="J37" s="178"/>
      <c r="K37" s="179"/>
      <c r="L37" s="101"/>
      <c r="M37" s="878"/>
      <c r="N37" s="178"/>
      <c r="O37" s="179"/>
      <c r="P37" s="179"/>
      <c r="Q37" s="179"/>
      <c r="R37" s="101"/>
      <c r="S37" s="101"/>
      <c r="T37" s="878"/>
      <c r="U37" s="178"/>
      <c r="V37" s="179"/>
      <c r="W37" s="179"/>
      <c r="X37" s="179"/>
      <c r="Y37" s="101"/>
      <c r="Z37" s="101"/>
      <c r="AA37" s="101"/>
    </row>
    <row r="38" spans="1:27" s="143" customFormat="1" ht="33" customHeight="1" thickBot="1">
      <c r="A38" s="180"/>
      <c r="B38" s="180"/>
      <c r="C38" s="1732"/>
      <c r="D38" s="1733"/>
      <c r="E38" s="977"/>
      <c r="F38" s="979"/>
      <c r="G38" s="978"/>
      <c r="H38" s="978"/>
      <c r="I38" s="879"/>
      <c r="J38" s="979"/>
      <c r="K38" s="978"/>
      <c r="L38" s="879"/>
      <c r="M38" s="879"/>
      <c r="N38" s="788"/>
      <c r="O38" s="978"/>
      <c r="P38" s="978"/>
      <c r="Q38" s="978"/>
      <c r="R38" s="879"/>
      <c r="S38" s="879"/>
      <c r="T38" s="879"/>
      <c r="U38" s="788"/>
      <c r="V38" s="789"/>
      <c r="W38" s="789"/>
      <c r="X38" s="789"/>
      <c r="Y38" s="277"/>
      <c r="Z38" s="277"/>
      <c r="AA38" s="277"/>
    </row>
    <row r="39" spans="1:27" s="143" customFormat="1" ht="43.5" customHeight="1" thickBot="1">
      <c r="A39" s="1697" t="s">
        <v>193</v>
      </c>
      <c r="B39" s="1697"/>
      <c r="C39" s="1697"/>
      <c r="D39" s="1697"/>
      <c r="E39" s="108"/>
      <c r="F39" s="96">
        <f>F32+F33</f>
        <v>386549654</v>
      </c>
      <c r="G39" s="96">
        <f t="shared" ref="G39:T39" si="10">G32+G33</f>
        <v>451743064</v>
      </c>
      <c r="H39" s="96">
        <f t="shared" si="10"/>
        <v>465068965</v>
      </c>
      <c r="I39" s="96">
        <f t="shared" si="10"/>
        <v>261683795</v>
      </c>
      <c r="J39" s="96">
        <f t="shared" si="10"/>
        <v>382215654</v>
      </c>
      <c r="K39" s="96">
        <f t="shared" si="10"/>
        <v>447409064</v>
      </c>
      <c r="L39" s="96">
        <f t="shared" si="10"/>
        <v>460284965</v>
      </c>
      <c r="M39" s="96">
        <f t="shared" si="10"/>
        <v>256899795</v>
      </c>
      <c r="N39" s="96">
        <f t="shared" si="10"/>
        <v>4334000</v>
      </c>
      <c r="O39" s="96">
        <f t="shared" si="10"/>
        <v>4334000</v>
      </c>
      <c r="P39" s="96">
        <f t="shared" si="10"/>
        <v>0</v>
      </c>
      <c r="Q39" s="96">
        <f t="shared" si="10"/>
        <v>0</v>
      </c>
      <c r="R39" s="96">
        <f t="shared" si="10"/>
        <v>0</v>
      </c>
      <c r="S39" s="96">
        <f t="shared" si="10"/>
        <v>4784000</v>
      </c>
      <c r="T39" s="96">
        <f t="shared" si="10"/>
        <v>4784000</v>
      </c>
      <c r="U39" s="96"/>
      <c r="V39" s="156" t="e">
        <f t="shared" ref="V39:AA39" si="11">V36+V37</f>
        <v>#REF!</v>
      </c>
      <c r="W39" s="156" t="e">
        <f t="shared" si="11"/>
        <v>#REF!</v>
      </c>
      <c r="X39" s="156" t="e">
        <f t="shared" si="11"/>
        <v>#REF!</v>
      </c>
      <c r="Y39" s="156" t="e">
        <f t="shared" si="11"/>
        <v>#REF!</v>
      </c>
      <c r="Z39" s="156" t="e">
        <f t="shared" si="11"/>
        <v>#REF!</v>
      </c>
      <c r="AA39" s="156" t="e">
        <f t="shared" si="11"/>
        <v>#REF!</v>
      </c>
    </row>
    <row r="40" spans="1:27" s="143" customFormat="1" ht="19.5" customHeight="1">
      <c r="A40" s="180"/>
      <c r="B40" s="127"/>
      <c r="C40" s="180"/>
      <c r="D40" s="180"/>
      <c r="E40" s="180"/>
      <c r="F40" s="181"/>
      <c r="G40" s="181"/>
      <c r="H40" s="181"/>
      <c r="I40" s="181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28"/>
      <c r="V40" s="128"/>
      <c r="W40" s="128"/>
      <c r="X40" s="128"/>
      <c r="Y40" s="128"/>
      <c r="Z40" s="128"/>
    </row>
    <row r="41" spans="1:27" s="143" customFormat="1" ht="20.100000000000001" customHeight="1">
      <c r="A41" s="180"/>
      <c r="B41" s="127"/>
      <c r="C41" s="180"/>
      <c r="D41" s="180"/>
      <c r="E41" s="180"/>
      <c r="F41" s="181"/>
      <c r="G41" s="181"/>
      <c r="H41" s="181"/>
      <c r="I41" s="181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3"/>
      <c r="V41" s="183"/>
      <c r="W41" s="183"/>
      <c r="X41" s="183"/>
      <c r="Y41" s="183"/>
      <c r="Z41" s="183"/>
    </row>
    <row r="42" spans="1:27" s="143" customFormat="1" ht="20.100000000000001" customHeight="1">
      <c r="A42" s="180"/>
      <c r="B42" s="127"/>
      <c r="C42" s="1739" t="s">
        <v>194</v>
      </c>
      <c r="D42" s="1739"/>
      <c r="E42" s="1739"/>
      <c r="F42" s="1739"/>
      <c r="G42" s="1739"/>
      <c r="H42" s="1739"/>
      <c r="I42" s="1739"/>
      <c r="J42" s="1739"/>
      <c r="K42" s="1739"/>
      <c r="L42" s="1739"/>
      <c r="M42" s="1739"/>
      <c r="N42" s="1739"/>
      <c r="O42" s="184"/>
      <c r="P42" s="184"/>
      <c r="Q42" s="184"/>
      <c r="R42" s="184"/>
      <c r="S42" s="184"/>
      <c r="T42" s="184"/>
      <c r="U42" s="185"/>
      <c r="V42" s="185"/>
      <c r="W42" s="185"/>
      <c r="X42" s="185"/>
      <c r="Y42" s="185"/>
      <c r="Z42" s="186"/>
    </row>
    <row r="43" spans="1:27" s="143" customFormat="1" ht="39" customHeight="1" thickBot="1">
      <c r="A43" s="187" t="s">
        <v>195</v>
      </c>
      <c r="B43" s="187"/>
      <c r="F43" s="188"/>
      <c r="G43" s="188"/>
      <c r="H43" s="188"/>
      <c r="I43" s="188"/>
      <c r="J43" s="189"/>
      <c r="K43" s="189"/>
      <c r="L43" s="189"/>
      <c r="M43" s="189"/>
      <c r="N43" s="190">
        <v>0</v>
      </c>
      <c r="O43" s="190"/>
      <c r="P43" s="190"/>
      <c r="Q43" s="190"/>
      <c r="R43" s="190"/>
      <c r="S43" s="190"/>
      <c r="T43" s="190"/>
      <c r="U43" s="182"/>
      <c r="V43" s="182"/>
      <c r="W43" s="182"/>
      <c r="X43" s="182"/>
      <c r="Y43" s="182"/>
      <c r="Z43" s="191"/>
    </row>
    <row r="44" spans="1:27" ht="78" customHeight="1" thickBot="1">
      <c r="A44" s="192">
        <v>1</v>
      </c>
      <c r="B44" s="1740" t="s">
        <v>196</v>
      </c>
      <c r="C44" s="1740"/>
      <c r="D44" s="1740"/>
      <c r="E44" s="193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 t="e">
        <f>#REF!-'1 .sz.m.önk.össz.kiad.'!V32</f>
        <v>#REF!</v>
      </c>
      <c r="W44" s="194" t="e">
        <f>#REF!-'1 .sz.m.önk.össz.kiad.'!W32</f>
        <v>#REF!</v>
      </c>
      <c r="X44" s="194" t="e">
        <f>#REF!-'1 .sz.m.önk.össz.kiad.'!X32</f>
        <v>#REF!</v>
      </c>
      <c r="Y44" s="194" t="e">
        <f>#REF!-'1 .sz.m.önk.össz.kiad.'!Y32</f>
        <v>#REF!</v>
      </c>
      <c r="Z44" s="194" t="e">
        <f>#REF!-'1 .sz.m.önk.össz.kiad.'!Z32</f>
        <v>#REF!</v>
      </c>
      <c r="AA44" s="194" t="e">
        <f>#REF!-'1 .sz.m.önk.össz.kiad.'!AA32</f>
        <v>#REF!</v>
      </c>
    </row>
    <row r="45" spans="1:27" ht="15.75" hidden="1" customHeight="1" thickBot="1">
      <c r="C45" s="188"/>
      <c r="D45" s="188"/>
      <c r="E45" s="188"/>
      <c r="F45" s="195"/>
      <c r="G45" s="195"/>
      <c r="H45" s="195"/>
      <c r="I45" s="195"/>
      <c r="J45" s="189"/>
      <c r="K45" s="189"/>
      <c r="L45" s="189"/>
      <c r="M45" s="189"/>
      <c r="N45" s="190">
        <v>0</v>
      </c>
      <c r="O45" s="190"/>
      <c r="P45" s="190"/>
      <c r="Q45" s="190"/>
      <c r="R45" s="190"/>
      <c r="S45" s="190"/>
      <c r="T45" s="190"/>
    </row>
    <row r="46" spans="1:27" ht="15.75" hidden="1" customHeight="1">
      <c r="C46" s="1722"/>
      <c r="D46" s="1722"/>
      <c r="E46" s="1722"/>
      <c r="F46" s="1722"/>
      <c r="G46" s="1722"/>
      <c r="H46" s="1722"/>
      <c r="I46" s="1722"/>
      <c r="J46" s="1722"/>
      <c r="K46" s="1722"/>
      <c r="L46" s="1722"/>
      <c r="M46" s="1722"/>
      <c r="N46" s="1722"/>
      <c r="O46" s="196"/>
      <c r="P46" s="196"/>
      <c r="Q46" s="196"/>
      <c r="R46" s="196"/>
      <c r="S46" s="196"/>
      <c r="T46" s="196"/>
    </row>
    <row r="47" spans="1:27" ht="16.5" hidden="1" customHeight="1">
      <c r="A47" s="187" t="s">
        <v>197</v>
      </c>
      <c r="C47" s="1730"/>
      <c r="D47" s="1730"/>
      <c r="E47" s="197"/>
      <c r="F47" s="188"/>
      <c r="G47" s="188"/>
      <c r="H47" s="188"/>
      <c r="I47" s="188"/>
      <c r="J47" s="189"/>
      <c r="K47" s="189"/>
      <c r="L47" s="189"/>
      <c r="M47" s="189"/>
      <c r="N47" s="190"/>
      <c r="O47" s="190"/>
      <c r="P47" s="190"/>
      <c r="Q47" s="190"/>
      <c r="R47" s="190"/>
      <c r="S47" s="190"/>
      <c r="T47" s="190"/>
    </row>
    <row r="48" spans="1:27" ht="21" hidden="1" customHeight="1">
      <c r="A48" s="198" t="s">
        <v>15</v>
      </c>
      <c r="B48" s="1723"/>
      <c r="C48" s="1723"/>
      <c r="D48" s="1723"/>
      <c r="E48" s="199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 t="e">
        <f>#REF!</f>
        <v>#REF!</v>
      </c>
      <c r="W48" s="200" t="e">
        <f>#REF!</f>
        <v>#REF!</v>
      </c>
      <c r="X48" s="200" t="e">
        <f>#REF!</f>
        <v>#REF!</v>
      </c>
      <c r="Y48" s="200" t="e">
        <f>#REF!</f>
        <v>#REF!</v>
      </c>
      <c r="Z48" s="200" t="e">
        <f>#REF!</f>
        <v>#REF!</v>
      </c>
      <c r="AA48" s="200" t="e">
        <f>#REF!</f>
        <v>#REF!</v>
      </c>
    </row>
    <row r="49" spans="1:27" ht="21" hidden="1" customHeight="1">
      <c r="A49" s="201" t="s">
        <v>168</v>
      </c>
      <c r="B49" s="1724"/>
      <c r="C49" s="1724"/>
      <c r="D49" s="1724"/>
      <c r="E49" s="202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</row>
    <row r="50" spans="1:27" ht="21.75" hidden="1" customHeight="1">
      <c r="A50" s="204" t="s">
        <v>76</v>
      </c>
      <c r="B50" s="1731"/>
      <c r="C50" s="1731"/>
      <c r="D50" s="1731"/>
      <c r="E50" s="205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 t="e">
        <f t="shared" ref="V50:AA50" si="12">V48+V49</f>
        <v>#REF!</v>
      </c>
      <c r="W50" s="206" t="e">
        <f t="shared" si="12"/>
        <v>#REF!</v>
      </c>
      <c r="X50" s="206" t="e">
        <f t="shared" si="12"/>
        <v>#REF!</v>
      </c>
      <c r="Y50" s="206" t="e">
        <f t="shared" si="12"/>
        <v>#REF!</v>
      </c>
      <c r="Z50" s="206" t="e">
        <f t="shared" si="12"/>
        <v>#REF!</v>
      </c>
      <c r="AA50" s="206" t="e">
        <f t="shared" si="12"/>
        <v>#REF!</v>
      </c>
    </row>
    <row r="51" spans="1:27" ht="16.5" hidden="1" thickBot="1">
      <c r="C51" s="207"/>
      <c r="D51" s="208"/>
      <c r="E51" s="208"/>
      <c r="F51" s="209"/>
      <c r="G51" s="209"/>
      <c r="H51" s="209"/>
      <c r="I51" s="209"/>
      <c r="J51" s="189"/>
      <c r="K51" s="189"/>
      <c r="L51" s="189"/>
      <c r="M51" s="189"/>
      <c r="N51" s="190"/>
      <c r="O51" s="190"/>
      <c r="P51" s="190"/>
      <c r="Q51" s="190"/>
      <c r="R51" s="190"/>
      <c r="S51" s="190"/>
      <c r="T51" s="190"/>
      <c r="U51" s="124"/>
    </row>
    <row r="52" spans="1:27" ht="15.75" hidden="1" customHeight="1">
      <c r="C52" s="1722"/>
      <c r="D52" s="1722"/>
      <c r="E52" s="1722"/>
      <c r="F52" s="1722"/>
      <c r="G52" s="1722"/>
      <c r="H52" s="1722"/>
      <c r="I52" s="1722"/>
      <c r="J52" s="1722"/>
      <c r="K52" s="1722"/>
      <c r="L52" s="1722"/>
      <c r="M52" s="1722"/>
      <c r="N52" s="1722"/>
      <c r="O52" s="196"/>
      <c r="P52" s="196"/>
      <c r="Q52" s="196"/>
      <c r="R52" s="196"/>
      <c r="S52" s="196"/>
      <c r="T52" s="196"/>
    </row>
    <row r="53" spans="1:27" ht="16.5" hidden="1" customHeight="1">
      <c r="A53" s="187" t="s">
        <v>198</v>
      </c>
      <c r="B53" s="187"/>
      <c r="C53" s="1736"/>
      <c r="D53" s="1736"/>
      <c r="E53" s="197"/>
      <c r="F53" s="188"/>
      <c r="G53" s="188"/>
      <c r="H53" s="188"/>
      <c r="I53" s="188"/>
      <c r="J53" s="189"/>
      <c r="K53" s="189"/>
      <c r="L53" s="189"/>
      <c r="M53" s="189"/>
      <c r="N53" s="190"/>
      <c r="O53" s="190"/>
      <c r="P53" s="190"/>
      <c r="Q53" s="190"/>
      <c r="R53" s="190"/>
      <c r="S53" s="190"/>
      <c r="T53" s="190"/>
    </row>
    <row r="54" spans="1:27" ht="21" hidden="1" customHeight="1">
      <c r="A54" s="198" t="s">
        <v>15</v>
      </c>
      <c r="B54" s="1723"/>
      <c r="C54" s="1723"/>
      <c r="D54" s="1723"/>
      <c r="E54" s="199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0"/>
      <c r="U54" s="210"/>
      <c r="V54" s="210">
        <v>0</v>
      </c>
      <c r="W54" s="210">
        <v>0</v>
      </c>
      <c r="X54" s="210">
        <v>0</v>
      </c>
      <c r="Y54" s="210">
        <v>0</v>
      </c>
      <c r="Z54" s="210">
        <v>0</v>
      </c>
      <c r="AA54" s="210">
        <v>0</v>
      </c>
    </row>
    <row r="55" spans="1:27" ht="21" hidden="1" customHeight="1">
      <c r="A55" s="201" t="s">
        <v>168</v>
      </c>
      <c r="B55" s="1724"/>
      <c r="C55" s="1724"/>
      <c r="D55" s="1724"/>
      <c r="E55" s="202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11"/>
      <c r="R55" s="211"/>
      <c r="S55" s="211"/>
      <c r="T55" s="211"/>
      <c r="U55" s="211"/>
      <c r="V55" s="211" t="e">
        <f>#REF!</f>
        <v>#REF!</v>
      </c>
      <c r="W55" s="211" t="e">
        <f>#REF!</f>
        <v>#REF!</v>
      </c>
      <c r="X55" s="211" t="e">
        <f>#REF!</f>
        <v>#REF!</v>
      </c>
      <c r="Y55" s="211" t="e">
        <f>#REF!</f>
        <v>#REF!</v>
      </c>
      <c r="Z55" s="211" t="e">
        <f>#REF!</f>
        <v>#REF!</v>
      </c>
      <c r="AA55" s="211" t="e">
        <f>#REF!</f>
        <v>#REF!</v>
      </c>
    </row>
    <row r="56" spans="1:27" ht="21.75" hidden="1" customHeight="1">
      <c r="A56" s="204" t="s">
        <v>76</v>
      </c>
      <c r="B56" s="1725"/>
      <c r="C56" s="1725"/>
      <c r="D56" s="1725"/>
      <c r="E56" s="212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 t="e">
        <f t="shared" ref="V56:AA56" si="13">V54+V55</f>
        <v>#REF!</v>
      </c>
      <c r="W56" s="213" t="e">
        <f t="shared" si="13"/>
        <v>#REF!</v>
      </c>
      <c r="X56" s="213" t="e">
        <f t="shared" si="13"/>
        <v>#REF!</v>
      </c>
      <c r="Y56" s="213" t="e">
        <f t="shared" si="13"/>
        <v>#REF!</v>
      </c>
      <c r="Z56" s="213" t="e">
        <f t="shared" si="13"/>
        <v>#REF!</v>
      </c>
      <c r="AA56" s="213" t="e">
        <f t="shared" si="13"/>
        <v>#REF!</v>
      </c>
    </row>
    <row r="57" spans="1:27" ht="16.5" hidden="1" thickBot="1">
      <c r="C57" s="207"/>
      <c r="D57" s="208"/>
      <c r="E57" s="208"/>
      <c r="F57" s="209"/>
      <c r="G57" s="209"/>
      <c r="H57" s="209"/>
      <c r="I57" s="209"/>
      <c r="J57" s="189"/>
      <c r="K57" s="189"/>
      <c r="L57" s="189"/>
      <c r="M57" s="189"/>
      <c r="N57" s="190"/>
      <c r="O57" s="190"/>
      <c r="P57" s="190"/>
      <c r="Q57" s="190"/>
      <c r="R57" s="190"/>
      <c r="S57" s="190"/>
      <c r="T57" s="190"/>
      <c r="Y57" s="125"/>
    </row>
    <row r="58" spans="1:27" ht="15.75" hidden="1" customHeight="1">
      <c r="C58" s="1722"/>
      <c r="D58" s="1722"/>
      <c r="E58" s="1722"/>
      <c r="F58" s="1722"/>
      <c r="G58" s="1722"/>
      <c r="H58" s="1722"/>
      <c r="I58" s="1722"/>
      <c r="J58" s="1722"/>
      <c r="K58" s="1722"/>
      <c r="L58" s="1722"/>
      <c r="M58" s="1722"/>
      <c r="N58" s="1722"/>
      <c r="O58" s="196"/>
      <c r="P58" s="196"/>
      <c r="Q58" s="196"/>
      <c r="R58" s="196"/>
      <c r="S58" s="196"/>
      <c r="T58" s="196"/>
    </row>
    <row r="59" spans="1:27" ht="16.5" hidden="1" thickBot="1">
      <c r="C59" s="196"/>
      <c r="D59" s="196"/>
      <c r="E59" s="196"/>
      <c r="F59" s="196"/>
      <c r="G59" s="196"/>
      <c r="H59" s="196"/>
      <c r="I59" s="196"/>
      <c r="J59" s="189"/>
      <c r="K59" s="189"/>
      <c r="L59" s="189"/>
      <c r="M59" s="189"/>
      <c r="N59" s="214"/>
      <c r="O59" s="214"/>
      <c r="P59" s="214"/>
      <c r="Q59" s="214"/>
      <c r="R59" s="214"/>
      <c r="S59" s="214"/>
      <c r="T59" s="214"/>
    </row>
    <row r="60" spans="1:27" ht="16.5" hidden="1" thickBot="1">
      <c r="A60" s="187" t="s">
        <v>199</v>
      </c>
      <c r="C60" s="1726"/>
      <c r="D60" s="1726"/>
      <c r="E60" s="215"/>
      <c r="F60" s="196"/>
      <c r="G60" s="196"/>
      <c r="H60" s="196"/>
      <c r="I60" s="196"/>
      <c r="J60" s="189"/>
      <c r="K60" s="189"/>
      <c r="L60" s="189"/>
      <c r="M60" s="189"/>
      <c r="N60" s="214"/>
      <c r="O60" s="214"/>
      <c r="P60" s="214"/>
      <c r="Q60" s="214"/>
      <c r="R60" s="214"/>
      <c r="S60" s="214"/>
      <c r="T60" s="214"/>
    </row>
    <row r="61" spans="1:27" ht="69" customHeight="1">
      <c r="A61" s="216" t="s">
        <v>15</v>
      </c>
      <c r="B61" s="1727" t="s">
        <v>200</v>
      </c>
      <c r="C61" s="1727"/>
      <c r="D61" s="1727"/>
      <c r="E61" s="217"/>
      <c r="F61" s="218"/>
      <c r="G61" s="218"/>
      <c r="H61" s="218"/>
      <c r="I61" s="218"/>
      <c r="J61" s="218"/>
      <c r="K61" s="218">
        <f>K62-K65</f>
        <v>0</v>
      </c>
      <c r="L61" s="218">
        <f>L62-L65</f>
        <v>0</v>
      </c>
      <c r="M61" s="218"/>
      <c r="N61" s="218"/>
      <c r="O61" s="218">
        <f t="shared" ref="O61:AA61" si="14">O62-O65</f>
        <v>0</v>
      </c>
      <c r="P61" s="218">
        <f t="shared" si="14"/>
        <v>0</v>
      </c>
      <c r="Q61" s="218">
        <f t="shared" si="14"/>
        <v>0</v>
      </c>
      <c r="R61" s="218">
        <f t="shared" si="14"/>
        <v>0</v>
      </c>
      <c r="S61" s="218">
        <f t="shared" si="14"/>
        <v>0</v>
      </c>
      <c r="T61" s="218"/>
      <c r="U61" s="218">
        <f t="shared" si="14"/>
        <v>0</v>
      </c>
      <c r="V61" s="218" t="e">
        <f t="shared" si="14"/>
        <v>#REF!</v>
      </c>
      <c r="W61" s="218" t="e">
        <f t="shared" si="14"/>
        <v>#REF!</v>
      </c>
      <c r="X61" s="218" t="e">
        <f t="shared" si="14"/>
        <v>#REF!</v>
      </c>
      <c r="Y61" s="218" t="e">
        <f t="shared" si="14"/>
        <v>#REF!</v>
      </c>
      <c r="Z61" s="218" t="e">
        <f t="shared" si="14"/>
        <v>#REF!</v>
      </c>
      <c r="AA61" s="218" t="e">
        <f t="shared" si="14"/>
        <v>#REF!</v>
      </c>
    </row>
    <row r="62" spans="1:27" ht="27.2" customHeight="1">
      <c r="A62" s="219"/>
      <c r="B62" s="1729"/>
      <c r="C62" s="1729"/>
      <c r="D62" s="1729"/>
      <c r="E62" s="220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2" t="e">
        <f>#REF!</f>
        <v>#REF!</v>
      </c>
      <c r="W62" s="223" t="e">
        <f>#REF!</f>
        <v>#REF!</v>
      </c>
      <c r="X62" s="223" t="e">
        <f>#REF!</f>
        <v>#REF!</v>
      </c>
      <c r="Y62" s="223" t="e">
        <f>#REF!</f>
        <v>#REF!</v>
      </c>
      <c r="Z62" s="223" t="e">
        <f>#REF!</f>
        <v>#REF!</v>
      </c>
      <c r="AA62" s="223" t="e">
        <f>#REF!</f>
        <v>#REF!</v>
      </c>
    </row>
    <row r="63" spans="1:27" ht="27.2" customHeight="1">
      <c r="A63" s="224"/>
      <c r="B63" s="1721"/>
      <c r="C63" s="1721"/>
      <c r="D63" s="1721"/>
      <c r="E63" s="225"/>
      <c r="F63" s="226"/>
      <c r="G63" s="226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2" t="e">
        <f>#REF!</f>
        <v>#REF!</v>
      </c>
      <c r="W63" s="223" t="e">
        <f>#REF!</f>
        <v>#REF!</v>
      </c>
      <c r="X63" s="223" t="e">
        <f>#REF!</f>
        <v>#REF!</v>
      </c>
      <c r="Y63" s="223" t="e">
        <f>#REF!</f>
        <v>#REF!</v>
      </c>
      <c r="Z63" s="223" t="e">
        <f>#REF!</f>
        <v>#REF!</v>
      </c>
      <c r="AA63" s="223" t="e">
        <f>#REF!</f>
        <v>#REF!</v>
      </c>
    </row>
    <row r="64" spans="1:27" ht="27.2" customHeight="1">
      <c r="A64" s="227"/>
      <c r="B64" s="1721"/>
      <c r="C64" s="1721"/>
      <c r="D64" s="1721"/>
      <c r="E64" s="225"/>
      <c r="F64" s="226"/>
      <c r="G64" s="226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2" t="e">
        <f>#REF!</f>
        <v>#REF!</v>
      </c>
      <c r="W64" s="223" t="e">
        <f>#REF!</f>
        <v>#REF!</v>
      </c>
      <c r="X64" s="223" t="e">
        <f>#REF!</f>
        <v>#REF!</v>
      </c>
      <c r="Y64" s="223" t="e">
        <f>#REF!</f>
        <v>#REF!</v>
      </c>
      <c r="Z64" s="223" t="e">
        <f>#REF!</f>
        <v>#REF!</v>
      </c>
      <c r="AA64" s="223" t="e">
        <f>#REF!</f>
        <v>#REF!</v>
      </c>
    </row>
    <row r="65" spans="1:27" ht="27.2" customHeight="1">
      <c r="A65" s="228"/>
      <c r="B65" s="1720"/>
      <c r="C65" s="1720"/>
      <c r="D65" s="1720"/>
      <c r="E65" s="229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1">
        <f t="shared" ref="V65:AA65" si="15">V33</f>
        <v>0</v>
      </c>
      <c r="W65" s="232">
        <f t="shared" si="15"/>
        <v>0</v>
      </c>
      <c r="X65" s="232">
        <f t="shared" si="15"/>
        <v>0</v>
      </c>
      <c r="Y65" s="232">
        <f t="shared" si="15"/>
        <v>0</v>
      </c>
      <c r="Z65" s="232">
        <f t="shared" si="15"/>
        <v>0</v>
      </c>
      <c r="AA65" s="232">
        <f t="shared" si="15"/>
        <v>0</v>
      </c>
    </row>
    <row r="66" spans="1:27" ht="27.2" customHeight="1">
      <c r="A66" s="224"/>
      <c r="B66" s="1721"/>
      <c r="C66" s="1721"/>
      <c r="D66" s="1721"/>
      <c r="E66" s="225"/>
      <c r="F66" s="226"/>
      <c r="G66" s="226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2">
        <v>0</v>
      </c>
      <c r="W66" s="223">
        <v>0</v>
      </c>
      <c r="X66" s="223">
        <v>0</v>
      </c>
      <c r="Y66" s="223">
        <v>0</v>
      </c>
      <c r="Z66" s="223">
        <v>0</v>
      </c>
      <c r="AA66" s="223">
        <v>0</v>
      </c>
    </row>
    <row r="67" spans="1:27" ht="27.2" customHeight="1" thickBot="1">
      <c r="A67" s="233"/>
      <c r="B67" s="1721"/>
      <c r="C67" s="1721"/>
      <c r="D67" s="1721"/>
      <c r="E67" s="225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34">
        <v>0</v>
      </c>
      <c r="W67" s="235">
        <v>0</v>
      </c>
      <c r="X67" s="235">
        <v>0</v>
      </c>
      <c r="Y67" s="235">
        <v>0</v>
      </c>
      <c r="Z67" s="235">
        <v>0</v>
      </c>
      <c r="AA67" s="235">
        <v>0</v>
      </c>
    </row>
  </sheetData>
  <sheetProtection selectLockedCells="1" selectUnlockedCells="1"/>
  <mergeCells count="46">
    <mergeCell ref="A1:U1"/>
    <mergeCell ref="A2:B2"/>
    <mergeCell ref="A3:U3"/>
    <mergeCell ref="E4:F4"/>
    <mergeCell ref="U6:AA6"/>
    <mergeCell ref="J6:M6"/>
    <mergeCell ref="N6:T6"/>
    <mergeCell ref="C28:D28"/>
    <mergeCell ref="C29:D29"/>
    <mergeCell ref="B32:D32"/>
    <mergeCell ref="A6:D6"/>
    <mergeCell ref="F6:I6"/>
    <mergeCell ref="B8:D8"/>
    <mergeCell ref="B19:D19"/>
    <mergeCell ref="C20:D20"/>
    <mergeCell ref="C21:D21"/>
    <mergeCell ref="C22:D22"/>
    <mergeCell ref="B27:D27"/>
    <mergeCell ref="B33:D33"/>
    <mergeCell ref="C34:D34"/>
    <mergeCell ref="C53:D53"/>
    <mergeCell ref="B36:D36"/>
    <mergeCell ref="A37:D37"/>
    <mergeCell ref="A39:D39"/>
    <mergeCell ref="C42:N42"/>
    <mergeCell ref="B44:D44"/>
    <mergeCell ref="C46:N46"/>
    <mergeCell ref="C35:D35"/>
    <mergeCell ref="B62:D62"/>
    <mergeCell ref="B63:D63"/>
    <mergeCell ref="B64:D64"/>
    <mergeCell ref="C47:D47"/>
    <mergeCell ref="B48:D48"/>
    <mergeCell ref="B49:D49"/>
    <mergeCell ref="B50:D50"/>
    <mergeCell ref="C38:D38"/>
    <mergeCell ref="B65:D65"/>
    <mergeCell ref="B66:D66"/>
    <mergeCell ref="C52:N52"/>
    <mergeCell ref="B67:D67"/>
    <mergeCell ref="B54:D54"/>
    <mergeCell ref="B55:D55"/>
    <mergeCell ref="B56:D56"/>
    <mergeCell ref="C58:N58"/>
    <mergeCell ref="C60:D60"/>
    <mergeCell ref="B61:D61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26" firstPageNumber="0" orientation="portrait" r:id="rId1"/>
  <headerFooter alignWithMargins="0">
    <oddFooter>&amp;C2. oldal</oddFooter>
  </headerFooter>
  <rowBreaks count="1" manualBreakCount="1">
    <brk id="4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60" zoomScaleNormal="100" workbookViewId="0">
      <selection activeCell="M15" sqref="M15"/>
    </sheetView>
  </sheetViews>
  <sheetFormatPr defaultColWidth="11.42578125" defaultRowHeight="12.75"/>
  <cols>
    <col min="1" max="6" width="11.42578125" style="1601" customWidth="1"/>
    <col min="7" max="7" width="12" style="1601" customWidth="1"/>
    <col min="8" max="16384" width="11.42578125" style="1601"/>
  </cols>
  <sheetData>
    <row r="1" spans="1:9" ht="15">
      <c r="A1" s="1599"/>
      <c r="B1" s="1600"/>
      <c r="C1" s="1600"/>
      <c r="D1" s="1600"/>
      <c r="E1" s="1600"/>
      <c r="F1" s="1600"/>
      <c r="G1" s="1600"/>
      <c r="H1" s="1909" t="s">
        <v>616</v>
      </c>
      <c r="I1" s="1910"/>
    </row>
    <row r="2" spans="1:9" ht="15">
      <c r="A2" s="1599"/>
      <c r="B2" s="1600"/>
      <c r="C2" s="1600"/>
      <c r="D2" s="1600"/>
      <c r="E2" s="1600"/>
      <c r="F2" s="1600"/>
      <c r="G2" s="1600"/>
      <c r="H2" s="1600"/>
      <c r="I2" s="1600"/>
    </row>
    <row r="3" spans="1:9" ht="15">
      <c r="A3" s="1599"/>
      <c r="B3" s="1911" t="s">
        <v>759</v>
      </c>
      <c r="C3" s="1911"/>
      <c r="D3" s="1911"/>
      <c r="E3" s="1911"/>
      <c r="F3" s="1911"/>
      <c r="G3" s="1911"/>
      <c r="H3" s="1911"/>
      <c r="I3" s="1911"/>
    </row>
    <row r="4" spans="1:9" ht="15">
      <c r="A4" s="1599"/>
      <c r="B4" s="1911"/>
      <c r="C4" s="1911"/>
      <c r="D4" s="1911"/>
      <c r="E4" s="1911"/>
      <c r="F4" s="1911"/>
      <c r="G4" s="1911"/>
      <c r="H4" s="1911"/>
      <c r="I4" s="1911"/>
    </row>
    <row r="5" spans="1:9" ht="15.75" thickBot="1">
      <c r="A5" s="1599"/>
      <c r="B5" s="1600"/>
      <c r="C5" s="1600"/>
      <c r="D5" s="1600"/>
      <c r="E5" s="1600"/>
      <c r="F5" s="1600"/>
      <c r="G5" s="1600"/>
      <c r="H5" s="1912" t="s">
        <v>597</v>
      </c>
      <c r="I5" s="1912"/>
    </row>
    <row r="6" spans="1:9" ht="15.75" thickBot="1">
      <c r="A6" s="1599"/>
      <c r="B6" s="1602" t="s">
        <v>381</v>
      </c>
      <c r="C6" s="1913" t="s">
        <v>139</v>
      </c>
      <c r="D6" s="1913"/>
      <c r="E6" s="1913"/>
      <c r="F6" s="1913"/>
      <c r="G6" s="1913"/>
      <c r="H6" s="1913" t="s">
        <v>309</v>
      </c>
      <c r="I6" s="1913"/>
    </row>
    <row r="7" spans="1:9" ht="15">
      <c r="A7" s="1599"/>
      <c r="B7" s="1603">
        <v>1</v>
      </c>
      <c r="C7" s="1914" t="s">
        <v>598</v>
      </c>
      <c r="D7" s="1914"/>
      <c r="E7" s="1914"/>
      <c r="F7" s="1914"/>
      <c r="G7" s="1914"/>
      <c r="H7" s="1915">
        <v>2196986</v>
      </c>
      <c r="I7" s="1915"/>
    </row>
    <row r="8" spans="1:9" ht="15">
      <c r="A8" s="1599"/>
      <c r="B8" s="1604">
        <v>2</v>
      </c>
      <c r="C8" s="1916" t="s">
        <v>599</v>
      </c>
      <c r="D8" s="1916"/>
      <c r="E8" s="1916"/>
      <c r="F8" s="1916"/>
      <c r="G8" s="1916"/>
      <c r="H8" s="1917">
        <v>60882403</v>
      </c>
      <c r="I8" s="1917"/>
    </row>
    <row r="9" spans="1:9" ht="15">
      <c r="A9" s="1599"/>
      <c r="B9" s="1604">
        <v>3</v>
      </c>
      <c r="C9" s="1918" t="s">
        <v>600</v>
      </c>
      <c r="D9" s="1918"/>
      <c r="E9" s="1918"/>
      <c r="F9" s="1918"/>
      <c r="G9" s="1918"/>
      <c r="H9" s="1919">
        <f>H7-H8</f>
        <v>-58685417</v>
      </c>
      <c r="I9" s="1919"/>
    </row>
    <row r="10" spans="1:9" ht="15">
      <c r="A10" s="1599"/>
      <c r="B10" s="1604">
        <v>4</v>
      </c>
      <c r="C10" s="1916" t="s">
        <v>601</v>
      </c>
      <c r="D10" s="1916"/>
      <c r="E10" s="1916"/>
      <c r="F10" s="1916"/>
      <c r="G10" s="1916"/>
      <c r="H10" s="1917">
        <v>69633903</v>
      </c>
      <c r="I10" s="1917"/>
    </row>
    <row r="11" spans="1:9" ht="15">
      <c r="A11" s="1599"/>
      <c r="B11" s="1604">
        <v>5</v>
      </c>
      <c r="C11" s="1916" t="s">
        <v>602</v>
      </c>
      <c r="D11" s="1916"/>
      <c r="E11" s="1916"/>
      <c r="F11" s="1916"/>
      <c r="G11" s="1916"/>
      <c r="H11" s="1917"/>
      <c r="I11" s="1917"/>
    </row>
    <row r="12" spans="1:9" ht="15.75" thickBot="1">
      <c r="A12" s="1599"/>
      <c r="B12" s="1605">
        <v>6</v>
      </c>
      <c r="C12" s="1920" t="s">
        <v>603</v>
      </c>
      <c r="D12" s="1920"/>
      <c r="E12" s="1920"/>
      <c r="F12" s="1920"/>
      <c r="G12" s="1920"/>
      <c r="H12" s="1921">
        <f>H10-H11</f>
        <v>69633903</v>
      </c>
      <c r="I12" s="1921"/>
    </row>
    <row r="13" spans="1:9" ht="15.75" thickBot="1">
      <c r="A13" s="1599"/>
      <c r="B13" s="1606">
        <v>7</v>
      </c>
      <c r="C13" s="1922" t="s">
        <v>604</v>
      </c>
      <c r="D13" s="1922"/>
      <c r="E13" s="1922"/>
      <c r="F13" s="1922"/>
      <c r="G13" s="1922"/>
      <c r="H13" s="1923">
        <f>H9+H12</f>
        <v>10948486</v>
      </c>
      <c r="I13" s="1923"/>
    </row>
    <row r="14" spans="1:9" ht="15">
      <c r="A14" s="1599"/>
      <c r="B14" s="1603">
        <v>8</v>
      </c>
      <c r="C14" s="1914" t="s">
        <v>605</v>
      </c>
      <c r="D14" s="1914"/>
      <c r="E14" s="1914"/>
      <c r="F14" s="1914"/>
      <c r="G14" s="1914"/>
      <c r="H14" s="1915"/>
      <c r="I14" s="1915"/>
    </row>
    <row r="15" spans="1:9" ht="15">
      <c r="A15" s="1599"/>
      <c r="B15" s="1604">
        <v>9</v>
      </c>
      <c r="C15" s="1916" t="s">
        <v>606</v>
      </c>
      <c r="D15" s="1916"/>
      <c r="E15" s="1916"/>
      <c r="F15" s="1916"/>
      <c r="G15" s="1916"/>
      <c r="H15" s="1917"/>
      <c r="I15" s="1917"/>
    </row>
    <row r="16" spans="1:9" ht="15">
      <c r="A16" s="1599"/>
      <c r="B16" s="1604">
        <v>10</v>
      </c>
      <c r="C16" s="1918" t="s">
        <v>607</v>
      </c>
      <c r="D16" s="1918"/>
      <c r="E16" s="1918"/>
      <c r="F16" s="1918"/>
      <c r="G16" s="1918"/>
      <c r="H16" s="1919">
        <f>H14-H15</f>
        <v>0</v>
      </c>
      <c r="I16" s="1919"/>
    </row>
    <row r="17" spans="1:9" ht="15">
      <c r="A17" s="1599"/>
      <c r="B17" s="1604">
        <v>11</v>
      </c>
      <c r="C17" s="1916" t="s">
        <v>608</v>
      </c>
      <c r="D17" s="1916"/>
      <c r="E17" s="1916"/>
      <c r="F17" s="1916"/>
      <c r="G17" s="1916"/>
      <c r="H17" s="1917"/>
      <c r="I17" s="1917"/>
    </row>
    <row r="18" spans="1:9" ht="15">
      <c r="A18" s="1599"/>
      <c r="B18" s="1604">
        <v>12</v>
      </c>
      <c r="C18" s="1916" t="s">
        <v>609</v>
      </c>
      <c r="D18" s="1916"/>
      <c r="E18" s="1916"/>
      <c r="F18" s="1916"/>
      <c r="G18" s="1916"/>
      <c r="H18" s="1917"/>
      <c r="I18" s="1917"/>
    </row>
    <row r="19" spans="1:9" ht="15.75" thickBot="1">
      <c r="A19" s="1599"/>
      <c r="B19" s="1605">
        <v>13</v>
      </c>
      <c r="C19" s="1920" t="s">
        <v>610</v>
      </c>
      <c r="D19" s="1920"/>
      <c r="E19" s="1920"/>
      <c r="F19" s="1920"/>
      <c r="G19" s="1920"/>
      <c r="H19" s="1921">
        <f>H17-H18</f>
        <v>0</v>
      </c>
      <c r="I19" s="1921"/>
    </row>
    <row r="20" spans="1:9" ht="15.75" thickBot="1">
      <c r="A20" s="1599"/>
      <c r="B20" s="1606">
        <v>14</v>
      </c>
      <c r="C20" s="1922" t="s">
        <v>611</v>
      </c>
      <c r="D20" s="1922"/>
      <c r="E20" s="1922"/>
      <c r="F20" s="1922"/>
      <c r="G20" s="1922"/>
      <c r="H20" s="1923">
        <f>H16+H19</f>
        <v>0</v>
      </c>
      <c r="I20" s="1923"/>
    </row>
    <row r="21" spans="1:9" ht="15.75" thickBot="1">
      <c r="A21" s="1599"/>
      <c r="B21" s="1606">
        <v>15</v>
      </c>
      <c r="C21" s="1922" t="s">
        <v>612</v>
      </c>
      <c r="D21" s="1922"/>
      <c r="E21" s="1922"/>
      <c r="F21" s="1922"/>
      <c r="G21" s="1922"/>
      <c r="H21" s="1923">
        <f>H13+H20</f>
        <v>10948486</v>
      </c>
      <c r="I21" s="1923"/>
    </row>
    <row r="22" spans="1:9" ht="15" customHeight="1" thickBot="1">
      <c r="B22" s="1607">
        <v>16</v>
      </c>
      <c r="C22" s="1928" t="s">
        <v>613</v>
      </c>
      <c r="D22" s="1928"/>
      <c r="E22" s="1928"/>
      <c r="F22" s="1928"/>
      <c r="G22" s="1928"/>
      <c r="H22" s="1929"/>
      <c r="I22" s="1930"/>
    </row>
    <row r="23" spans="1:9" ht="13.5" thickBot="1">
      <c r="B23" s="1608">
        <v>17</v>
      </c>
      <c r="C23" s="1924" t="s">
        <v>614</v>
      </c>
      <c r="D23" s="1925"/>
      <c r="E23" s="1925"/>
      <c r="F23" s="1925"/>
      <c r="G23" s="1925"/>
      <c r="H23" s="1926">
        <f>H21-H22</f>
        <v>10948486</v>
      </c>
      <c r="I23" s="1927"/>
    </row>
    <row r="24" spans="1:9">
      <c r="B24" s="1609"/>
      <c r="C24" s="1609"/>
      <c r="D24" s="1609"/>
      <c r="E24" s="1609"/>
      <c r="F24" s="1609"/>
      <c r="G24" s="1609"/>
      <c r="H24" s="1609"/>
      <c r="I24" s="1609"/>
    </row>
  </sheetData>
  <mergeCells count="39">
    <mergeCell ref="C23:G23"/>
    <mergeCell ref="H23:I23"/>
    <mergeCell ref="C19:G19"/>
    <mergeCell ref="H19:I19"/>
    <mergeCell ref="C20:G20"/>
    <mergeCell ref="H20:I20"/>
    <mergeCell ref="C21:G21"/>
    <mergeCell ref="H21:I21"/>
    <mergeCell ref="C17:G17"/>
    <mergeCell ref="H17:I17"/>
    <mergeCell ref="C18:G18"/>
    <mergeCell ref="H18:I18"/>
    <mergeCell ref="C22:G22"/>
    <mergeCell ref="H22:I22"/>
    <mergeCell ref="C14:G14"/>
    <mergeCell ref="H14:I14"/>
    <mergeCell ref="C15:G15"/>
    <mergeCell ref="H15:I15"/>
    <mergeCell ref="C16:G16"/>
    <mergeCell ref="H16:I16"/>
    <mergeCell ref="C11:G11"/>
    <mergeCell ref="H11:I11"/>
    <mergeCell ref="C12:G12"/>
    <mergeCell ref="H12:I12"/>
    <mergeCell ref="C13:G13"/>
    <mergeCell ref="H13:I13"/>
    <mergeCell ref="C8:G8"/>
    <mergeCell ref="H8:I8"/>
    <mergeCell ref="C9:G9"/>
    <mergeCell ref="H9:I9"/>
    <mergeCell ref="C10:G10"/>
    <mergeCell ref="H10:I10"/>
    <mergeCell ref="H1:I1"/>
    <mergeCell ref="B3:I4"/>
    <mergeCell ref="H5:I5"/>
    <mergeCell ref="C6:G6"/>
    <mergeCell ref="H6:I6"/>
    <mergeCell ref="C7:G7"/>
    <mergeCell ref="H7:I7"/>
  </mergeCells>
  <pageMargins left="0.7" right="0.7" top="0.75" bottom="0.75" header="0.3" footer="0.3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60" zoomScaleNormal="100" workbookViewId="0">
      <selection activeCell="O8" sqref="O8"/>
    </sheetView>
  </sheetViews>
  <sheetFormatPr defaultColWidth="11.42578125" defaultRowHeight="12.75"/>
  <cols>
    <col min="1" max="6" width="11.42578125" style="1601" customWidth="1"/>
    <col min="7" max="7" width="12" style="1601" customWidth="1"/>
    <col min="8" max="16384" width="11.42578125" style="1601"/>
  </cols>
  <sheetData>
    <row r="1" spans="1:9" ht="15">
      <c r="A1" s="1599"/>
      <c r="B1" s="1600"/>
      <c r="C1" s="1600"/>
      <c r="D1" s="1600"/>
      <c r="E1" s="1600"/>
      <c r="F1" s="1600"/>
      <c r="G1" s="1600"/>
      <c r="H1" s="1909" t="s">
        <v>617</v>
      </c>
      <c r="I1" s="1910"/>
    </row>
    <row r="2" spans="1:9" ht="15">
      <c r="A2" s="1599"/>
      <c r="B2" s="1600"/>
      <c r="C2" s="1600"/>
      <c r="D2" s="1600"/>
      <c r="E2" s="1600"/>
      <c r="F2" s="1600"/>
      <c r="G2" s="1600"/>
      <c r="H2" s="1600"/>
      <c r="I2" s="1600"/>
    </row>
    <row r="3" spans="1:9" ht="15">
      <c r="A3" s="1599"/>
      <c r="B3" s="1911" t="s">
        <v>760</v>
      </c>
      <c r="C3" s="1911"/>
      <c r="D3" s="1911"/>
      <c r="E3" s="1911"/>
      <c r="F3" s="1911"/>
      <c r="G3" s="1911"/>
      <c r="H3" s="1911"/>
      <c r="I3" s="1911"/>
    </row>
    <row r="4" spans="1:9" ht="15">
      <c r="A4" s="1599"/>
      <c r="B4" s="1911"/>
      <c r="C4" s="1911"/>
      <c r="D4" s="1911"/>
      <c r="E4" s="1911"/>
      <c r="F4" s="1911"/>
      <c r="G4" s="1911"/>
      <c r="H4" s="1911"/>
      <c r="I4" s="1911"/>
    </row>
    <row r="5" spans="1:9" ht="15.75" thickBot="1">
      <c r="A5" s="1599"/>
      <c r="B5" s="1600"/>
      <c r="C5" s="1600"/>
      <c r="D5" s="1600"/>
      <c r="E5" s="1600"/>
      <c r="F5" s="1600"/>
      <c r="G5" s="1600"/>
      <c r="H5" s="1912" t="s">
        <v>597</v>
      </c>
      <c r="I5" s="1912"/>
    </row>
    <row r="6" spans="1:9" ht="15.75" thickBot="1">
      <c r="A6" s="1599"/>
      <c r="B6" s="1602" t="s">
        <v>381</v>
      </c>
      <c r="C6" s="1913" t="s">
        <v>139</v>
      </c>
      <c r="D6" s="1913"/>
      <c r="E6" s="1913"/>
      <c r="F6" s="1913"/>
      <c r="G6" s="1913"/>
      <c r="H6" s="1913" t="s">
        <v>309</v>
      </c>
      <c r="I6" s="1913"/>
    </row>
    <row r="7" spans="1:9" ht="15">
      <c r="A7" s="1599"/>
      <c r="B7" s="1603">
        <v>1</v>
      </c>
      <c r="C7" s="1914" t="s">
        <v>598</v>
      </c>
      <c r="D7" s="1914"/>
      <c r="E7" s="1914"/>
      <c r="F7" s="1914"/>
      <c r="G7" s="1914"/>
      <c r="H7" s="1915">
        <v>572756</v>
      </c>
      <c r="I7" s="1915"/>
    </row>
    <row r="8" spans="1:9" ht="15">
      <c r="A8" s="1599"/>
      <c r="B8" s="1604">
        <v>2</v>
      </c>
      <c r="C8" s="1916" t="s">
        <v>599</v>
      </c>
      <c r="D8" s="1916"/>
      <c r="E8" s="1916"/>
      <c r="F8" s="1916"/>
      <c r="G8" s="1916"/>
      <c r="H8" s="1917">
        <v>33335414</v>
      </c>
      <c r="I8" s="1917"/>
    </row>
    <row r="9" spans="1:9" ht="15">
      <c r="A9" s="1599"/>
      <c r="B9" s="1604">
        <v>3</v>
      </c>
      <c r="C9" s="1918" t="s">
        <v>600</v>
      </c>
      <c r="D9" s="1918"/>
      <c r="E9" s="1918"/>
      <c r="F9" s="1918"/>
      <c r="G9" s="1918"/>
      <c r="H9" s="1919">
        <f>H7-H8</f>
        <v>-32762658</v>
      </c>
      <c r="I9" s="1919"/>
    </row>
    <row r="10" spans="1:9" ht="15">
      <c r="A10" s="1599"/>
      <c r="B10" s="1604">
        <v>4</v>
      </c>
      <c r="C10" s="1916" t="s">
        <v>601</v>
      </c>
      <c r="D10" s="1916"/>
      <c r="E10" s="1916"/>
      <c r="F10" s="1916"/>
      <c r="G10" s="1916"/>
      <c r="H10" s="1917">
        <v>39782614</v>
      </c>
      <c r="I10" s="1917"/>
    </row>
    <row r="11" spans="1:9" ht="15">
      <c r="A11" s="1599"/>
      <c r="B11" s="1604">
        <v>5</v>
      </c>
      <c r="C11" s="1916" t="s">
        <v>602</v>
      </c>
      <c r="D11" s="1916"/>
      <c r="E11" s="1916"/>
      <c r="F11" s="1916"/>
      <c r="G11" s="1916"/>
      <c r="H11" s="1917"/>
      <c r="I11" s="1917"/>
    </row>
    <row r="12" spans="1:9" ht="15.75" thickBot="1">
      <c r="A12" s="1599"/>
      <c r="B12" s="1605">
        <v>6</v>
      </c>
      <c r="C12" s="1920" t="s">
        <v>603</v>
      </c>
      <c r="D12" s="1920"/>
      <c r="E12" s="1920"/>
      <c r="F12" s="1920"/>
      <c r="G12" s="1920"/>
      <c r="H12" s="1921">
        <f>H10-H11</f>
        <v>39782614</v>
      </c>
      <c r="I12" s="1921"/>
    </row>
    <row r="13" spans="1:9" ht="15.75" thickBot="1">
      <c r="A13" s="1599"/>
      <c r="B13" s="1606">
        <v>7</v>
      </c>
      <c r="C13" s="1922" t="s">
        <v>604</v>
      </c>
      <c r="D13" s="1922"/>
      <c r="E13" s="1922"/>
      <c r="F13" s="1922"/>
      <c r="G13" s="1922"/>
      <c r="H13" s="1923">
        <f>H9+H12</f>
        <v>7019956</v>
      </c>
      <c r="I13" s="1923"/>
    </row>
    <row r="14" spans="1:9" ht="15">
      <c r="A14" s="1599"/>
      <c r="B14" s="1603">
        <v>8</v>
      </c>
      <c r="C14" s="1914" t="s">
        <v>605</v>
      </c>
      <c r="D14" s="1914"/>
      <c r="E14" s="1914"/>
      <c r="F14" s="1914"/>
      <c r="G14" s="1914"/>
      <c r="H14" s="1915"/>
      <c r="I14" s="1915"/>
    </row>
    <row r="15" spans="1:9" ht="15">
      <c r="A15" s="1599"/>
      <c r="B15" s="1604">
        <v>9</v>
      </c>
      <c r="C15" s="1916" t="s">
        <v>606</v>
      </c>
      <c r="D15" s="1916"/>
      <c r="E15" s="1916"/>
      <c r="F15" s="1916"/>
      <c r="G15" s="1916"/>
      <c r="H15" s="1917"/>
      <c r="I15" s="1917"/>
    </row>
    <row r="16" spans="1:9" ht="15">
      <c r="A16" s="1599"/>
      <c r="B16" s="1604">
        <v>10</v>
      </c>
      <c r="C16" s="1918" t="s">
        <v>607</v>
      </c>
      <c r="D16" s="1918"/>
      <c r="E16" s="1918"/>
      <c r="F16" s="1918"/>
      <c r="G16" s="1918"/>
      <c r="H16" s="1919">
        <f>H14-H15</f>
        <v>0</v>
      </c>
      <c r="I16" s="1919"/>
    </row>
    <row r="17" spans="1:9" ht="15">
      <c r="A17" s="1599"/>
      <c r="B17" s="1604">
        <v>11</v>
      </c>
      <c r="C17" s="1916" t="s">
        <v>608</v>
      </c>
      <c r="D17" s="1916"/>
      <c r="E17" s="1916"/>
      <c r="F17" s="1916"/>
      <c r="G17" s="1916"/>
      <c r="H17" s="1917"/>
      <c r="I17" s="1917"/>
    </row>
    <row r="18" spans="1:9" ht="15">
      <c r="A18" s="1599"/>
      <c r="B18" s="1604">
        <v>12</v>
      </c>
      <c r="C18" s="1916" t="s">
        <v>609</v>
      </c>
      <c r="D18" s="1916"/>
      <c r="E18" s="1916"/>
      <c r="F18" s="1916"/>
      <c r="G18" s="1916"/>
      <c r="H18" s="1917"/>
      <c r="I18" s="1917"/>
    </row>
    <row r="19" spans="1:9" ht="15.75" thickBot="1">
      <c r="A19" s="1599"/>
      <c r="B19" s="1605">
        <v>13</v>
      </c>
      <c r="C19" s="1920" t="s">
        <v>610</v>
      </c>
      <c r="D19" s="1920"/>
      <c r="E19" s="1920"/>
      <c r="F19" s="1920"/>
      <c r="G19" s="1920"/>
      <c r="H19" s="1921">
        <f>H17-H18</f>
        <v>0</v>
      </c>
      <c r="I19" s="1921"/>
    </row>
    <row r="20" spans="1:9" ht="15.75" thickBot="1">
      <c r="A20" s="1599"/>
      <c r="B20" s="1606">
        <v>14</v>
      </c>
      <c r="C20" s="1922" t="s">
        <v>611</v>
      </c>
      <c r="D20" s="1922"/>
      <c r="E20" s="1922"/>
      <c r="F20" s="1922"/>
      <c r="G20" s="1922"/>
      <c r="H20" s="1923">
        <f>H16+H19</f>
        <v>0</v>
      </c>
      <c r="I20" s="1923"/>
    </row>
    <row r="21" spans="1:9" ht="15.75" thickBot="1">
      <c r="A21" s="1599"/>
      <c r="B21" s="1606">
        <v>15</v>
      </c>
      <c r="C21" s="1922" t="s">
        <v>612</v>
      </c>
      <c r="D21" s="1922"/>
      <c r="E21" s="1922"/>
      <c r="F21" s="1922"/>
      <c r="G21" s="1922"/>
      <c r="H21" s="1923">
        <f>H13+H20</f>
        <v>7019956</v>
      </c>
      <c r="I21" s="1923"/>
    </row>
    <row r="22" spans="1:9" ht="15" customHeight="1" thickBot="1">
      <c r="B22" s="1607">
        <v>16</v>
      </c>
      <c r="C22" s="1928" t="s">
        <v>613</v>
      </c>
      <c r="D22" s="1928"/>
      <c r="E22" s="1928"/>
      <c r="F22" s="1928"/>
      <c r="G22" s="1928"/>
      <c r="H22" s="1929"/>
      <c r="I22" s="1930"/>
    </row>
    <row r="23" spans="1:9" ht="13.5" thickBot="1">
      <c r="B23" s="1608">
        <v>17</v>
      </c>
      <c r="C23" s="1924" t="s">
        <v>614</v>
      </c>
      <c r="D23" s="1925"/>
      <c r="E23" s="1925"/>
      <c r="F23" s="1925"/>
      <c r="G23" s="1925"/>
      <c r="H23" s="1926">
        <f>H21-H22</f>
        <v>7019956</v>
      </c>
      <c r="I23" s="1927"/>
    </row>
    <row r="24" spans="1:9">
      <c r="B24" s="1609"/>
      <c r="C24" s="1609"/>
      <c r="D24" s="1609"/>
      <c r="E24" s="1609"/>
      <c r="F24" s="1609"/>
      <c r="G24" s="1609"/>
      <c r="H24" s="1609"/>
      <c r="I24" s="1609"/>
    </row>
  </sheetData>
  <mergeCells count="39">
    <mergeCell ref="C23:G23"/>
    <mergeCell ref="H23:I23"/>
    <mergeCell ref="C20:G20"/>
    <mergeCell ref="H20:I20"/>
    <mergeCell ref="C21:G21"/>
    <mergeCell ref="H21:I21"/>
    <mergeCell ref="C22:G22"/>
    <mergeCell ref="H22:I22"/>
    <mergeCell ref="C17:G17"/>
    <mergeCell ref="H17:I17"/>
    <mergeCell ref="C18:G18"/>
    <mergeCell ref="H18:I18"/>
    <mergeCell ref="C19:G19"/>
    <mergeCell ref="H19:I19"/>
    <mergeCell ref="C14:G14"/>
    <mergeCell ref="H14:I14"/>
    <mergeCell ref="C15:G15"/>
    <mergeCell ref="H15:I15"/>
    <mergeCell ref="C16:G16"/>
    <mergeCell ref="H16:I16"/>
    <mergeCell ref="C11:G11"/>
    <mergeCell ref="H11:I11"/>
    <mergeCell ref="C12:G12"/>
    <mergeCell ref="H12:I12"/>
    <mergeCell ref="C13:G13"/>
    <mergeCell ref="H13:I13"/>
    <mergeCell ref="C8:G8"/>
    <mergeCell ref="H8:I8"/>
    <mergeCell ref="C9:G9"/>
    <mergeCell ref="H9:I9"/>
    <mergeCell ref="C10:G10"/>
    <mergeCell ref="H10:I10"/>
    <mergeCell ref="H1:I1"/>
    <mergeCell ref="B3:I4"/>
    <mergeCell ref="H5:I5"/>
    <mergeCell ref="C6:G6"/>
    <mergeCell ref="H6:I6"/>
    <mergeCell ref="C7:G7"/>
    <mergeCell ref="H7:I7"/>
  </mergeCells>
  <pageMargins left="0.7" right="0.7" top="0.75" bottom="0.75" header="0.3" footer="0.3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view="pageBreakPreview" topLeftCell="A28" zoomScale="60" zoomScaleNormal="100" workbookViewId="0">
      <selection activeCell="I15" sqref="I15"/>
    </sheetView>
  </sheetViews>
  <sheetFormatPr defaultColWidth="57.5703125" defaultRowHeight="15.75"/>
  <cols>
    <col min="1" max="1" width="57.5703125" style="1610"/>
    <col min="2" max="2" width="5.140625" style="1611" customWidth="1"/>
    <col min="3" max="3" width="12.140625" style="1610" customWidth="1"/>
    <col min="4" max="4" width="13.5703125" style="1610" bestFit="1" customWidth="1"/>
    <col min="5" max="254" width="10.140625" style="1610" customWidth="1"/>
    <col min="255" max="16384" width="57.5703125" style="1610"/>
  </cols>
  <sheetData>
    <row r="1" spans="1:4">
      <c r="C1" s="1909" t="s">
        <v>618</v>
      </c>
      <c r="D1" s="1910"/>
    </row>
    <row r="2" spans="1:4" ht="49.5" customHeight="1">
      <c r="A2" s="1932" t="s">
        <v>619</v>
      </c>
      <c r="B2" s="1933"/>
      <c r="C2" s="1933"/>
      <c r="D2" s="1933"/>
    </row>
    <row r="3" spans="1:4" ht="16.5" thickBot="1">
      <c r="A3" s="1612"/>
      <c r="B3" s="1613"/>
      <c r="C3" s="1934" t="s">
        <v>597</v>
      </c>
      <c r="D3" s="1934"/>
    </row>
    <row r="4" spans="1:4" ht="15.75" customHeight="1">
      <c r="A4" s="1935" t="s">
        <v>620</v>
      </c>
      <c r="B4" s="1938" t="s">
        <v>2</v>
      </c>
      <c r="C4" s="1941" t="s">
        <v>621</v>
      </c>
      <c r="D4" s="1941" t="s">
        <v>622</v>
      </c>
    </row>
    <row r="5" spans="1:4" ht="11.25" customHeight="1">
      <c r="A5" s="1936"/>
      <c r="B5" s="1939"/>
      <c r="C5" s="1942"/>
      <c r="D5" s="1942"/>
    </row>
    <row r="6" spans="1:4">
      <c r="A6" s="1937"/>
      <c r="B6" s="1940"/>
      <c r="C6" s="1943" t="s">
        <v>623</v>
      </c>
      <c r="D6" s="1943"/>
    </row>
    <row r="7" spans="1:4" s="1616" customFormat="1" ht="16.5" thickBot="1">
      <c r="A7" s="1614" t="s">
        <v>624</v>
      </c>
      <c r="B7" s="1615" t="s">
        <v>625</v>
      </c>
      <c r="C7" s="1615" t="s">
        <v>626</v>
      </c>
      <c r="D7" s="1615" t="s">
        <v>627</v>
      </c>
    </row>
    <row r="8" spans="1:4" s="1620" customFormat="1">
      <c r="A8" s="1617" t="s">
        <v>628</v>
      </c>
      <c r="B8" s="1618" t="s">
        <v>629</v>
      </c>
      <c r="C8" s="1619">
        <v>248857</v>
      </c>
      <c r="D8" s="1619"/>
    </row>
    <row r="9" spans="1:4" s="1620" customFormat="1">
      <c r="A9" s="1621" t="s">
        <v>630</v>
      </c>
      <c r="B9" s="1622" t="s">
        <v>631</v>
      </c>
      <c r="C9" s="1623">
        <f>C10+C11+C12</f>
        <v>454030009</v>
      </c>
      <c r="D9" s="1623">
        <f>D10+D11+D12</f>
        <v>490082579</v>
      </c>
    </row>
    <row r="10" spans="1:4" s="1620" customFormat="1">
      <c r="A10" s="1621" t="s">
        <v>632</v>
      </c>
      <c r="B10" s="1622" t="s">
        <v>633</v>
      </c>
      <c r="C10" s="1624">
        <v>443023654</v>
      </c>
      <c r="D10" s="1660">
        <v>441532408</v>
      </c>
    </row>
    <row r="11" spans="1:4" s="1620" customFormat="1">
      <c r="A11" s="1621" t="s">
        <v>634</v>
      </c>
      <c r="B11" s="1622" t="s">
        <v>635</v>
      </c>
      <c r="C11" s="1624">
        <v>8518247</v>
      </c>
      <c r="D11" s="1624">
        <v>12478874</v>
      </c>
    </row>
    <row r="12" spans="1:4" s="1620" customFormat="1">
      <c r="A12" s="1621" t="s">
        <v>636</v>
      </c>
      <c r="B12" s="1622" t="s">
        <v>404</v>
      </c>
      <c r="C12" s="1624">
        <v>2488108</v>
      </c>
      <c r="D12" s="1624">
        <v>36071297</v>
      </c>
    </row>
    <row r="13" spans="1:4" s="1620" customFormat="1">
      <c r="A13" s="1621" t="s">
        <v>637</v>
      </c>
      <c r="B13" s="1622" t="s">
        <v>638</v>
      </c>
      <c r="C13" s="1624">
        <f>+C14+C15+C16+C17</f>
        <v>0</v>
      </c>
      <c r="D13" s="1624">
        <f>+D14+D15+D16+D17</f>
        <v>0</v>
      </c>
    </row>
    <row r="14" spans="1:4" s="1620" customFormat="1">
      <c r="A14" s="1625" t="s">
        <v>639</v>
      </c>
      <c r="B14" s="1622" t="s">
        <v>640</v>
      </c>
      <c r="C14" s="1626"/>
      <c r="D14" s="1626"/>
    </row>
    <row r="15" spans="1:4" s="1620" customFormat="1" ht="38.25">
      <c r="A15" s="1625" t="s">
        <v>641</v>
      </c>
      <c r="B15" s="1622" t="s">
        <v>642</v>
      </c>
      <c r="C15" s="1626"/>
      <c r="D15" s="1626"/>
    </row>
    <row r="16" spans="1:4" s="1620" customFormat="1">
      <c r="A16" s="1625" t="s">
        <v>643</v>
      </c>
      <c r="B16" s="1622" t="s">
        <v>644</v>
      </c>
      <c r="C16" s="1626"/>
      <c r="D16" s="1626"/>
    </row>
    <row r="17" spans="1:4" s="1620" customFormat="1">
      <c r="A17" s="1625" t="s">
        <v>645</v>
      </c>
      <c r="B17" s="1622" t="s">
        <v>646</v>
      </c>
      <c r="C17" s="1626"/>
      <c r="D17" s="1626"/>
    </row>
    <row r="18" spans="1:4" s="1620" customFormat="1">
      <c r="A18" s="1621" t="s">
        <v>647</v>
      </c>
      <c r="B18" s="1622" t="s">
        <v>648</v>
      </c>
      <c r="C18" s="1623">
        <f>+C19+C24+C29</f>
        <v>5670000</v>
      </c>
      <c r="D18" s="1623">
        <f>+D19+D24+D29</f>
        <v>5670000</v>
      </c>
    </row>
    <row r="19" spans="1:4" s="1620" customFormat="1">
      <c r="A19" s="1621" t="s">
        <v>649</v>
      </c>
      <c r="B19" s="1622" t="s">
        <v>650</v>
      </c>
      <c r="C19" s="1624">
        <v>5670000</v>
      </c>
      <c r="D19" s="1624">
        <v>5670000</v>
      </c>
    </row>
    <row r="20" spans="1:4" s="1620" customFormat="1">
      <c r="A20" s="1625" t="s">
        <v>651</v>
      </c>
      <c r="B20" s="1622" t="s">
        <v>652</v>
      </c>
      <c r="C20" s="1626"/>
      <c r="D20" s="1626"/>
    </row>
    <row r="21" spans="1:4" s="1620" customFormat="1" ht="25.5">
      <c r="A21" s="1625" t="s">
        <v>653</v>
      </c>
      <c r="B21" s="1622" t="s">
        <v>654</v>
      </c>
      <c r="C21" s="1626"/>
      <c r="D21" s="1626"/>
    </row>
    <row r="22" spans="1:4" s="1620" customFormat="1">
      <c r="A22" s="1625" t="s">
        <v>655</v>
      </c>
      <c r="B22" s="1622" t="s">
        <v>656</v>
      </c>
      <c r="C22" s="1626"/>
      <c r="D22" s="1626"/>
    </row>
    <row r="23" spans="1:4" s="1620" customFormat="1">
      <c r="A23" s="1625" t="s">
        <v>657</v>
      </c>
      <c r="B23" s="1622" t="s">
        <v>658</v>
      </c>
      <c r="C23" s="1626"/>
      <c r="D23" s="1626"/>
    </row>
    <row r="24" spans="1:4" s="1620" customFormat="1">
      <c r="A24" s="1621" t="s">
        <v>659</v>
      </c>
      <c r="B24" s="1622" t="s">
        <v>660</v>
      </c>
      <c r="C24" s="1624">
        <f>+C25+C26+C27+C28</f>
        <v>0</v>
      </c>
      <c r="D24" s="1624">
        <f>+D25+D26+D27+D28</f>
        <v>0</v>
      </c>
    </row>
    <row r="25" spans="1:4" s="1620" customFormat="1">
      <c r="A25" s="1625" t="s">
        <v>661</v>
      </c>
      <c r="B25" s="1622" t="s">
        <v>662</v>
      </c>
      <c r="C25" s="1626"/>
      <c r="D25" s="1626"/>
    </row>
    <row r="26" spans="1:4" s="1620" customFormat="1" ht="38.25">
      <c r="A26" s="1625" t="s">
        <v>663</v>
      </c>
      <c r="B26" s="1622" t="s">
        <v>664</v>
      </c>
      <c r="C26" s="1626"/>
      <c r="D26" s="1626"/>
    </row>
    <row r="27" spans="1:4" s="1620" customFormat="1" ht="25.5">
      <c r="A27" s="1625" t="s">
        <v>665</v>
      </c>
      <c r="B27" s="1622" t="s">
        <v>666</v>
      </c>
      <c r="C27" s="1626"/>
      <c r="D27" s="1626"/>
    </row>
    <row r="28" spans="1:4" s="1620" customFormat="1">
      <c r="A28" s="1625" t="s">
        <v>667</v>
      </c>
      <c r="B28" s="1622" t="s">
        <v>668</v>
      </c>
      <c r="C28" s="1626"/>
      <c r="D28" s="1626"/>
    </row>
    <row r="29" spans="1:4" s="1620" customFormat="1">
      <c r="A29" s="1621" t="s">
        <v>669</v>
      </c>
      <c r="B29" s="1622" t="s">
        <v>670</v>
      </c>
      <c r="C29" s="1624">
        <f>+C30+C31+C32+C33</f>
        <v>0</v>
      </c>
      <c r="D29" s="1624">
        <f>+D30+D31+D32+D33</f>
        <v>0</v>
      </c>
    </row>
    <row r="30" spans="1:4" s="1620" customFormat="1" ht="25.5">
      <c r="A30" s="1625" t="s">
        <v>671</v>
      </c>
      <c r="B30" s="1622" t="s">
        <v>672</v>
      </c>
      <c r="C30" s="1626"/>
      <c r="D30" s="1626"/>
    </row>
    <row r="31" spans="1:4" s="1620" customFormat="1" ht="38.25">
      <c r="A31" s="1625" t="s">
        <v>673</v>
      </c>
      <c r="B31" s="1622" t="s">
        <v>674</v>
      </c>
      <c r="C31" s="1626"/>
      <c r="D31" s="1626"/>
    </row>
    <row r="32" spans="1:4" s="1620" customFormat="1" ht="25.5">
      <c r="A32" s="1625" t="s">
        <v>675</v>
      </c>
      <c r="B32" s="1622" t="s">
        <v>676</v>
      </c>
      <c r="C32" s="1626"/>
      <c r="D32" s="1626"/>
    </row>
    <row r="33" spans="1:4" s="1620" customFormat="1">
      <c r="A33" s="1625" t="s">
        <v>677</v>
      </c>
      <c r="B33" s="1622" t="s">
        <v>678</v>
      </c>
      <c r="C33" s="1626"/>
      <c r="D33" s="1626"/>
    </row>
    <row r="34" spans="1:4" s="1620" customFormat="1">
      <c r="A34" s="1621" t="s">
        <v>679</v>
      </c>
      <c r="B34" s="1622" t="s">
        <v>680</v>
      </c>
      <c r="C34" s="1626">
        <v>69034229</v>
      </c>
      <c r="D34" s="1626">
        <v>67336000</v>
      </c>
    </row>
    <row r="35" spans="1:4" s="1620" customFormat="1" ht="25.5">
      <c r="A35" s="1621" t="s">
        <v>681</v>
      </c>
      <c r="B35" s="1622" t="s">
        <v>682</v>
      </c>
      <c r="C35" s="1623">
        <f>C8+C9+C18+C34</f>
        <v>528983095</v>
      </c>
      <c r="D35" s="1623">
        <f>D8+D9+D18+D34</f>
        <v>563088579</v>
      </c>
    </row>
    <row r="36" spans="1:4" s="1620" customFormat="1">
      <c r="A36" s="1621" t="s">
        <v>683</v>
      </c>
      <c r="B36" s="1622" t="s">
        <v>684</v>
      </c>
      <c r="C36" s="1626"/>
      <c r="D36" s="1626"/>
    </row>
    <row r="37" spans="1:4" s="1620" customFormat="1">
      <c r="A37" s="1621" t="s">
        <v>685</v>
      </c>
      <c r="B37" s="1622" t="s">
        <v>686</v>
      </c>
      <c r="C37" s="1626"/>
      <c r="D37" s="1626"/>
    </row>
    <row r="38" spans="1:4" s="1620" customFormat="1">
      <c r="A38" s="1621" t="s">
        <v>687</v>
      </c>
      <c r="B38" s="1622" t="s">
        <v>688</v>
      </c>
      <c r="C38" s="1623"/>
      <c r="D38" s="1623"/>
    </row>
    <row r="39" spans="1:4" s="1620" customFormat="1">
      <c r="A39" s="1621" t="s">
        <v>689</v>
      </c>
      <c r="B39" s="1622" t="s">
        <v>690</v>
      </c>
      <c r="C39" s="1626"/>
      <c r="D39" s="1626"/>
    </row>
    <row r="40" spans="1:4" s="1620" customFormat="1">
      <c r="A40" s="1621" t="s">
        <v>691</v>
      </c>
      <c r="B40" s="1622" t="s">
        <v>692</v>
      </c>
      <c r="C40" s="1626">
        <v>368280</v>
      </c>
      <c r="D40" s="1626">
        <v>70015</v>
      </c>
    </row>
    <row r="41" spans="1:4" s="1620" customFormat="1">
      <c r="A41" s="1621" t="s">
        <v>693</v>
      </c>
      <c r="B41" s="1622" t="s">
        <v>694</v>
      </c>
      <c r="C41" s="1626">
        <v>172033423</v>
      </c>
      <c r="D41" s="1626">
        <v>182050329</v>
      </c>
    </row>
    <row r="42" spans="1:4" s="1620" customFormat="1">
      <c r="A42" s="1621" t="s">
        <v>695</v>
      </c>
      <c r="B42" s="1622" t="s">
        <v>696</v>
      </c>
      <c r="C42" s="1626"/>
      <c r="D42" s="1626"/>
    </row>
    <row r="43" spans="1:4" s="1628" customFormat="1">
      <c r="A43" s="1621" t="s">
        <v>697</v>
      </c>
      <c r="B43" s="1627" t="s">
        <v>698</v>
      </c>
      <c r="C43" s="1623">
        <f>+C39+C40+C41+C42</f>
        <v>172401703</v>
      </c>
      <c r="D43" s="1623">
        <f>+D39+D40+D41+D42</f>
        <v>182120344</v>
      </c>
    </row>
    <row r="44" spans="1:4" s="1620" customFormat="1">
      <c r="A44" s="1621" t="s">
        <v>699</v>
      </c>
      <c r="B44" s="1622" t="s">
        <v>700</v>
      </c>
      <c r="C44" s="1626">
        <v>5153017</v>
      </c>
      <c r="D44" s="1626">
        <v>9785555</v>
      </c>
    </row>
    <row r="45" spans="1:4" s="1620" customFormat="1">
      <c r="A45" s="1621" t="s">
        <v>701</v>
      </c>
      <c r="B45" s="1622" t="s">
        <v>702</v>
      </c>
      <c r="C45" s="1626"/>
      <c r="D45" s="1626"/>
    </row>
    <row r="46" spans="1:4" s="1620" customFormat="1">
      <c r="A46" s="1621" t="s">
        <v>703</v>
      </c>
      <c r="B46" s="1622" t="s">
        <v>704</v>
      </c>
      <c r="C46" s="1626">
        <v>2626597</v>
      </c>
      <c r="D46" s="1626">
        <v>417357</v>
      </c>
    </row>
    <row r="47" spans="1:4" s="1620" customFormat="1">
      <c r="A47" s="1621" t="s">
        <v>705</v>
      </c>
      <c r="B47" s="1622" t="s">
        <v>706</v>
      </c>
      <c r="C47" s="1624">
        <f>+C44+C45+C46</f>
        <v>7779614</v>
      </c>
      <c r="D47" s="1624">
        <f>+D44+D45+D46</f>
        <v>10202912</v>
      </c>
    </row>
    <row r="48" spans="1:4" s="1620" customFormat="1">
      <c r="A48" s="1621" t="s">
        <v>707</v>
      </c>
      <c r="B48" s="1622" t="s">
        <v>708</v>
      </c>
      <c r="C48" s="1626"/>
      <c r="D48" s="1626"/>
    </row>
    <row r="49" spans="1:4" s="1620" customFormat="1" ht="38.25">
      <c r="A49" s="1621" t="s">
        <v>709</v>
      </c>
      <c r="B49" s="1622" t="s">
        <v>710</v>
      </c>
      <c r="C49" s="1626"/>
      <c r="D49" s="1626"/>
    </row>
    <row r="50" spans="1:4" s="1620" customFormat="1">
      <c r="A50" s="1621" t="s">
        <v>711</v>
      </c>
      <c r="B50" s="1622" t="s">
        <v>712</v>
      </c>
      <c r="C50" s="1624">
        <f>C48+C49</f>
        <v>0</v>
      </c>
      <c r="D50" s="1624">
        <f>D48+D49</f>
        <v>0</v>
      </c>
    </row>
    <row r="51" spans="1:4" s="1620" customFormat="1">
      <c r="A51" s="1621" t="s">
        <v>713</v>
      </c>
      <c r="B51" s="1622" t="s">
        <v>714</v>
      </c>
      <c r="C51" s="1626"/>
      <c r="D51" s="1626"/>
    </row>
    <row r="52" spans="1:4" s="1620" customFormat="1" ht="16.5" thickBot="1">
      <c r="A52" s="1629" t="s">
        <v>715</v>
      </c>
      <c r="B52" s="1630" t="s">
        <v>716</v>
      </c>
      <c r="C52" s="1631">
        <f>+C35+C38+C43+C47+C50+C51</f>
        <v>709164412</v>
      </c>
      <c r="D52" s="1631">
        <f>+D35+D38+D43+D47+D50+D51</f>
        <v>755411835</v>
      </c>
    </row>
    <row r="53" spans="1:4">
      <c r="A53" s="1632"/>
      <c r="C53" s="1633"/>
      <c r="D53" s="1633"/>
    </row>
    <row r="54" spans="1:4">
      <c r="A54" s="1632"/>
      <c r="C54" s="1633"/>
      <c r="D54" s="1633"/>
    </row>
    <row r="55" spans="1:4">
      <c r="C55" s="1633"/>
      <c r="D55" s="1633"/>
    </row>
    <row r="56" spans="1:4">
      <c r="A56" s="1931"/>
      <c r="B56" s="1931"/>
      <c r="C56" s="1931"/>
      <c r="D56" s="1931"/>
    </row>
    <row r="57" spans="1:4">
      <c r="A57" s="1931"/>
      <c r="B57" s="1931"/>
      <c r="C57" s="1931"/>
      <c r="D57" s="1931"/>
    </row>
  </sheetData>
  <mergeCells count="10">
    <mergeCell ref="A56:D56"/>
    <mergeCell ref="A57:D57"/>
    <mergeCell ref="C1:D1"/>
    <mergeCell ref="A2:D2"/>
    <mergeCell ref="C3:D3"/>
    <mergeCell ref="A4:A6"/>
    <mergeCell ref="B4:B6"/>
    <mergeCell ref="C4:C5"/>
    <mergeCell ref="D4:D5"/>
    <mergeCell ref="C6:D6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view="pageBreakPreview" zoomScale="60" zoomScaleNormal="100" workbookViewId="0">
      <selection activeCell="G20" sqref="G20"/>
    </sheetView>
  </sheetViews>
  <sheetFormatPr defaultColWidth="11.42578125" defaultRowHeight="12.75"/>
  <cols>
    <col min="1" max="1" width="61" style="1634" customWidth="1"/>
    <col min="2" max="2" width="5.140625" style="1654" customWidth="1"/>
    <col min="3" max="3" width="13.42578125" style="1635" customWidth="1"/>
    <col min="4" max="16384" width="11.42578125" style="1635"/>
  </cols>
  <sheetData>
    <row r="1" spans="1:4" ht="15" customHeight="1">
      <c r="B1" s="1909" t="s">
        <v>717</v>
      </c>
      <c r="C1" s="1910"/>
    </row>
    <row r="2" spans="1:4">
      <c r="A2" s="1636"/>
      <c r="B2" s="1637"/>
      <c r="C2" s="1638"/>
    </row>
    <row r="3" spans="1:4" ht="12.75" customHeight="1">
      <c r="A3" s="1932" t="s">
        <v>718</v>
      </c>
      <c r="B3" s="1933"/>
      <c r="C3" s="1933"/>
      <c r="D3" s="1933"/>
    </row>
    <row r="4" spans="1:4">
      <c r="A4" s="1945" t="s">
        <v>555</v>
      </c>
      <c r="B4" s="1945"/>
      <c r="C4" s="1945"/>
    </row>
    <row r="5" spans="1:4">
      <c r="A5" s="1636"/>
      <c r="B5" s="1637"/>
      <c r="C5" s="1638"/>
    </row>
    <row r="6" spans="1:4" ht="13.5" thickBot="1">
      <c r="A6" s="1636"/>
      <c r="B6" s="1946" t="s">
        <v>597</v>
      </c>
      <c r="C6" s="1946"/>
    </row>
    <row r="7" spans="1:4" s="1639" customFormat="1">
      <c r="A7" s="1947" t="s">
        <v>719</v>
      </c>
      <c r="B7" s="1949" t="s">
        <v>2</v>
      </c>
      <c r="C7" s="1951" t="s">
        <v>720</v>
      </c>
    </row>
    <row r="8" spans="1:4" s="1639" customFormat="1">
      <c r="A8" s="1948"/>
      <c r="B8" s="1950"/>
      <c r="C8" s="1952"/>
    </row>
    <row r="9" spans="1:4" s="1643" customFormat="1" ht="13.5" thickBot="1">
      <c r="A9" s="1640" t="s">
        <v>721</v>
      </c>
      <c r="B9" s="1641" t="s">
        <v>625</v>
      </c>
      <c r="C9" s="1642" t="s">
        <v>626</v>
      </c>
    </row>
    <row r="10" spans="1:4">
      <c r="A10" s="1621" t="s">
        <v>722</v>
      </c>
      <c r="B10" s="1644" t="s">
        <v>629</v>
      </c>
      <c r="C10" s="1645">
        <v>616782384</v>
      </c>
    </row>
    <row r="11" spans="1:4">
      <c r="A11" s="1621" t="s">
        <v>723</v>
      </c>
      <c r="B11" s="1622" t="s">
        <v>631</v>
      </c>
      <c r="C11" s="1645">
        <v>397357</v>
      </c>
    </row>
    <row r="12" spans="1:4">
      <c r="A12" s="1621" t="s">
        <v>724</v>
      </c>
      <c r="B12" s="1622" t="s">
        <v>633</v>
      </c>
      <c r="C12" s="1645">
        <v>1606952</v>
      </c>
    </row>
    <row r="13" spans="1:4">
      <c r="A13" s="1621" t="s">
        <v>725</v>
      </c>
      <c r="B13" s="1622" t="s">
        <v>726</v>
      </c>
      <c r="C13" s="1646">
        <v>-77972996</v>
      </c>
    </row>
    <row r="14" spans="1:4">
      <c r="A14" s="1621" t="s">
        <v>727</v>
      </c>
      <c r="B14" s="1622" t="s">
        <v>728</v>
      </c>
      <c r="C14" s="1646"/>
    </row>
    <row r="15" spans="1:4">
      <c r="A15" s="1621" t="s">
        <v>729</v>
      </c>
      <c r="B15" s="1622" t="s">
        <v>730</v>
      </c>
      <c r="C15" s="1646">
        <v>-15730224</v>
      </c>
    </row>
    <row r="16" spans="1:4">
      <c r="A16" s="1621" t="s">
        <v>731</v>
      </c>
      <c r="B16" s="1622" t="s">
        <v>732</v>
      </c>
      <c r="C16" s="1647">
        <f>+C10+C11+C12+C13+C14+C15</f>
        <v>525083473</v>
      </c>
    </row>
    <row r="17" spans="1:5">
      <c r="A17" s="1621" t="s">
        <v>733</v>
      </c>
      <c r="B17" s="1622" t="s">
        <v>635</v>
      </c>
      <c r="C17" s="1648"/>
    </row>
    <row r="18" spans="1:5">
      <c r="A18" s="1621" t="s">
        <v>734</v>
      </c>
      <c r="B18" s="1622" t="s">
        <v>735</v>
      </c>
      <c r="C18" s="1646">
        <v>24302736</v>
      </c>
    </row>
    <row r="19" spans="1:5">
      <c r="A19" s="1621" t="s">
        <v>736</v>
      </c>
      <c r="B19" s="1622" t="s">
        <v>400</v>
      </c>
      <c r="C19" s="1646">
        <v>2276880</v>
      </c>
    </row>
    <row r="20" spans="1:5">
      <c r="A20" s="1621" t="s">
        <v>737</v>
      </c>
      <c r="B20" s="1622" t="s">
        <v>401</v>
      </c>
      <c r="C20" s="1647">
        <f>+C17+C18+C19</f>
        <v>26579616</v>
      </c>
    </row>
    <row r="21" spans="1:5" s="1649" customFormat="1">
      <c r="A21" s="1621" t="s">
        <v>738</v>
      </c>
      <c r="B21" s="1622" t="s">
        <v>402</v>
      </c>
      <c r="C21" s="1646"/>
    </row>
    <row r="22" spans="1:5">
      <c r="A22" s="1621" t="s">
        <v>739</v>
      </c>
      <c r="B22" s="1622" t="s">
        <v>404</v>
      </c>
      <c r="C22" s="1646">
        <v>203748746</v>
      </c>
    </row>
    <row r="23" spans="1:5" ht="13.5" thickBot="1">
      <c r="A23" s="1650" t="s">
        <v>740</v>
      </c>
      <c r="B23" s="1630" t="s">
        <v>741</v>
      </c>
      <c r="C23" s="1651">
        <f>+C16+C20+C21+C22</f>
        <v>755411835</v>
      </c>
    </row>
    <row r="24" spans="1:5" ht="15.75">
      <c r="A24" s="1652"/>
      <c r="B24" s="1652"/>
      <c r="C24" s="1653"/>
      <c r="D24" s="1633"/>
      <c r="E24" s="1633"/>
    </row>
    <row r="25" spans="1:5" ht="15.75">
      <c r="A25" s="1632"/>
      <c r="B25" s="1610"/>
      <c r="C25" s="1633"/>
      <c r="D25" s="1633"/>
      <c r="E25" s="1633"/>
    </row>
    <row r="26" spans="1:5" ht="15.75">
      <c r="A26" s="1610"/>
      <c r="B26" s="1610"/>
      <c r="C26" s="1633"/>
      <c r="D26" s="1633"/>
      <c r="E26" s="1633"/>
    </row>
    <row r="27" spans="1:5" ht="15.75">
      <c r="A27" s="1944"/>
      <c r="B27" s="1944"/>
      <c r="C27" s="1944"/>
      <c r="D27" s="1610"/>
      <c r="E27" s="1610"/>
    </row>
    <row r="28" spans="1:5" ht="15.75">
      <c r="A28" s="1944"/>
      <c r="B28" s="1944"/>
      <c r="C28" s="1944"/>
      <c r="D28" s="1610"/>
      <c r="E28" s="1610"/>
    </row>
  </sheetData>
  <mergeCells count="9">
    <mergeCell ref="A27:C27"/>
    <mergeCell ref="A28:C28"/>
    <mergeCell ref="B1:C1"/>
    <mergeCell ref="A3:D3"/>
    <mergeCell ref="A4:C4"/>
    <mergeCell ref="B6:C6"/>
    <mergeCell ref="A7:A8"/>
    <mergeCell ref="B7:B8"/>
    <mergeCell ref="C7:C8"/>
  </mergeCells>
  <pageMargins left="0.7" right="0.7" top="0.75" bottom="0.75" header="0.3" footer="0.3"/>
  <pageSetup paperSize="9" scale="96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view="pageBreakPreview" zoomScale="60" zoomScaleNormal="100" workbookViewId="0">
      <selection activeCell="N11" sqref="N11"/>
    </sheetView>
  </sheetViews>
  <sheetFormatPr defaultColWidth="11.42578125" defaultRowHeight="15"/>
  <cols>
    <col min="1" max="1" width="3.140625" style="1599" customWidth="1"/>
    <col min="2" max="2" width="5.140625" style="1599" customWidth="1"/>
    <col min="3" max="6" width="11.42578125" style="1599" customWidth="1"/>
    <col min="7" max="7" width="17.5703125" style="1599" customWidth="1"/>
    <col min="8" max="16384" width="11.42578125" style="1599"/>
  </cols>
  <sheetData>
    <row r="1" spans="2:9" ht="15" customHeight="1">
      <c r="B1" s="1600"/>
      <c r="C1" s="1600"/>
      <c r="D1" s="1600"/>
      <c r="E1" s="1600"/>
      <c r="F1" s="1600"/>
      <c r="G1" s="1600"/>
      <c r="H1" s="1909" t="s">
        <v>742</v>
      </c>
      <c r="I1" s="1910"/>
    </row>
    <row r="2" spans="2:9">
      <c r="B2" s="1600"/>
      <c r="C2" s="1600"/>
      <c r="D2" s="1600"/>
      <c r="E2" s="1600"/>
      <c r="F2" s="1600"/>
      <c r="G2" s="1600"/>
      <c r="H2" s="1600"/>
      <c r="I2" s="1600"/>
    </row>
    <row r="3" spans="2:9">
      <c r="B3" s="1911" t="s">
        <v>758</v>
      </c>
      <c r="C3" s="1911"/>
      <c r="D3" s="1911"/>
      <c r="E3" s="1911"/>
      <c r="F3" s="1911"/>
      <c r="G3" s="1911"/>
      <c r="H3" s="1911"/>
      <c r="I3" s="1911"/>
    </row>
    <row r="4" spans="2:9">
      <c r="B4" s="1911"/>
      <c r="C4" s="1911"/>
      <c r="D4" s="1911"/>
      <c r="E4" s="1911"/>
      <c r="F4" s="1911"/>
      <c r="G4" s="1911"/>
      <c r="H4" s="1911"/>
      <c r="I4" s="1911"/>
    </row>
    <row r="5" spans="2:9" ht="15.75" thickBot="1">
      <c r="B5" s="1600"/>
      <c r="C5" s="1600"/>
      <c r="D5" s="1600"/>
      <c r="E5" s="1600"/>
      <c r="F5" s="1600"/>
      <c r="G5" s="1600"/>
      <c r="H5" s="1912" t="s">
        <v>743</v>
      </c>
      <c r="I5" s="1912"/>
    </row>
    <row r="6" spans="2:9" ht="26.25" thickBot="1">
      <c r="B6" s="1602" t="s">
        <v>381</v>
      </c>
      <c r="C6" s="1913" t="s">
        <v>139</v>
      </c>
      <c r="D6" s="1913"/>
      <c r="E6" s="1913"/>
      <c r="F6" s="1913"/>
      <c r="G6" s="1913"/>
      <c r="H6" s="1913" t="s">
        <v>309</v>
      </c>
      <c r="I6" s="1913"/>
    </row>
    <row r="7" spans="2:9">
      <c r="B7" s="1603">
        <v>1</v>
      </c>
      <c r="C7" s="1914" t="s">
        <v>744</v>
      </c>
      <c r="D7" s="1914"/>
      <c r="E7" s="1914"/>
      <c r="F7" s="1914"/>
      <c r="G7" s="1914"/>
      <c r="H7" s="1915">
        <v>60234386</v>
      </c>
      <c r="I7" s="1915"/>
    </row>
    <row r="8" spans="2:9">
      <c r="B8" s="1604">
        <v>2</v>
      </c>
      <c r="C8" s="1916" t="s">
        <v>745</v>
      </c>
      <c r="D8" s="1916"/>
      <c r="E8" s="1916"/>
      <c r="F8" s="1916"/>
      <c r="G8" s="1916"/>
      <c r="H8" s="1917">
        <v>159395311</v>
      </c>
      <c r="I8" s="1917"/>
    </row>
    <row r="9" spans="2:9" ht="14.25" customHeight="1">
      <c r="B9" s="1604">
        <v>3</v>
      </c>
      <c r="C9" s="1916" t="s">
        <v>746</v>
      </c>
      <c r="D9" s="1916"/>
      <c r="E9" s="1916"/>
      <c r="F9" s="1916"/>
      <c r="G9" s="1916"/>
      <c r="H9" s="1917">
        <v>38479995</v>
      </c>
      <c r="I9" s="1917"/>
    </row>
    <row r="10" spans="2:9">
      <c r="B10" s="1604">
        <v>4</v>
      </c>
      <c r="C10" s="1916" t="s">
        <v>747</v>
      </c>
      <c r="D10" s="1916"/>
      <c r="E10" s="1916"/>
      <c r="F10" s="1916"/>
      <c r="G10" s="1916"/>
      <c r="H10" s="1917">
        <v>19942657</v>
      </c>
      <c r="I10" s="1917"/>
    </row>
    <row r="11" spans="2:9">
      <c r="B11" s="1604">
        <v>5</v>
      </c>
      <c r="C11" s="1916" t="s">
        <v>748</v>
      </c>
      <c r="D11" s="1916"/>
      <c r="E11" s="1916"/>
      <c r="F11" s="1916"/>
      <c r="G11" s="1916"/>
      <c r="H11" s="1917">
        <v>20838311</v>
      </c>
      <c r="I11" s="1917"/>
    </row>
    <row r="12" spans="2:9" ht="15.75" thickBot="1">
      <c r="B12" s="1605">
        <v>6</v>
      </c>
      <c r="C12" s="1953" t="s">
        <v>749</v>
      </c>
      <c r="D12" s="1953"/>
      <c r="E12" s="1953"/>
      <c r="F12" s="1953"/>
      <c r="G12" s="1953"/>
      <c r="H12" s="1954">
        <v>155801802</v>
      </c>
      <c r="I12" s="1954"/>
    </row>
    <row r="13" spans="2:9" ht="15.75" thickBot="1">
      <c r="B13" s="1655">
        <v>7</v>
      </c>
      <c r="C13" s="1955" t="s">
        <v>750</v>
      </c>
      <c r="D13" s="1955"/>
      <c r="E13" s="1955"/>
      <c r="F13" s="1955"/>
      <c r="G13" s="1955"/>
      <c r="H13" s="1956">
        <f>H7+H8-H9-H10-H11-H12</f>
        <v>-15433068</v>
      </c>
      <c r="I13" s="1956"/>
    </row>
    <row r="14" spans="2:9">
      <c r="B14" s="1656">
        <v>8</v>
      </c>
      <c r="C14" s="1957" t="s">
        <v>751</v>
      </c>
      <c r="D14" s="1958"/>
      <c r="E14" s="1958"/>
      <c r="F14" s="1958"/>
      <c r="G14" s="1959"/>
      <c r="H14" s="1960">
        <v>383607</v>
      </c>
      <c r="I14" s="1961"/>
    </row>
    <row r="15" spans="2:9" ht="15.75" thickBot="1">
      <c r="B15" s="1657">
        <v>9</v>
      </c>
      <c r="C15" s="1962" t="s">
        <v>752</v>
      </c>
      <c r="D15" s="1963"/>
      <c r="E15" s="1963"/>
      <c r="F15" s="1963"/>
      <c r="G15" s="1964"/>
      <c r="H15" s="1965">
        <v>680763</v>
      </c>
      <c r="I15" s="1966"/>
    </row>
    <row r="16" spans="2:9" ht="15.75" thickBot="1">
      <c r="B16" s="1655">
        <v>10</v>
      </c>
      <c r="C16" s="1967" t="s">
        <v>753</v>
      </c>
      <c r="D16" s="1968"/>
      <c r="E16" s="1968"/>
      <c r="F16" s="1968"/>
      <c r="G16" s="1969"/>
      <c r="H16" s="1970">
        <f>H14-H15</f>
        <v>-297156</v>
      </c>
      <c r="I16" s="1971"/>
    </row>
    <row r="17" spans="2:9">
      <c r="B17" s="1603">
        <v>11</v>
      </c>
      <c r="C17" s="1914" t="s">
        <v>754</v>
      </c>
      <c r="D17" s="1914"/>
      <c r="E17" s="1914"/>
      <c r="F17" s="1914"/>
      <c r="G17" s="1914"/>
      <c r="H17" s="1915"/>
      <c r="I17" s="1915"/>
    </row>
    <row r="18" spans="2:9" ht="15.75" thickBot="1">
      <c r="B18" s="1605">
        <v>12</v>
      </c>
      <c r="C18" s="1953" t="s">
        <v>755</v>
      </c>
      <c r="D18" s="1953"/>
      <c r="E18" s="1953"/>
      <c r="F18" s="1953"/>
      <c r="G18" s="1953"/>
      <c r="H18" s="1954"/>
      <c r="I18" s="1954"/>
    </row>
    <row r="19" spans="2:9" ht="15.75" thickBot="1">
      <c r="B19" s="1655">
        <v>13</v>
      </c>
      <c r="C19" s="1955" t="s">
        <v>756</v>
      </c>
      <c r="D19" s="1955"/>
      <c r="E19" s="1955"/>
      <c r="F19" s="1955"/>
      <c r="G19" s="1955"/>
      <c r="H19" s="1956">
        <f>H17-H18</f>
        <v>0</v>
      </c>
      <c r="I19" s="1956"/>
    </row>
    <row r="20" spans="2:9" s="1659" customFormat="1" ht="16.5" thickBot="1">
      <c r="B20" s="1658">
        <v>14</v>
      </c>
      <c r="C20" s="1972" t="s">
        <v>757</v>
      </c>
      <c r="D20" s="1972"/>
      <c r="E20" s="1972"/>
      <c r="F20" s="1972"/>
      <c r="G20" s="1972"/>
      <c r="H20" s="1973">
        <f>H13+H16+H19</f>
        <v>-15730224</v>
      </c>
      <c r="I20" s="1973"/>
    </row>
    <row r="21" spans="2:9">
      <c r="C21" s="1974"/>
      <c r="D21" s="1974"/>
      <c r="E21" s="1974"/>
      <c r="F21" s="1974"/>
      <c r="G21" s="1974"/>
      <c r="H21" s="1974"/>
      <c r="I21" s="1974"/>
    </row>
  </sheetData>
  <mergeCells count="35">
    <mergeCell ref="C20:G20"/>
    <mergeCell ref="H20:I20"/>
    <mergeCell ref="C21:G21"/>
    <mergeCell ref="H21:I21"/>
    <mergeCell ref="C17:G17"/>
    <mergeCell ref="H17:I17"/>
    <mergeCell ref="C18:G18"/>
    <mergeCell ref="H18:I18"/>
    <mergeCell ref="C19:G19"/>
    <mergeCell ref="H19:I19"/>
    <mergeCell ref="C14:G14"/>
    <mergeCell ref="H14:I14"/>
    <mergeCell ref="C15:G15"/>
    <mergeCell ref="H15:I15"/>
    <mergeCell ref="C16:G16"/>
    <mergeCell ref="H16:I16"/>
    <mergeCell ref="C11:G11"/>
    <mergeCell ref="H11:I11"/>
    <mergeCell ref="C12:G12"/>
    <mergeCell ref="H12:I12"/>
    <mergeCell ref="C13:G13"/>
    <mergeCell ref="H13:I13"/>
    <mergeCell ref="C8:G8"/>
    <mergeCell ref="H8:I8"/>
    <mergeCell ref="C9:G9"/>
    <mergeCell ref="H9:I9"/>
    <mergeCell ref="C10:G10"/>
    <mergeCell ref="H10:I10"/>
    <mergeCell ref="H1:I1"/>
    <mergeCell ref="B3:I4"/>
    <mergeCell ref="H5:I5"/>
    <mergeCell ref="C6:G6"/>
    <mergeCell ref="H6:I6"/>
    <mergeCell ref="C7:G7"/>
    <mergeCell ref="H7:I7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view="pageBreakPreview" topLeftCell="B7" zoomScale="60" zoomScaleNormal="100" workbookViewId="0">
      <selection activeCell="E27" sqref="E27"/>
    </sheetView>
  </sheetViews>
  <sheetFormatPr defaultColWidth="11.42578125" defaultRowHeight="12.75"/>
  <cols>
    <col min="1" max="1" width="47.85546875" style="236" customWidth="1"/>
    <col min="2" max="5" width="13.85546875" style="236" bestFit="1" customWidth="1"/>
    <col min="6" max="6" width="43.5703125" style="236" customWidth="1"/>
    <col min="7" max="10" width="13.85546875" style="236" bestFit="1" customWidth="1"/>
    <col min="11" max="16384" width="11.42578125" style="236"/>
  </cols>
  <sheetData>
    <row r="1" spans="1:10">
      <c r="H1" s="1759" t="s">
        <v>201</v>
      </c>
      <c r="I1" s="1760"/>
    </row>
    <row r="2" spans="1:10" ht="14.25" customHeight="1">
      <c r="A2" s="1753" t="s">
        <v>501</v>
      </c>
      <c r="B2" s="1753"/>
      <c r="C2" s="1753"/>
      <c r="D2" s="1753"/>
      <c r="E2" s="1753"/>
      <c r="F2" s="1753"/>
      <c r="G2" s="1753"/>
    </row>
    <row r="3" spans="1:10" ht="11.25" customHeight="1">
      <c r="A3" s="237"/>
      <c r="B3" s="237" t="s">
        <v>561</v>
      </c>
      <c r="C3" s="237"/>
      <c r="D3" s="237"/>
      <c r="E3" s="237"/>
      <c r="F3" s="9"/>
      <c r="I3" s="736" t="s">
        <v>490</v>
      </c>
    </row>
    <row r="4" spans="1:10" ht="17.25" customHeight="1" thickBot="1">
      <c r="A4" s="1754" t="s">
        <v>202</v>
      </c>
      <c r="B4" s="1755"/>
      <c r="C4" s="1756"/>
      <c r="D4" s="1754"/>
      <c r="E4" s="1754"/>
      <c r="F4" s="1754"/>
      <c r="G4" s="1755"/>
    </row>
    <row r="5" spans="1:10" ht="22.5" customHeight="1" thickBot="1">
      <c r="A5" s="238" t="s">
        <v>138</v>
      </c>
      <c r="B5" s="836" t="s">
        <v>203</v>
      </c>
      <c r="C5" s="1126" t="s">
        <v>141</v>
      </c>
      <c r="D5" s="830" t="s">
        <v>204</v>
      </c>
      <c r="E5" s="239" t="s">
        <v>301</v>
      </c>
      <c r="F5" s="240" t="s">
        <v>205</v>
      </c>
      <c r="G5" s="836" t="s">
        <v>203</v>
      </c>
      <c r="H5" s="1126" t="s">
        <v>141</v>
      </c>
      <c r="I5" s="830" t="s">
        <v>142</v>
      </c>
      <c r="J5" s="239" t="s">
        <v>301</v>
      </c>
    </row>
    <row r="6" spans="1:10">
      <c r="A6" s="241" t="s">
        <v>206</v>
      </c>
      <c r="B6" s="837">
        <f>'1.sz.m-önk.össze.bev'!F7</f>
        <v>53700000</v>
      </c>
      <c r="C6" s="837">
        <f>'1.sz.m-önk.össze.bev'!G7</f>
        <v>48672164</v>
      </c>
      <c r="D6" s="837">
        <f>'1.sz.m-önk.össze.bev'!H7</f>
        <v>48672164</v>
      </c>
      <c r="E6" s="837">
        <f>'1.sz.m-önk.össze.bev'!I7</f>
        <v>47173370</v>
      </c>
      <c r="F6" s="243" t="s">
        <v>207</v>
      </c>
      <c r="G6" s="846">
        <f>'1 .sz.m.önk.össz.kiad.'!F9</f>
        <v>84004260</v>
      </c>
      <c r="H6" s="846">
        <f>'1 .sz.m.önk.össz.kiad.'!G9</f>
        <v>86872028</v>
      </c>
      <c r="I6" s="846">
        <f>'1 .sz.m.önk.össz.kiad.'!H9</f>
        <v>91102890</v>
      </c>
      <c r="J6" s="846">
        <f>'1 .sz.m.önk.össz.kiad.'!I9</f>
        <v>87659288</v>
      </c>
    </row>
    <row r="7" spans="1:10">
      <c r="A7" s="244" t="s">
        <v>208</v>
      </c>
      <c r="B7" s="838">
        <f>'1.sz.m-önk.össze.bev'!F18</f>
        <v>7416961</v>
      </c>
      <c r="C7" s="838">
        <f>'1.sz.m-önk.össze.bev'!G18</f>
        <v>9471454</v>
      </c>
      <c r="D7" s="838">
        <f>'1.sz.m-önk.össze.bev'!H18</f>
        <v>9685352</v>
      </c>
      <c r="E7" s="838">
        <f>'1.sz.m-önk.össze.bev'!I18</f>
        <v>7383471</v>
      </c>
      <c r="F7" s="246" t="s">
        <v>209</v>
      </c>
      <c r="G7" s="838">
        <f>'1 .sz.m.önk.össz.kiad.'!F10</f>
        <v>14504932</v>
      </c>
      <c r="H7" s="838">
        <f>'1 .sz.m.önk.össz.kiad.'!G10</f>
        <v>14165086</v>
      </c>
      <c r="I7" s="838">
        <f>'1 .sz.m.önk.össz.kiad.'!H10</f>
        <v>14719238</v>
      </c>
      <c r="J7" s="838">
        <f>'1 .sz.m.önk.össz.kiad.'!I10</f>
        <v>14245966</v>
      </c>
    </row>
    <row r="8" spans="1:10" ht="17.25" customHeight="1">
      <c r="A8" s="244" t="s">
        <v>210</v>
      </c>
      <c r="B8" s="838">
        <f>'1.sz.m-önk.össze.bev'!F31</f>
        <v>127367376</v>
      </c>
      <c r="C8" s="838">
        <f>'1.sz.m-önk.össze.bev'!G31</f>
        <v>128174808</v>
      </c>
      <c r="D8" s="838">
        <f>'1.sz.m-önk.össze.bev'!H31</f>
        <v>129102193</v>
      </c>
      <c r="E8" s="838">
        <f>'1.sz.m-önk.össze.bev'!I31</f>
        <v>129102193</v>
      </c>
      <c r="F8" s="246" t="s">
        <v>211</v>
      </c>
      <c r="G8" s="838">
        <f>'1 .sz.m.önk.össz.kiad.'!F11</f>
        <v>80269336</v>
      </c>
      <c r="H8" s="838">
        <f>'1 .sz.m.önk.össz.kiad.'!G11</f>
        <v>81677024</v>
      </c>
      <c r="I8" s="838">
        <f>'1 .sz.m.önk.össz.kiad.'!H11</f>
        <v>86550975</v>
      </c>
      <c r="J8" s="838">
        <f>'1 .sz.m.önk.össz.kiad.'!I11</f>
        <v>64382398</v>
      </c>
    </row>
    <row r="9" spans="1:10">
      <c r="A9" s="244" t="s">
        <v>212</v>
      </c>
      <c r="B9" s="838">
        <f>'1.sz.m-önk.össze.bev'!F34</f>
        <v>12871325</v>
      </c>
      <c r="C9" s="838">
        <f>'1.sz.m-önk.össze.bev'!G34</f>
        <v>12871325</v>
      </c>
      <c r="D9" s="838">
        <f>'1.sz.m-önk.össze.bev'!H34</f>
        <v>15025547</v>
      </c>
      <c r="E9" s="838">
        <f>'1.sz.m-önk.össze.bev'!I34</f>
        <v>13272958</v>
      </c>
      <c r="F9" s="246" t="s">
        <v>213</v>
      </c>
      <c r="G9" s="838">
        <f>'1 .sz.m.önk.össz.kiad.'!F12</f>
        <v>4660000</v>
      </c>
      <c r="H9" s="838">
        <f>'1 .sz.m.önk.össz.kiad.'!G12</f>
        <v>4660000</v>
      </c>
      <c r="I9" s="838">
        <f>'1 .sz.m.önk.össz.kiad.'!H12</f>
        <v>4781199</v>
      </c>
      <c r="J9" s="838">
        <f>'1 .sz.m.önk.össz.kiad.'!I12</f>
        <v>4781199</v>
      </c>
    </row>
    <row r="10" spans="1:10" ht="11.25" customHeight="1">
      <c r="A10" s="244" t="s">
        <v>572</v>
      </c>
      <c r="B10" s="838"/>
      <c r="C10" s="1127">
        <f>'3.sz.m Önk  bev.'!G51</f>
        <v>374500</v>
      </c>
      <c r="D10" s="1127">
        <f>'3.sz.m Önk  bev.'!H51</f>
        <v>374500</v>
      </c>
      <c r="E10" s="1127">
        <f>'3.sz.m Önk  bev.'!I51</f>
        <v>374500</v>
      </c>
      <c r="F10" s="246" t="s">
        <v>214</v>
      </c>
      <c r="G10" s="838">
        <f>'1 .sz.m.önk.össz.kiad.'!F13</f>
        <v>20023631</v>
      </c>
      <c r="H10" s="838">
        <f>'1 .sz.m.önk.össz.kiad.'!G13</f>
        <v>21197156</v>
      </c>
      <c r="I10" s="838">
        <f>'1 .sz.m.önk.össz.kiad.'!H13</f>
        <v>21197156</v>
      </c>
      <c r="J10" s="838">
        <f>'1 .sz.m.önk.össz.kiad.'!I13</f>
        <v>12297235</v>
      </c>
    </row>
    <row r="11" spans="1:10">
      <c r="A11" s="244"/>
      <c r="B11" s="838"/>
      <c r="C11" s="1127"/>
      <c r="D11" s="832"/>
      <c r="E11" s="245"/>
      <c r="F11" s="246" t="s">
        <v>215</v>
      </c>
      <c r="G11" s="838">
        <f>'1 .sz.m.önk.össz.kiad.'!F27</f>
        <v>156114425</v>
      </c>
      <c r="H11" s="838">
        <f>'1 .sz.m.önk.össz.kiad.'!G27</f>
        <v>196983767</v>
      </c>
      <c r="I11" s="838">
        <f>'1 .sz.m.önk.össz.kiad.'!H27</f>
        <v>167059654</v>
      </c>
      <c r="J11" s="838">
        <f>'1 .sz.m.önk.össz.kiad.'!I27</f>
        <v>0</v>
      </c>
    </row>
    <row r="12" spans="1:10" hidden="1">
      <c r="A12" s="247"/>
      <c r="B12" s="839"/>
      <c r="C12" s="1128"/>
      <c r="D12" s="833"/>
      <c r="E12" s="248"/>
      <c r="F12" s="249"/>
      <c r="G12" s="839"/>
      <c r="H12" s="1128"/>
      <c r="I12" s="833"/>
      <c r="J12" s="248"/>
    </row>
    <row r="13" spans="1:10" ht="16.5" hidden="1" customHeight="1" thickBot="1">
      <c r="A13" s="250"/>
      <c r="B13" s="840"/>
      <c r="C13" s="1129"/>
      <c r="D13" s="834"/>
      <c r="E13" s="251"/>
      <c r="F13" s="252"/>
      <c r="G13" s="840"/>
      <c r="H13" s="1129"/>
      <c r="I13" s="834"/>
      <c r="J13" s="251"/>
    </row>
    <row r="14" spans="1:10" ht="18" customHeight="1" thickBot="1">
      <c r="A14" s="253" t="s">
        <v>216</v>
      </c>
      <c r="B14" s="1381">
        <f>SUM(B6:B13)</f>
        <v>201355662</v>
      </c>
      <c r="C14" s="841">
        <f>SUM(C6:C13)</f>
        <v>199564251</v>
      </c>
      <c r="D14" s="841">
        <f>SUM(D6:D13)</f>
        <v>202859756</v>
      </c>
      <c r="E14" s="841">
        <f>SUM(E6:E13)</f>
        <v>197306492</v>
      </c>
      <c r="F14" s="1524" t="s">
        <v>217</v>
      </c>
      <c r="G14" s="1381">
        <f>SUM(G6:G13)</f>
        <v>359576584</v>
      </c>
      <c r="H14" s="1525">
        <f>SUM(H6:H13)</f>
        <v>405555061</v>
      </c>
      <c r="I14" s="1525">
        <f>SUM(I6:I13)</f>
        <v>385411112</v>
      </c>
      <c r="J14" s="1525">
        <f>SUM(J6:J13)</f>
        <v>183366086</v>
      </c>
    </row>
    <row r="15" spans="1:10" ht="15.75" customHeight="1">
      <c r="A15" s="254" t="s">
        <v>218</v>
      </c>
      <c r="B15" s="857">
        <f>'1.sz.m-önk.össze.bev'!F57</f>
        <v>179794001</v>
      </c>
      <c r="C15" s="1380">
        <f>'1.sz.m-önk.össze.bev'!G57</f>
        <v>180403886</v>
      </c>
      <c r="D15" s="842">
        <f>'1.sz.m-önk.össze.bev'!H57</f>
        <v>179280000</v>
      </c>
      <c r="E15" s="1523">
        <f>'1.sz.m-önk.össze.bev'!I57</f>
        <v>179280000</v>
      </c>
      <c r="F15" s="1527"/>
      <c r="G15" s="851"/>
      <c r="H15" s="1528">
        <v>0</v>
      </c>
      <c r="I15" s="1529">
        <v>0</v>
      </c>
      <c r="J15" s="1530">
        <v>0</v>
      </c>
    </row>
    <row r="16" spans="1:10" ht="15.75" customHeight="1" thickBot="1">
      <c r="A16" s="1379" t="s">
        <v>585</v>
      </c>
      <c r="B16" s="1533"/>
      <c r="C16" s="1534"/>
      <c r="D16" s="1535">
        <v>5357736</v>
      </c>
      <c r="E16" s="1536">
        <v>5357736</v>
      </c>
      <c r="F16" s="1531" t="s">
        <v>489</v>
      </c>
      <c r="G16" s="1532">
        <f>'1 .sz.m.önk.össz.kiad.'!F35</f>
        <v>3845170</v>
      </c>
      <c r="H16" s="1532">
        <f>'1 .sz.m.önk.össz.kiad.'!G35</f>
        <v>3845170</v>
      </c>
      <c r="I16" s="1532">
        <f>'1 .sz.m.önk.össz.kiad.'!H35</f>
        <v>3845170</v>
      </c>
      <c r="J16" s="1532">
        <f>'1 .sz.m.önk.össz.kiad.'!I35</f>
        <v>3845170</v>
      </c>
    </row>
    <row r="17" spans="1:10" ht="18.75" customHeight="1" thickBot="1">
      <c r="A17" s="810" t="s">
        <v>220</v>
      </c>
      <c r="B17" s="1537">
        <f>B15+B16</f>
        <v>179794001</v>
      </c>
      <c r="C17" s="1538">
        <f>SUM(C15:C16)</f>
        <v>180403886</v>
      </c>
      <c r="D17" s="1539">
        <f>SUM(D15:D16)</f>
        <v>184637736</v>
      </c>
      <c r="E17" s="1540">
        <f>SUM(E15:E16)</f>
        <v>184637736</v>
      </c>
      <c r="F17" s="1524" t="s">
        <v>221</v>
      </c>
      <c r="G17" s="1382">
        <f>SUM(G15:G16)</f>
        <v>3845170</v>
      </c>
      <c r="H17" s="1526">
        <f>SUM(H15:H16)</f>
        <v>3845170</v>
      </c>
      <c r="I17" s="1542">
        <f>SUM(I15:I16)</f>
        <v>3845170</v>
      </c>
      <c r="J17" s="1544">
        <f>SUM(J15:J16)</f>
        <v>3845170</v>
      </c>
    </row>
    <row r="18" spans="1:10" ht="17.25" customHeight="1" thickBot="1">
      <c r="A18" s="811" t="s">
        <v>222</v>
      </c>
      <c r="B18" s="843">
        <f>B14+B17</f>
        <v>381149663</v>
      </c>
      <c r="C18" s="1130">
        <f>C14+C17</f>
        <v>379968137</v>
      </c>
      <c r="D18" s="835">
        <f>D14+D17</f>
        <v>387497492</v>
      </c>
      <c r="E18" s="1541">
        <f>E14+E17</f>
        <v>381944228</v>
      </c>
      <c r="F18" s="812" t="s">
        <v>223</v>
      </c>
      <c r="G18" s="843">
        <f>G14+G17</f>
        <v>363421754</v>
      </c>
      <c r="H18" s="843">
        <f>H14+H17</f>
        <v>409400231</v>
      </c>
      <c r="I18" s="1543">
        <f>I14+I17</f>
        <v>389256282</v>
      </c>
      <c r="J18" s="848">
        <f>J14+J17</f>
        <v>187211256</v>
      </c>
    </row>
    <row r="19" spans="1:10" ht="17.25" customHeight="1" thickBot="1">
      <c r="A19" s="258" t="s">
        <v>224</v>
      </c>
      <c r="B19" s="844"/>
      <c r="C19" s="843">
        <f>C18-H18</f>
        <v>-29432094</v>
      </c>
      <c r="D19" s="843">
        <f>D18-I18</f>
        <v>-1758790</v>
      </c>
      <c r="E19" s="843"/>
      <c r="F19" s="259" t="s">
        <v>225</v>
      </c>
      <c r="G19" s="847">
        <f>B18-G18</f>
        <v>17727909</v>
      </c>
      <c r="H19" s="847"/>
      <c r="I19" s="843"/>
      <c r="J19" s="843">
        <f>E18-J18</f>
        <v>194732972</v>
      </c>
    </row>
    <row r="20" spans="1:10" ht="17.25" customHeight="1" thickBot="1">
      <c r="A20" s="258" t="s">
        <v>226</v>
      </c>
      <c r="B20" s="1131"/>
      <c r="C20" s="843"/>
      <c r="D20" s="843"/>
      <c r="E20" s="843"/>
      <c r="F20" s="259" t="s">
        <v>227</v>
      </c>
      <c r="G20" s="848"/>
      <c r="H20" s="1132"/>
      <c r="I20" s="843"/>
      <c r="J20" s="843"/>
    </row>
    <row r="21" spans="1:10" ht="22.5" customHeight="1" thickBot="1">
      <c r="A21" s="1757" t="s">
        <v>228</v>
      </c>
      <c r="B21" s="1758"/>
      <c r="C21" s="1757"/>
      <c r="D21" s="1757"/>
      <c r="E21" s="1757"/>
      <c r="F21" s="1757"/>
      <c r="G21" s="1758"/>
      <c r="H21" s="260"/>
      <c r="I21" s="260"/>
    </row>
    <row r="22" spans="1:10" ht="25.5">
      <c r="A22" s="241" t="s">
        <v>229</v>
      </c>
      <c r="B22" s="851">
        <f>'1.sz.m-önk.össze.bev'!F39</f>
        <v>0</v>
      </c>
      <c r="C22" s="851">
        <f>'1.sz.m-önk.össze.bev'!G39</f>
        <v>0</v>
      </c>
      <c r="D22" s="851">
        <f>'1.sz.m-önk.össze.bev'!H39</f>
        <v>0</v>
      </c>
      <c r="E22" s="851">
        <f>'1.sz.m-önk.össze.bev'!I39</f>
        <v>0</v>
      </c>
      <c r="F22" s="261" t="s">
        <v>230</v>
      </c>
      <c r="G22" s="857">
        <f>'1 .sz.m.önk.össz.kiad.'!F20</f>
        <v>7453300</v>
      </c>
      <c r="H22" s="857">
        <f>'1 .sz.m.önk.össz.kiad.'!G20</f>
        <v>26668233</v>
      </c>
      <c r="I22" s="857">
        <f>'1 .sz.m.önk.össz.kiad.'!H20</f>
        <v>59688083</v>
      </c>
      <c r="J22" s="857">
        <f>'1 .sz.m.önk.össz.kiad.'!I20</f>
        <v>58834674</v>
      </c>
    </row>
    <row r="23" spans="1:10">
      <c r="A23" s="244" t="s">
        <v>231</v>
      </c>
      <c r="B23" s="838"/>
      <c r="C23" s="832">
        <f>'3.sz.m Önk  bev.'!G52</f>
        <v>432552</v>
      </c>
      <c r="D23" s="832">
        <f>'3.sz.m Önk  bev.'!H52</f>
        <v>432552</v>
      </c>
      <c r="E23" s="832">
        <f>'3.sz.m Önk  bev.'!I52</f>
        <v>432552</v>
      </c>
      <c r="F23" s="246" t="s">
        <v>232</v>
      </c>
      <c r="G23" s="858">
        <f>'1 .sz.m.önk.össz.kiad.'!F21</f>
        <v>11340600</v>
      </c>
      <c r="H23" s="858">
        <f>'1 .sz.m.önk.össz.kiad.'!G21</f>
        <v>11340600</v>
      </c>
      <c r="I23" s="858">
        <f>'1 .sz.m.önk.össz.kiad.'!H21</f>
        <v>11340600</v>
      </c>
      <c r="J23" s="245">
        <f>'4.sz.m.ÖNK kiadás'!I19</f>
        <v>10853865</v>
      </c>
    </row>
    <row r="24" spans="1:10">
      <c r="A24" s="244" t="s">
        <v>233</v>
      </c>
      <c r="B24" s="838">
        <f>'1.sz.m-önk.össze.bev'!F41</f>
        <v>5399991</v>
      </c>
      <c r="C24" s="838">
        <f>'1.sz.m-önk.össze.bev'!G41</f>
        <v>71342375</v>
      </c>
      <c r="D24" s="838">
        <f>'1.sz.m-önk.össze.bev'!H41</f>
        <v>77138921</v>
      </c>
      <c r="E24" s="838">
        <f>'1.sz.m-önk.össze.bev'!I41</f>
        <v>77138921</v>
      </c>
      <c r="F24" s="246" t="s">
        <v>234</v>
      </c>
      <c r="G24" s="858">
        <f>'1 .sz.m.önk.össz.kiad.'!F22</f>
        <v>1890000</v>
      </c>
      <c r="H24" s="858">
        <f>'1 .sz.m.önk.össz.kiad.'!G22</f>
        <v>1890000</v>
      </c>
      <c r="I24" s="858">
        <f>'1 .sz.m.önk.össz.kiad.'!H22</f>
        <v>2340000</v>
      </c>
      <c r="J24" s="245">
        <f>'4.sz.m.ÖNK kiadás'!I20</f>
        <v>2340000</v>
      </c>
    </row>
    <row r="25" spans="1:10" ht="13.5" thickBot="1">
      <c r="A25" s="244" t="s">
        <v>533</v>
      </c>
      <c r="B25" s="838"/>
      <c r="C25" s="832"/>
      <c r="D25" s="245"/>
      <c r="E25" s="245"/>
      <c r="F25" s="246" t="s">
        <v>235</v>
      </c>
      <c r="G25" s="858"/>
      <c r="H25" s="832"/>
      <c r="I25" s="245"/>
      <c r="J25" s="245"/>
    </row>
    <row r="26" spans="1:10" ht="13.5" hidden="1" thickBot="1">
      <c r="A26" s="262"/>
      <c r="B26" s="839"/>
      <c r="C26" s="833"/>
      <c r="D26" s="248"/>
      <c r="E26" s="248"/>
      <c r="F26" s="249"/>
      <c r="G26" s="859"/>
      <c r="H26" s="833"/>
      <c r="I26" s="248"/>
      <c r="J26" s="248"/>
    </row>
    <row r="27" spans="1:10" ht="13.5" thickBot="1">
      <c r="A27" s="263" t="s">
        <v>236</v>
      </c>
      <c r="B27" s="852">
        <f>SUM(B22:B26)</f>
        <v>5399991</v>
      </c>
      <c r="C27" s="809">
        <f>SUM(C22:C25)</f>
        <v>71774927</v>
      </c>
      <c r="D27" s="257">
        <f>SUM(D22:D25)</f>
        <v>77571473</v>
      </c>
      <c r="E27" s="257">
        <f>SUM(E22:E25)</f>
        <v>77571473</v>
      </c>
      <c r="F27" s="264" t="s">
        <v>237</v>
      </c>
      <c r="G27" s="860">
        <f>SUM(G22:G26)</f>
        <v>20683900</v>
      </c>
      <c r="H27" s="856">
        <f>SUM(H22:H26)</f>
        <v>39898833</v>
      </c>
      <c r="I27" s="856">
        <f>SUM(I22:I26)</f>
        <v>73368683</v>
      </c>
      <c r="J27" s="265">
        <f>SUM(J22:J26)</f>
        <v>72028539</v>
      </c>
    </row>
    <row r="28" spans="1:10" ht="15" customHeight="1">
      <c r="A28" s="254" t="s">
        <v>218</v>
      </c>
      <c r="B28" s="837"/>
      <c r="C28" s="831"/>
      <c r="D28" s="242"/>
      <c r="E28" s="242"/>
      <c r="F28" s="243" t="s">
        <v>238</v>
      </c>
      <c r="G28" s="837">
        <f>'1 .sz.m.önk.össz.kiad.'!F34</f>
        <v>2444000</v>
      </c>
      <c r="H28" s="837">
        <f>'1 .sz.m.önk.össz.kiad.'!G34</f>
        <v>2444000</v>
      </c>
      <c r="I28" s="837">
        <f>'1 .sz.m.önk.össz.kiad.'!H34</f>
        <v>2444000</v>
      </c>
      <c r="J28" s="837">
        <f>'1 .sz.m.önk.össz.kiad.'!I34</f>
        <v>2444000</v>
      </c>
    </row>
    <row r="29" spans="1:10" ht="13.5" thickBot="1">
      <c r="A29" s="255" t="s">
        <v>219</v>
      </c>
      <c r="B29" s="853">
        <f>'1.sz.m-önk.össze.bev'!F55</f>
        <v>0</v>
      </c>
      <c r="C29" s="849"/>
      <c r="D29" s="266"/>
      <c r="E29" s="266"/>
      <c r="F29" s="267"/>
      <c r="G29" s="839"/>
      <c r="H29" s="833"/>
      <c r="I29" s="248"/>
      <c r="J29" s="248"/>
    </row>
    <row r="30" spans="1:10" ht="18.75" customHeight="1" thickBot="1">
      <c r="A30" s="268" t="s">
        <v>239</v>
      </c>
      <c r="B30" s="854">
        <f>SUM(B28:B29)</f>
        <v>0</v>
      </c>
      <c r="C30" s="845">
        <f>SUM(C28:C29)</f>
        <v>0</v>
      </c>
      <c r="D30" s="256">
        <f>SUM(D28:D29)</f>
        <v>0</v>
      </c>
      <c r="E30" s="256">
        <f>SUM(E28:E29)</f>
        <v>0</v>
      </c>
      <c r="F30" s="264" t="s">
        <v>240</v>
      </c>
      <c r="G30" s="852">
        <f>G28+G29</f>
        <v>2444000</v>
      </c>
      <c r="H30" s="809">
        <f>SUM(H28:H29)</f>
        <v>2444000</v>
      </c>
      <c r="I30" s="257">
        <f>SUM(I28:I29)</f>
        <v>2444000</v>
      </c>
      <c r="J30" s="257">
        <f>SUM(J28:J29)</f>
        <v>2444000</v>
      </c>
    </row>
    <row r="31" spans="1:10" ht="21" customHeight="1" thickBot="1">
      <c r="A31" s="269" t="s">
        <v>241</v>
      </c>
      <c r="B31" s="852">
        <f t="shared" ref="B31:G31" si="0">B27+B30</f>
        <v>5399991</v>
      </c>
      <c r="C31" s="809">
        <f t="shared" si="0"/>
        <v>71774927</v>
      </c>
      <c r="D31" s="257">
        <f t="shared" si="0"/>
        <v>77571473</v>
      </c>
      <c r="E31" s="257">
        <f t="shared" si="0"/>
        <v>77571473</v>
      </c>
      <c r="F31" s="270" t="s">
        <v>242</v>
      </c>
      <c r="G31" s="852">
        <f t="shared" si="0"/>
        <v>23127900</v>
      </c>
      <c r="H31" s="809">
        <f>H30+H27</f>
        <v>42342833</v>
      </c>
      <c r="I31" s="809">
        <f>I30+I27</f>
        <v>75812683</v>
      </c>
      <c r="J31" s="257">
        <f>J30+J27</f>
        <v>74472539</v>
      </c>
    </row>
    <row r="32" spans="1:10" ht="26.25" hidden="1" customHeight="1" thickBot="1">
      <c r="A32" s="269" t="s">
        <v>243</v>
      </c>
      <c r="B32" s="847"/>
      <c r="C32" s="850"/>
      <c r="D32" s="271"/>
      <c r="E32" s="271"/>
      <c r="F32" s="270" t="s">
        <v>192</v>
      </c>
      <c r="G32" s="852"/>
      <c r="H32" s="809"/>
      <c r="I32" s="257"/>
      <c r="J32" s="257"/>
    </row>
    <row r="33" spans="1:10" ht="16.5" customHeight="1" thickBot="1">
      <c r="A33" s="1383" t="s">
        <v>224</v>
      </c>
      <c r="B33" s="847">
        <f>B31-G31</f>
        <v>-17727909</v>
      </c>
      <c r="C33" s="850"/>
      <c r="D33" s="271"/>
      <c r="E33" s="271"/>
      <c r="F33" s="1383" t="s">
        <v>225</v>
      </c>
      <c r="G33" s="852"/>
      <c r="H33" s="809">
        <f>C31-H31</f>
        <v>29432094</v>
      </c>
      <c r="I33" s="257">
        <f>D31-I31</f>
        <v>1758790</v>
      </c>
      <c r="J33" s="257">
        <f>E31-J31</f>
        <v>3098934</v>
      </c>
    </row>
    <row r="34" spans="1:10" ht="19.5" customHeight="1" thickBot="1">
      <c r="A34" s="1383" t="s">
        <v>226</v>
      </c>
      <c r="B34" s="855"/>
      <c r="C34" s="1133"/>
      <c r="D34" s="1377"/>
      <c r="E34" s="1377"/>
      <c r="F34" s="1383" t="s">
        <v>227</v>
      </c>
      <c r="G34" s="861"/>
      <c r="H34" s="1134"/>
      <c r="I34" s="1378"/>
      <c r="J34" s="1378">
        <f>J19+J33</f>
        <v>197831906</v>
      </c>
    </row>
  </sheetData>
  <sheetProtection selectLockedCells="1" selectUnlockedCells="1"/>
  <mergeCells count="4">
    <mergeCell ref="A2:G2"/>
    <mergeCell ref="A4:G4"/>
    <mergeCell ref="A21:G21"/>
    <mergeCell ref="H1:I1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4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75"/>
  <sheetViews>
    <sheetView view="pageBreakPreview" topLeftCell="A38" zoomScale="60" zoomScaleNormal="75" workbookViewId="0">
      <selection activeCell="K67" sqref="K67"/>
    </sheetView>
  </sheetViews>
  <sheetFormatPr defaultColWidth="9" defaultRowHeight="12.75"/>
  <cols>
    <col min="1" max="2" width="5.85546875" style="1" customWidth="1"/>
    <col min="3" max="3" width="8.85546875" style="1" customWidth="1"/>
    <col min="4" max="4" width="56" style="2" customWidth="1"/>
    <col min="5" max="5" width="8.85546875" style="2" customWidth="1"/>
    <col min="6" max="6" width="14.85546875" style="3" customWidth="1"/>
    <col min="7" max="7" width="16" style="3" bestFit="1" customWidth="1"/>
    <col min="8" max="8" width="17.5703125" style="3" customWidth="1"/>
    <col min="9" max="9" width="15.140625" style="3" customWidth="1"/>
    <col min="10" max="10" width="16.85546875" style="3" customWidth="1"/>
    <col min="11" max="11" width="13.85546875" style="3" customWidth="1"/>
    <col min="12" max="12" width="14.5703125" style="3" customWidth="1"/>
    <col min="13" max="13" width="8.5703125" style="3" hidden="1" customWidth="1"/>
    <col min="14" max="14" width="8.85546875" style="3" hidden="1" customWidth="1"/>
    <col min="15" max="15" width="9.140625" style="3" hidden="1" customWidth="1"/>
    <col min="16" max="16" width="15.140625" customWidth="1"/>
    <col min="17" max="19" width="0" style="3" hidden="1" customWidth="1"/>
    <col min="20" max="20" width="0" hidden="1" customWidth="1"/>
    <col min="21" max="21" width="0.140625" customWidth="1"/>
    <col min="22" max="23" width="9" customWidth="1"/>
    <col min="24" max="24" width="11.5703125" bestFit="1" customWidth="1"/>
    <col min="25" max="27" width="9" customWidth="1"/>
    <col min="28" max="28" width="12.140625" bestFit="1" customWidth="1"/>
  </cols>
  <sheetData>
    <row r="1" spans="1:31">
      <c r="A1" s="4"/>
      <c r="B1" s="4"/>
      <c r="C1" s="4"/>
      <c r="D1" s="5"/>
      <c r="E1" s="5"/>
      <c r="P1" s="6" t="s">
        <v>244</v>
      </c>
    </row>
    <row r="2" spans="1:31" ht="34.5" customHeight="1">
      <c r="A2" s="1717" t="s">
        <v>559</v>
      </c>
      <c r="B2" s="1717"/>
      <c r="C2" s="1717"/>
      <c r="D2" s="1717"/>
      <c r="E2" s="1717"/>
      <c r="F2" s="1717"/>
      <c r="G2" s="1717"/>
      <c r="H2" s="1717"/>
      <c r="I2" s="1717"/>
      <c r="J2" s="1717"/>
      <c r="K2" s="1717"/>
      <c r="L2" s="1717"/>
      <c r="M2" s="1717"/>
      <c r="N2" s="1717"/>
      <c r="O2" s="1717"/>
      <c r="P2" s="1717"/>
      <c r="Q2" s="7"/>
    </row>
    <row r="3" spans="1:31" ht="13.5" thickBot="1">
      <c r="A3" s="8"/>
      <c r="B3" s="8"/>
      <c r="C3" s="8"/>
      <c r="D3" s="9"/>
      <c r="E3" s="10"/>
      <c r="J3" s="11"/>
      <c r="K3" s="11"/>
      <c r="L3" s="11"/>
      <c r="M3" s="11"/>
      <c r="N3" s="11"/>
      <c r="O3" s="11"/>
      <c r="P3" s="12" t="s">
        <v>490</v>
      </c>
    </row>
    <row r="4" spans="1:31" ht="45.75" customHeight="1" thickBot="1">
      <c r="A4" s="1767" t="s">
        <v>2</v>
      </c>
      <c r="B4" s="1767"/>
      <c r="C4" s="1767"/>
      <c r="D4" s="14" t="s">
        <v>3</v>
      </c>
      <c r="E4" s="15" t="s">
        <v>4</v>
      </c>
      <c r="F4" s="1768" t="s">
        <v>5</v>
      </c>
      <c r="G4" s="1768"/>
      <c r="H4" s="1768"/>
      <c r="I4" s="1768"/>
      <c r="J4" s="1768" t="s">
        <v>6</v>
      </c>
      <c r="K4" s="1768"/>
      <c r="L4" s="1768"/>
      <c r="M4" s="1768"/>
      <c r="N4" s="1768"/>
      <c r="O4" s="1769"/>
      <c r="P4" s="1770" t="s">
        <v>7</v>
      </c>
      <c r="Q4" s="1771"/>
      <c r="R4" s="1771"/>
      <c r="S4" s="1771"/>
      <c r="T4" s="1771"/>
      <c r="U4" s="1772"/>
    </row>
    <row r="5" spans="1:31" ht="45.75" customHeight="1" thickBot="1">
      <c r="A5" s="13"/>
      <c r="B5" s="16"/>
      <c r="C5" s="16"/>
      <c r="D5" s="14"/>
      <c r="E5" s="15"/>
      <c r="F5" s="17" t="s">
        <v>9</v>
      </c>
      <c r="G5" s="18" t="s">
        <v>10</v>
      </c>
      <c r="H5" s="18" t="s">
        <v>11</v>
      </c>
      <c r="I5" s="19" t="s">
        <v>301</v>
      </c>
      <c r="J5" s="17" t="s">
        <v>9</v>
      </c>
      <c r="K5" s="18" t="s">
        <v>10</v>
      </c>
      <c r="L5" s="18" t="s">
        <v>11</v>
      </c>
      <c r="M5" s="18" t="s">
        <v>12</v>
      </c>
      <c r="N5" s="18" t="s">
        <v>13</v>
      </c>
      <c r="O5" s="20" t="s">
        <v>14</v>
      </c>
      <c r="P5" s="906" t="s">
        <v>9</v>
      </c>
      <c r="Q5" s="18" t="s">
        <v>10</v>
      </c>
      <c r="R5" s="18" t="s">
        <v>11</v>
      </c>
      <c r="S5" s="18" t="s">
        <v>12</v>
      </c>
      <c r="T5" s="18" t="s">
        <v>13</v>
      </c>
      <c r="U5" s="907" t="s">
        <v>14</v>
      </c>
    </row>
    <row r="6" spans="1:31" s="26" customFormat="1" ht="21.75" customHeight="1" thickBot="1">
      <c r="A6" s="21"/>
      <c r="B6" s="1699"/>
      <c r="C6" s="1699"/>
      <c r="D6" s="1699"/>
      <c r="E6" s="22"/>
      <c r="F6" s="981"/>
      <c r="G6" s="24"/>
      <c r="H6" s="24"/>
      <c r="I6" s="24"/>
      <c r="J6" s="23"/>
      <c r="K6" s="24"/>
      <c r="L6" s="24"/>
      <c r="M6" s="24"/>
      <c r="N6" s="24"/>
      <c r="O6" s="25"/>
      <c r="P6" s="908"/>
      <c r="Q6" s="24"/>
      <c r="R6" s="24"/>
      <c r="S6" s="24"/>
      <c r="T6" s="24"/>
      <c r="U6" s="909"/>
    </row>
    <row r="7" spans="1:31" s="26" customFormat="1" ht="21.75" customHeight="1" thickBot="1">
      <c r="A7" s="21" t="s">
        <v>15</v>
      </c>
      <c r="B7" s="1699" t="s">
        <v>16</v>
      </c>
      <c r="C7" s="1699"/>
      <c r="D7" s="1699"/>
      <c r="E7" s="27" t="s">
        <v>17</v>
      </c>
      <c r="F7" s="1084">
        <f>F8+F13+F16+F17+F20</f>
        <v>53700000</v>
      </c>
      <c r="G7" s="1080">
        <f t="shared" ref="G7:P7" si="0">G8+G13+G16+G17+G20</f>
        <v>48672164</v>
      </c>
      <c r="H7" s="23">
        <f t="shared" si="0"/>
        <v>48672164</v>
      </c>
      <c r="I7" s="23">
        <f t="shared" si="0"/>
        <v>47173370</v>
      </c>
      <c r="J7" s="23">
        <f t="shared" si="0"/>
        <v>0</v>
      </c>
      <c r="K7" s="23">
        <f t="shared" si="0"/>
        <v>0</v>
      </c>
      <c r="L7" s="23">
        <f t="shared" si="0"/>
        <v>0</v>
      </c>
      <c r="M7" s="23">
        <f t="shared" si="0"/>
        <v>0</v>
      </c>
      <c r="N7" s="23">
        <f t="shared" si="0"/>
        <v>0</v>
      </c>
      <c r="O7" s="896">
        <f t="shared" si="0"/>
        <v>0</v>
      </c>
      <c r="P7" s="908">
        <f t="shared" si="0"/>
        <v>0</v>
      </c>
      <c r="Q7" s="24">
        <f>Q8+Q13+Q16</f>
        <v>0</v>
      </c>
      <c r="R7" s="24">
        <f>R8+R13+R16</f>
        <v>0</v>
      </c>
      <c r="S7" s="24">
        <f>S8+S13+S16</f>
        <v>0</v>
      </c>
      <c r="T7" s="24">
        <f>T8+T13+T16</f>
        <v>0</v>
      </c>
      <c r="U7" s="909">
        <f>U8+U13+U16</f>
        <v>0</v>
      </c>
    </row>
    <row r="8" spans="1:31" ht="21.75" customHeight="1">
      <c r="A8" s="28"/>
      <c r="B8" s="29" t="s">
        <v>18</v>
      </c>
      <c r="C8" s="1715" t="s">
        <v>19</v>
      </c>
      <c r="D8" s="1715"/>
      <c r="E8" s="30" t="s">
        <v>20</v>
      </c>
      <c r="F8" s="1085">
        <f>F9+F10+F11</f>
        <v>2400000</v>
      </c>
      <c r="G8" s="1081">
        <f>G9+G10+G11</f>
        <v>2400000</v>
      </c>
      <c r="H8" s="1081">
        <f>H9+H10+H11</f>
        <v>2400000</v>
      </c>
      <c r="I8" s="1081">
        <f>I9+I10+I11</f>
        <v>2223152</v>
      </c>
      <c r="J8" s="737"/>
      <c r="K8" s="32"/>
      <c r="L8" s="32"/>
      <c r="M8" s="32"/>
      <c r="N8" s="32"/>
      <c r="O8" s="897"/>
      <c r="P8" s="910"/>
      <c r="Q8" s="33"/>
      <c r="R8" s="33"/>
      <c r="S8" s="33"/>
      <c r="T8" s="33"/>
      <c r="U8" s="911"/>
    </row>
    <row r="9" spans="1:31" ht="21.75" customHeight="1">
      <c r="A9" s="34"/>
      <c r="B9" s="35"/>
      <c r="C9" s="35" t="s">
        <v>21</v>
      </c>
      <c r="D9" s="36" t="s">
        <v>22</v>
      </c>
      <c r="E9" s="37"/>
      <c r="F9" s="1086"/>
      <c r="G9" s="1082"/>
      <c r="H9" s="39"/>
      <c r="I9" s="39"/>
      <c r="J9" s="38"/>
      <c r="K9" s="39"/>
      <c r="L9" s="39"/>
      <c r="M9" s="39"/>
      <c r="N9" s="39"/>
      <c r="O9" s="40"/>
      <c r="P9" s="912"/>
      <c r="Q9" s="39"/>
      <c r="R9" s="39"/>
      <c r="S9" s="39"/>
      <c r="T9" s="39"/>
      <c r="U9" s="913"/>
    </row>
    <row r="10" spans="1:31" ht="21.75" customHeight="1">
      <c r="A10" s="34"/>
      <c r="B10" s="35"/>
      <c r="C10" s="35" t="s">
        <v>23</v>
      </c>
      <c r="D10" s="36" t="s">
        <v>24</v>
      </c>
      <c r="E10" s="37"/>
      <c r="F10" s="1086">
        <v>2400000</v>
      </c>
      <c r="G10" s="1082">
        <v>2400000</v>
      </c>
      <c r="H10" s="39">
        <v>2400000</v>
      </c>
      <c r="I10" s="39">
        <v>2223152</v>
      </c>
      <c r="J10" s="38"/>
      <c r="K10" s="39"/>
      <c r="L10" s="39"/>
      <c r="M10" s="39"/>
      <c r="N10" s="39"/>
      <c r="O10" s="40"/>
      <c r="P10" s="912"/>
      <c r="Q10" s="39"/>
      <c r="R10" s="39"/>
      <c r="S10" s="39"/>
      <c r="T10" s="39"/>
      <c r="U10" s="913"/>
    </row>
    <row r="11" spans="1:31" ht="21.75" customHeight="1">
      <c r="A11" s="34"/>
      <c r="B11" s="35"/>
      <c r="C11" s="35" t="s">
        <v>25</v>
      </c>
      <c r="D11" s="36" t="s">
        <v>26</v>
      </c>
      <c r="E11" s="37"/>
      <c r="F11" s="1086"/>
      <c r="G11" s="1082"/>
      <c r="H11" s="39"/>
      <c r="I11" s="39"/>
      <c r="J11" s="38"/>
      <c r="K11" s="39"/>
      <c r="L11" s="39"/>
      <c r="M11" s="39"/>
      <c r="N11" s="39"/>
      <c r="O11" s="40"/>
      <c r="P11" s="912"/>
      <c r="Q11" s="39"/>
      <c r="R11" s="39"/>
      <c r="S11" s="39"/>
      <c r="T11" s="39"/>
      <c r="U11" s="913"/>
    </row>
    <row r="12" spans="1:31" ht="21.75" hidden="1" customHeight="1">
      <c r="A12" s="34"/>
      <c r="B12" s="35"/>
      <c r="C12" s="35"/>
      <c r="D12" s="36"/>
      <c r="E12" s="37"/>
      <c r="F12" s="1086"/>
      <c r="G12" s="1082"/>
      <c r="H12" s="39"/>
      <c r="I12" s="39"/>
      <c r="J12" s="38">
        <f>F12-P12</f>
        <v>0</v>
      </c>
      <c r="K12" s="39"/>
      <c r="L12" s="39"/>
      <c r="M12" s="39"/>
      <c r="N12" s="39"/>
      <c r="O12" s="40"/>
      <c r="P12" s="912"/>
      <c r="Q12" s="39"/>
      <c r="R12" s="39"/>
      <c r="S12" s="39"/>
      <c r="T12" s="39"/>
      <c r="U12" s="913"/>
      <c r="AE12" t="s">
        <v>27</v>
      </c>
    </row>
    <row r="13" spans="1:31" ht="21.75" customHeight="1">
      <c r="A13" s="34"/>
      <c r="B13" s="35" t="s">
        <v>28</v>
      </c>
      <c r="C13" s="1716" t="s">
        <v>29</v>
      </c>
      <c r="D13" s="1716"/>
      <c r="E13" s="42" t="s">
        <v>30</v>
      </c>
      <c r="F13" s="1086">
        <f>F14+F15</f>
        <v>46000000</v>
      </c>
      <c r="G13" s="1083">
        <f>G14+G15</f>
        <v>46000000</v>
      </c>
      <c r="H13" s="1083">
        <f>H14+H15</f>
        <v>46000000</v>
      </c>
      <c r="I13" s="1083">
        <f>I14+I15</f>
        <v>44703805</v>
      </c>
      <c r="J13" s="38"/>
      <c r="K13" s="39"/>
      <c r="L13" s="39"/>
      <c r="M13" s="39"/>
      <c r="N13" s="39"/>
      <c r="O13" s="40"/>
      <c r="P13" s="912"/>
      <c r="Q13" s="39"/>
      <c r="R13" s="39"/>
      <c r="S13" s="39"/>
      <c r="T13" s="39"/>
      <c r="U13" s="913"/>
    </row>
    <row r="14" spans="1:31" ht="21.75" customHeight="1">
      <c r="A14" s="34"/>
      <c r="B14" s="35"/>
      <c r="C14" s="35" t="s">
        <v>31</v>
      </c>
      <c r="D14" s="41" t="s">
        <v>32</v>
      </c>
      <c r="E14" s="42"/>
      <c r="F14" s="1086">
        <v>46000000</v>
      </c>
      <c r="G14" s="1082">
        <v>46000000</v>
      </c>
      <c r="H14" s="39">
        <v>46000000</v>
      </c>
      <c r="I14" s="39">
        <v>44703805</v>
      </c>
      <c r="J14" s="38"/>
      <c r="K14" s="39"/>
      <c r="L14" s="39"/>
      <c r="M14" s="39"/>
      <c r="N14" s="39"/>
      <c r="O14" s="40"/>
      <c r="P14" s="912"/>
      <c r="Q14" s="43"/>
      <c r="R14" s="43"/>
      <c r="S14" s="43"/>
      <c r="T14" s="43"/>
      <c r="U14" s="914"/>
    </row>
    <row r="15" spans="1:31" ht="21.75" customHeight="1">
      <c r="A15" s="34"/>
      <c r="B15" s="35"/>
      <c r="C15" s="35" t="s">
        <v>33</v>
      </c>
      <c r="D15" s="41" t="s">
        <v>34</v>
      </c>
      <c r="E15" s="42"/>
      <c r="F15" s="1086"/>
      <c r="G15" s="1082"/>
      <c r="H15" s="39"/>
      <c r="I15" s="39"/>
      <c r="J15" s="38"/>
      <c r="K15" s="39"/>
      <c r="L15" s="39"/>
      <c r="M15" s="39"/>
      <c r="N15" s="39"/>
      <c r="O15" s="40"/>
      <c r="P15" s="912"/>
      <c r="Q15" s="43"/>
      <c r="R15" s="43"/>
      <c r="S15" s="43"/>
      <c r="T15" s="43"/>
      <c r="U15" s="914"/>
    </row>
    <row r="16" spans="1:31" ht="21.75" customHeight="1">
      <c r="A16" s="34"/>
      <c r="B16" s="35" t="s">
        <v>35</v>
      </c>
      <c r="C16" s="1716" t="s">
        <v>36</v>
      </c>
      <c r="D16" s="1716"/>
      <c r="E16" s="42" t="s">
        <v>37</v>
      </c>
      <c r="F16" s="1086">
        <v>5300000</v>
      </c>
      <c r="G16" s="1082">
        <f>5300000-2670776-2629224</f>
        <v>0</v>
      </c>
      <c r="H16" s="39">
        <v>0</v>
      </c>
      <c r="I16" s="44"/>
      <c r="J16" s="38"/>
      <c r="K16" s="39"/>
      <c r="L16" s="39"/>
      <c r="M16" s="44"/>
      <c r="N16" s="44"/>
      <c r="O16" s="898"/>
      <c r="P16" s="912"/>
      <c r="Q16" s="43"/>
      <c r="R16" s="43"/>
      <c r="S16" s="45"/>
      <c r="T16" s="45"/>
      <c r="U16" s="915"/>
    </row>
    <row r="17" spans="1:21" ht="21.75" customHeight="1">
      <c r="A17" s="34"/>
      <c r="B17" s="35" t="s">
        <v>38</v>
      </c>
      <c r="C17" s="1765" t="s">
        <v>39</v>
      </c>
      <c r="D17" s="1765"/>
      <c r="E17" s="46" t="s">
        <v>40</v>
      </c>
      <c r="F17" s="1086"/>
      <c r="G17" s="1082"/>
      <c r="H17" s="39"/>
      <c r="I17" s="44"/>
      <c r="J17" s="38"/>
      <c r="K17" s="39"/>
      <c r="L17" s="39"/>
      <c r="M17" s="44"/>
      <c r="N17" s="44"/>
      <c r="O17" s="898"/>
      <c r="P17" s="912"/>
      <c r="Q17" s="47"/>
      <c r="R17" s="47"/>
      <c r="S17" s="48"/>
      <c r="T17" s="48"/>
      <c r="U17" s="916"/>
    </row>
    <row r="18" spans="1:21" ht="21.75" customHeight="1">
      <c r="A18" s="34"/>
      <c r="B18" s="35"/>
      <c r="C18" s="35" t="s">
        <v>41</v>
      </c>
      <c r="D18" s="41" t="s">
        <v>42</v>
      </c>
      <c r="E18" s="42"/>
      <c r="F18" s="982"/>
      <c r="G18" s="39"/>
      <c r="H18" s="39"/>
      <c r="I18" s="44"/>
      <c r="J18" s="38"/>
      <c r="K18" s="39"/>
      <c r="L18" s="39"/>
      <c r="M18" s="44"/>
      <c r="N18" s="44"/>
      <c r="O18" s="898"/>
      <c r="P18" s="912"/>
      <c r="Q18" s="47"/>
      <c r="R18" s="47"/>
      <c r="S18" s="48"/>
      <c r="T18" s="48"/>
      <c r="U18" s="916"/>
    </row>
    <row r="19" spans="1:21" ht="21.75" customHeight="1">
      <c r="A19" s="34"/>
      <c r="B19" s="35"/>
      <c r="C19" s="35" t="s">
        <v>43</v>
      </c>
      <c r="D19" s="41" t="s">
        <v>44</v>
      </c>
      <c r="E19" s="42"/>
      <c r="F19" s="982"/>
      <c r="G19" s="39"/>
      <c r="H19" s="39"/>
      <c r="I19" s="44"/>
      <c r="J19" s="38"/>
      <c r="K19" s="39"/>
      <c r="L19" s="39"/>
      <c r="M19" s="44"/>
      <c r="N19" s="44"/>
      <c r="O19" s="898"/>
      <c r="P19" s="912"/>
      <c r="Q19" s="47"/>
      <c r="R19" s="47"/>
      <c r="S19" s="48"/>
      <c r="T19" s="48"/>
      <c r="U19" s="916"/>
    </row>
    <row r="20" spans="1:21" ht="21.75" customHeight="1" thickBot="1">
      <c r="A20" s="49"/>
      <c r="B20" s="50" t="s">
        <v>45</v>
      </c>
      <c r="C20" s="1766" t="s">
        <v>46</v>
      </c>
      <c r="D20" s="1766"/>
      <c r="E20" s="51" t="s">
        <v>47</v>
      </c>
      <c r="F20" s="982"/>
      <c r="G20" s="52">
        <v>272164</v>
      </c>
      <c r="H20" s="52">
        <v>272164</v>
      </c>
      <c r="I20" s="53">
        <v>246413</v>
      </c>
      <c r="J20" s="58"/>
      <c r="K20" s="52"/>
      <c r="L20" s="52"/>
      <c r="M20" s="53"/>
      <c r="N20" s="53"/>
      <c r="O20" s="899"/>
      <c r="P20" s="917"/>
      <c r="Q20" s="47"/>
      <c r="R20" s="47"/>
      <c r="S20" s="48"/>
      <c r="T20" s="48"/>
      <c r="U20" s="916"/>
    </row>
    <row r="21" spans="1:21" ht="21.75" customHeight="1" thickBot="1">
      <c r="A21" s="21" t="s">
        <v>48</v>
      </c>
      <c r="B21" s="1699" t="s">
        <v>49</v>
      </c>
      <c r="C21" s="1699"/>
      <c r="D21" s="1699"/>
      <c r="E21" s="22" t="s">
        <v>50</v>
      </c>
      <c r="F21" s="981">
        <f>F22+F23+F24+F31+F32+F28</f>
        <v>6599221</v>
      </c>
      <c r="G21" s="23">
        <f>G22+G23+G24+G31+G32+G28</f>
        <v>8623333</v>
      </c>
      <c r="H21" s="23">
        <f>H22+H23+H24+H31+H32+H28</f>
        <v>8804497</v>
      </c>
      <c r="I21" s="23">
        <f>I22+I23+I24+I31+I32+I28</f>
        <v>6767951</v>
      </c>
      <c r="J21" s="23">
        <f>J22+J23+J24+J31+J32+J28</f>
        <v>0</v>
      </c>
      <c r="K21" s="23">
        <f t="shared" ref="K21:P21" si="1">K22+K23+K24+K31+K32</f>
        <v>0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896">
        <f t="shared" si="1"/>
        <v>0</v>
      </c>
      <c r="P21" s="908">
        <f t="shared" si="1"/>
        <v>0</v>
      </c>
      <c r="Q21" s="24">
        <f>SUM(Q22:Q32)</f>
        <v>0</v>
      </c>
      <c r="R21" s="24">
        <f>SUM(R22:R32)</f>
        <v>0</v>
      </c>
      <c r="S21" s="272">
        <f>SUM(S22:S32)</f>
        <v>0</v>
      </c>
      <c r="T21" s="272">
        <f>SUM(T22:T32)</f>
        <v>0</v>
      </c>
      <c r="U21" s="918">
        <f>SUM(U22:U32)</f>
        <v>870</v>
      </c>
    </row>
    <row r="22" spans="1:21" ht="21.75" customHeight="1">
      <c r="A22" s="54"/>
      <c r="B22" s="55" t="s">
        <v>51</v>
      </c>
      <c r="C22" s="1700" t="s">
        <v>52</v>
      </c>
      <c r="D22" s="1700"/>
      <c r="E22" s="57" t="s">
        <v>53</v>
      </c>
      <c r="F22" s="983">
        <v>2274000</v>
      </c>
      <c r="G22" s="33">
        <v>2274000</v>
      </c>
      <c r="H22" s="33">
        <v>2247368</v>
      </c>
      <c r="I22" s="59">
        <v>2167680</v>
      </c>
      <c r="J22" s="58"/>
      <c r="K22" s="33"/>
      <c r="L22" s="33"/>
      <c r="M22" s="59"/>
      <c r="N22" s="59"/>
      <c r="O22" s="60"/>
      <c r="P22" s="919"/>
      <c r="Q22" s="33"/>
      <c r="R22" s="33"/>
      <c r="S22" s="59"/>
      <c r="T22" s="59"/>
      <c r="U22" s="920">
        <v>600</v>
      </c>
    </row>
    <row r="23" spans="1:21" ht="21.75" customHeight="1">
      <c r="A23" s="34"/>
      <c r="B23" s="35" t="s">
        <v>54</v>
      </c>
      <c r="C23" s="1702" t="s">
        <v>245</v>
      </c>
      <c r="D23" s="1702"/>
      <c r="E23" s="37" t="s">
        <v>56</v>
      </c>
      <c r="F23" s="61">
        <v>180000</v>
      </c>
      <c r="G23" s="62">
        <v>1799960</v>
      </c>
      <c r="H23" s="62">
        <v>1799960</v>
      </c>
      <c r="I23" s="62">
        <v>1617079</v>
      </c>
      <c r="J23" s="58"/>
      <c r="K23" s="62"/>
      <c r="L23" s="62"/>
      <c r="M23" s="62"/>
      <c r="N23" s="62"/>
      <c r="O23" s="63"/>
      <c r="P23" s="921"/>
      <c r="Q23" s="62"/>
      <c r="R23" s="62"/>
      <c r="S23" s="62"/>
      <c r="T23" s="62"/>
      <c r="U23" s="922"/>
    </row>
    <row r="24" spans="1:21" ht="21.75" customHeight="1">
      <c r="A24" s="34"/>
      <c r="B24" s="35" t="s">
        <v>57</v>
      </c>
      <c r="C24" s="1702" t="s">
        <v>58</v>
      </c>
      <c r="D24" s="1702"/>
      <c r="E24" s="37" t="s">
        <v>59</v>
      </c>
      <c r="F24" s="61">
        <v>320000</v>
      </c>
      <c r="G24" s="62">
        <v>505000</v>
      </c>
      <c r="H24" s="62">
        <v>531632</v>
      </c>
      <c r="I24" s="62">
        <v>531632</v>
      </c>
      <c r="J24" s="58"/>
      <c r="K24" s="62"/>
      <c r="L24" s="62"/>
      <c r="M24" s="62"/>
      <c r="N24" s="62"/>
      <c r="O24" s="63"/>
      <c r="P24" s="921"/>
      <c r="Q24" s="62"/>
      <c r="R24" s="62"/>
      <c r="S24" s="62"/>
      <c r="T24" s="62"/>
      <c r="U24" s="922"/>
    </row>
    <row r="25" spans="1:21" ht="21.75" customHeight="1">
      <c r="A25" s="34"/>
      <c r="B25" s="35"/>
      <c r="C25" s="35" t="s">
        <v>60</v>
      </c>
      <c r="D25" s="36" t="s">
        <v>61</v>
      </c>
      <c r="E25" s="37"/>
      <c r="F25" s="61"/>
      <c r="G25" s="62"/>
      <c r="H25" s="62"/>
      <c r="I25" s="62"/>
      <c r="J25" s="58"/>
      <c r="K25" s="62"/>
      <c r="L25" s="62"/>
      <c r="M25" s="62"/>
      <c r="N25" s="62"/>
      <c r="O25" s="63"/>
      <c r="P25" s="921"/>
      <c r="Q25" s="62"/>
      <c r="R25" s="62"/>
      <c r="S25" s="62"/>
      <c r="T25" s="62"/>
      <c r="U25" s="922"/>
    </row>
    <row r="26" spans="1:21" ht="41.25" customHeight="1">
      <c r="A26" s="34"/>
      <c r="B26" s="35"/>
      <c r="C26" s="35" t="s">
        <v>62</v>
      </c>
      <c r="D26" s="36" t="s">
        <v>63</v>
      </c>
      <c r="E26" s="37"/>
      <c r="F26" s="61"/>
      <c r="G26" s="62"/>
      <c r="H26" s="62"/>
      <c r="I26" s="62"/>
      <c r="J26" s="58"/>
      <c r="K26" s="62"/>
      <c r="L26" s="62"/>
      <c r="M26" s="62"/>
      <c r="N26" s="62"/>
      <c r="O26" s="63"/>
      <c r="P26" s="921"/>
      <c r="Q26" s="62"/>
      <c r="R26" s="62"/>
      <c r="S26" s="62"/>
      <c r="T26" s="62"/>
      <c r="U26" s="922"/>
    </row>
    <row r="27" spans="1:21" ht="21.75" customHeight="1">
      <c r="A27" s="34"/>
      <c r="B27" s="35"/>
      <c r="C27" s="35" t="s">
        <v>64</v>
      </c>
      <c r="D27" s="36" t="s">
        <v>65</v>
      </c>
      <c r="E27" s="37"/>
      <c r="F27" s="61"/>
      <c r="G27" s="62"/>
      <c r="H27" s="62"/>
      <c r="I27" s="62"/>
      <c r="J27" s="58"/>
      <c r="K27" s="62"/>
      <c r="L27" s="62"/>
      <c r="M27" s="62"/>
      <c r="N27" s="62"/>
      <c r="O27" s="63"/>
      <c r="P27" s="921"/>
      <c r="Q27" s="62"/>
      <c r="R27" s="62"/>
      <c r="S27" s="62"/>
      <c r="T27" s="62"/>
      <c r="U27" s="922"/>
    </row>
    <row r="28" spans="1:21" ht="21.75" customHeight="1">
      <c r="A28" s="34"/>
      <c r="B28" s="35" t="s">
        <v>66</v>
      </c>
      <c r="C28" s="1761" t="s">
        <v>508</v>
      </c>
      <c r="D28" s="1762"/>
      <c r="E28" s="37" t="s">
        <v>509</v>
      </c>
      <c r="F28" s="61">
        <v>3825221</v>
      </c>
      <c r="G28" s="62">
        <v>3825221</v>
      </c>
      <c r="H28" s="62">
        <v>3825221</v>
      </c>
      <c r="I28" s="62">
        <v>2051244</v>
      </c>
      <c r="J28" s="58"/>
      <c r="K28" s="62"/>
      <c r="L28" s="62"/>
      <c r="M28" s="62"/>
      <c r="N28" s="62"/>
      <c r="O28" s="63"/>
      <c r="P28" s="921"/>
      <c r="Q28" s="62"/>
      <c r="R28" s="62"/>
      <c r="S28" s="62"/>
      <c r="T28" s="62"/>
      <c r="U28" s="922"/>
    </row>
    <row r="29" spans="1:21" ht="21.75" customHeight="1">
      <c r="A29" s="34"/>
      <c r="B29" s="35" t="s">
        <v>66</v>
      </c>
      <c r="C29" s="1702" t="s">
        <v>67</v>
      </c>
      <c r="D29" s="1702"/>
      <c r="E29" s="37"/>
      <c r="F29" s="61"/>
      <c r="G29" s="62"/>
      <c r="H29" s="62"/>
      <c r="I29" s="62"/>
      <c r="J29" s="58"/>
      <c r="K29" s="62"/>
      <c r="L29" s="62"/>
      <c r="M29" s="62"/>
      <c r="N29" s="62"/>
      <c r="O29" s="63"/>
      <c r="P29" s="921"/>
      <c r="Q29" s="62"/>
      <c r="R29" s="62"/>
      <c r="S29" s="62"/>
      <c r="T29" s="62"/>
      <c r="U29" s="922">
        <v>270</v>
      </c>
    </row>
    <row r="30" spans="1:21" ht="21.75" customHeight="1">
      <c r="A30" s="64"/>
      <c r="B30" s="65" t="s">
        <v>68</v>
      </c>
      <c r="C30" s="1706" t="s">
        <v>69</v>
      </c>
      <c r="D30" s="1706"/>
      <c r="E30" s="37"/>
      <c r="F30" s="61"/>
      <c r="G30" s="62"/>
      <c r="H30" s="62"/>
      <c r="I30" s="62"/>
      <c r="J30" s="58"/>
      <c r="K30" s="62"/>
      <c r="L30" s="62"/>
      <c r="M30" s="62"/>
      <c r="N30" s="62"/>
      <c r="O30" s="63"/>
      <c r="P30" s="921"/>
      <c r="Q30" s="62"/>
      <c r="R30" s="62"/>
      <c r="S30" s="62"/>
      <c r="T30" s="62"/>
      <c r="U30" s="922"/>
    </row>
    <row r="31" spans="1:21" ht="21.75" customHeight="1">
      <c r="A31" s="64"/>
      <c r="B31" s="65" t="s">
        <v>70</v>
      </c>
      <c r="C31" s="1706" t="s">
        <v>71</v>
      </c>
      <c r="D31" s="1706"/>
      <c r="E31" s="37" t="s">
        <v>72</v>
      </c>
      <c r="F31" s="61"/>
      <c r="G31" s="62">
        <v>203046</v>
      </c>
      <c r="H31" s="62">
        <v>383607</v>
      </c>
      <c r="I31" s="62">
        <v>383607</v>
      </c>
      <c r="J31" s="58"/>
      <c r="K31" s="62"/>
      <c r="L31" s="62"/>
      <c r="M31" s="62"/>
      <c r="N31" s="62"/>
      <c r="O31" s="63"/>
      <c r="P31" s="921"/>
      <c r="Q31" s="62"/>
      <c r="R31" s="62"/>
      <c r="S31" s="62"/>
      <c r="T31" s="62"/>
      <c r="U31" s="922"/>
    </row>
    <row r="32" spans="1:21" ht="21.75" customHeight="1" thickBot="1">
      <c r="A32" s="64"/>
      <c r="B32" s="65" t="s">
        <v>73</v>
      </c>
      <c r="C32" s="1703" t="s">
        <v>74</v>
      </c>
      <c r="D32" s="1703"/>
      <c r="E32" s="66" t="s">
        <v>75</v>
      </c>
      <c r="F32" s="61"/>
      <c r="G32" s="62">
        <v>16106</v>
      </c>
      <c r="H32" s="62">
        <v>16709</v>
      </c>
      <c r="I32" s="62">
        <v>16709</v>
      </c>
      <c r="J32" s="58"/>
      <c r="K32" s="62"/>
      <c r="L32" s="62"/>
      <c r="M32" s="62"/>
      <c r="N32" s="62"/>
      <c r="O32" s="63"/>
      <c r="P32" s="921"/>
      <c r="Q32" s="62"/>
      <c r="R32" s="62"/>
      <c r="S32" s="62"/>
      <c r="T32" s="62"/>
      <c r="U32" s="922"/>
    </row>
    <row r="33" spans="1:24" ht="21.75" customHeight="1" thickBot="1">
      <c r="A33" s="67" t="s">
        <v>76</v>
      </c>
      <c r="B33" s="1699" t="s">
        <v>77</v>
      </c>
      <c r="C33" s="1699"/>
      <c r="D33" s="1699"/>
      <c r="E33" s="22" t="s">
        <v>78</v>
      </c>
      <c r="F33" s="68">
        <f>F34+F35+F36+F37</f>
        <v>140238701</v>
      </c>
      <c r="G33" s="68">
        <f t="shared" ref="G33:P33" si="2">G34+G35+G36+G37</f>
        <v>141046133</v>
      </c>
      <c r="H33" s="68">
        <f t="shared" si="2"/>
        <v>141973518</v>
      </c>
      <c r="I33" s="68">
        <f t="shared" si="2"/>
        <v>140220929</v>
      </c>
      <c r="J33" s="68">
        <f t="shared" si="2"/>
        <v>0</v>
      </c>
      <c r="K33" s="68">
        <f t="shared" si="2"/>
        <v>0</v>
      </c>
      <c r="L33" s="68">
        <f t="shared" si="2"/>
        <v>0</v>
      </c>
      <c r="M33" s="68">
        <f t="shared" si="2"/>
        <v>0</v>
      </c>
      <c r="N33" s="68">
        <f t="shared" si="2"/>
        <v>0</v>
      </c>
      <c r="O33" s="874">
        <f t="shared" si="2"/>
        <v>0</v>
      </c>
      <c r="P33" s="923">
        <f t="shared" si="2"/>
        <v>0</v>
      </c>
      <c r="Q33" s="71"/>
      <c r="R33" s="71"/>
      <c r="S33" s="71"/>
      <c r="T33" s="71"/>
      <c r="U33" s="924"/>
    </row>
    <row r="34" spans="1:24" ht="21.75" customHeight="1" thickBot="1">
      <c r="A34" s="54"/>
      <c r="B34" s="65" t="s">
        <v>79</v>
      </c>
      <c r="C34" s="1764" t="s">
        <v>80</v>
      </c>
      <c r="D34" s="1764"/>
      <c r="E34" s="69" t="s">
        <v>81</v>
      </c>
      <c r="F34" s="61">
        <f>'13.sz.m. állami támogatás '!B39</f>
        <v>127367376</v>
      </c>
      <c r="G34" s="1087">
        <f>127367376+3515855-2708423</f>
        <v>128174808</v>
      </c>
      <c r="H34" s="1087">
        <v>129102193</v>
      </c>
      <c r="I34" s="1087">
        <v>129102193</v>
      </c>
      <c r="J34" s="738"/>
      <c r="K34" s="70"/>
      <c r="L34" s="70"/>
      <c r="M34" s="70"/>
      <c r="N34" s="70"/>
      <c r="O34" s="900"/>
      <c r="P34" s="925"/>
      <c r="Q34" s="71"/>
      <c r="R34" s="71"/>
      <c r="S34" s="71"/>
      <c r="T34" s="71"/>
      <c r="U34" s="924"/>
    </row>
    <row r="35" spans="1:24" ht="21.75" customHeight="1" thickBot="1">
      <c r="A35" s="34"/>
      <c r="B35" s="65" t="s">
        <v>82</v>
      </c>
      <c r="C35" s="1706" t="s">
        <v>83</v>
      </c>
      <c r="D35" s="1706"/>
      <c r="E35" s="37"/>
      <c r="F35" s="61"/>
      <c r="G35" s="72"/>
      <c r="H35" s="1088"/>
      <c r="I35" s="72"/>
      <c r="J35" s="61"/>
      <c r="K35" s="72"/>
      <c r="L35" s="72"/>
      <c r="M35" s="72"/>
      <c r="N35" s="72"/>
      <c r="O35" s="901"/>
      <c r="P35" s="926"/>
      <c r="Q35" s="71"/>
      <c r="R35" s="71"/>
      <c r="S35" s="71"/>
      <c r="T35" s="71"/>
      <c r="U35" s="924"/>
    </row>
    <row r="36" spans="1:24" ht="21.75" customHeight="1" thickBot="1">
      <c r="A36" s="34"/>
      <c r="B36" s="65" t="s">
        <v>84</v>
      </c>
      <c r="C36" s="1706" t="s">
        <v>85</v>
      </c>
      <c r="D36" s="1706"/>
      <c r="E36" s="37"/>
      <c r="F36" s="61"/>
      <c r="G36" s="72"/>
      <c r="H36" s="1088"/>
      <c r="I36" s="72"/>
      <c r="J36" s="61"/>
      <c r="K36" s="72"/>
      <c r="L36" s="72"/>
      <c r="M36" s="72"/>
      <c r="N36" s="72"/>
      <c r="O36" s="901"/>
      <c r="P36" s="926"/>
      <c r="Q36" s="71"/>
      <c r="R36" s="71"/>
      <c r="S36" s="71"/>
      <c r="T36" s="71"/>
      <c r="U36" s="924"/>
    </row>
    <row r="37" spans="1:24" ht="21.75" customHeight="1" thickBot="1">
      <c r="A37" s="34"/>
      <c r="B37" s="65" t="s">
        <v>86</v>
      </c>
      <c r="C37" s="1706" t="s">
        <v>87</v>
      </c>
      <c r="D37" s="1706"/>
      <c r="E37" s="37" t="s">
        <v>88</v>
      </c>
      <c r="F37" s="61">
        <v>12871325</v>
      </c>
      <c r="G37" s="1088">
        <v>12871325</v>
      </c>
      <c r="H37" s="1088">
        <v>12871325</v>
      </c>
      <c r="I37" s="1088">
        <v>11118736</v>
      </c>
      <c r="J37" s="61"/>
      <c r="K37" s="72"/>
      <c r="L37" s="72"/>
      <c r="M37" s="72"/>
      <c r="N37" s="72"/>
      <c r="O37" s="901"/>
      <c r="P37" s="926"/>
      <c r="Q37" s="71"/>
      <c r="R37" s="71"/>
      <c r="S37" s="71"/>
      <c r="T37" s="71"/>
      <c r="U37" s="924"/>
    </row>
    <row r="38" spans="1:24" ht="21.75" customHeight="1" thickBot="1">
      <c r="A38" s="34"/>
      <c r="B38" s="65"/>
      <c r="C38" s="55" t="s">
        <v>89</v>
      </c>
      <c r="D38" s="56" t="s">
        <v>90</v>
      </c>
      <c r="E38" s="57"/>
      <c r="F38" s="61"/>
      <c r="G38" s="72"/>
      <c r="H38" s="1088"/>
      <c r="I38" s="72"/>
      <c r="J38" s="61"/>
      <c r="K38" s="72"/>
      <c r="L38" s="72"/>
      <c r="M38" s="72"/>
      <c r="N38" s="72"/>
      <c r="O38" s="901"/>
      <c r="P38" s="926"/>
      <c r="Q38" s="71"/>
      <c r="R38" s="71"/>
      <c r="S38" s="71"/>
      <c r="T38" s="71"/>
      <c r="U38" s="924"/>
    </row>
    <row r="39" spans="1:24" ht="21.75" customHeight="1" thickBot="1">
      <c r="A39" s="34"/>
      <c r="B39" s="65"/>
      <c r="C39" s="35" t="s">
        <v>91</v>
      </c>
      <c r="D39" s="36" t="s">
        <v>92</v>
      </c>
      <c r="E39" s="37"/>
      <c r="F39" s="61"/>
      <c r="G39" s="72"/>
      <c r="H39" s="1088"/>
      <c r="I39" s="72"/>
      <c r="J39" s="61"/>
      <c r="K39" s="72"/>
      <c r="L39" s="72"/>
      <c r="M39" s="72"/>
      <c r="N39" s="72"/>
      <c r="O39" s="901"/>
      <c r="P39" s="926"/>
      <c r="Q39" s="71"/>
      <c r="R39" s="71"/>
      <c r="S39" s="71"/>
      <c r="T39" s="71"/>
      <c r="U39" s="924"/>
    </row>
    <row r="40" spans="1:24" ht="21.75" customHeight="1" thickBot="1">
      <c r="A40" s="34"/>
      <c r="B40" s="65"/>
      <c r="C40" s="35" t="s">
        <v>93</v>
      </c>
      <c r="D40" s="36" t="s">
        <v>94</v>
      </c>
      <c r="E40" s="37"/>
      <c r="F40" s="61"/>
      <c r="G40" s="73"/>
      <c r="H40" s="1294"/>
      <c r="I40" s="73"/>
      <c r="J40" s="76"/>
      <c r="K40" s="73"/>
      <c r="L40" s="73"/>
      <c r="M40" s="73"/>
      <c r="N40" s="73"/>
      <c r="O40" s="902"/>
      <c r="P40" s="927"/>
      <c r="Q40" s="71"/>
      <c r="R40" s="71"/>
      <c r="S40" s="71"/>
      <c r="T40" s="71"/>
      <c r="U40" s="924"/>
    </row>
    <row r="41" spans="1:24" ht="21.75" customHeight="1" thickBot="1">
      <c r="A41" s="67" t="s">
        <v>95</v>
      </c>
      <c r="B41" s="1699" t="s">
        <v>96</v>
      </c>
      <c r="C41" s="1699"/>
      <c r="D41" s="1699"/>
      <c r="E41" s="22" t="s">
        <v>97</v>
      </c>
      <c r="F41" s="68">
        <f>F42+F43+F44</f>
        <v>5399991</v>
      </c>
      <c r="G41" s="68">
        <f>G42+G43+G44</f>
        <v>71342375</v>
      </c>
      <c r="H41" s="68">
        <f>H42+H43+H44</f>
        <v>77138921</v>
      </c>
      <c r="I41" s="68">
        <f>I42+I43+I44</f>
        <v>77138921</v>
      </c>
      <c r="J41" s="68">
        <f>J42+J43+J44</f>
        <v>0</v>
      </c>
      <c r="K41" s="68"/>
      <c r="L41" s="68"/>
      <c r="M41" s="68"/>
      <c r="N41" s="68"/>
      <c r="O41" s="874"/>
      <c r="P41" s="923"/>
      <c r="Q41" s="71"/>
      <c r="R41" s="71"/>
      <c r="S41" s="71"/>
      <c r="T41" s="71"/>
      <c r="U41" s="924"/>
    </row>
    <row r="42" spans="1:24" ht="21.75" customHeight="1">
      <c r="A42" s="54"/>
      <c r="B42" s="74" t="s">
        <v>98</v>
      </c>
      <c r="C42" s="1700" t="s">
        <v>99</v>
      </c>
      <c r="D42" s="1700"/>
      <c r="E42" s="57" t="s">
        <v>100</v>
      </c>
      <c r="F42" s="76">
        <f>24800000-24800000</f>
        <v>0</v>
      </c>
      <c r="G42" s="75"/>
      <c r="H42" s="75"/>
      <c r="I42" s="75"/>
      <c r="J42" s="76"/>
      <c r="K42" s="75"/>
      <c r="L42" s="75"/>
      <c r="M42" s="75"/>
      <c r="N42" s="75"/>
      <c r="O42" s="77"/>
      <c r="P42" s="928"/>
      <c r="Q42" s="75"/>
      <c r="R42" s="75"/>
      <c r="S42" s="75"/>
      <c r="T42" s="75"/>
      <c r="U42" s="929"/>
    </row>
    <row r="43" spans="1:24" ht="31.5" customHeight="1">
      <c r="A43" s="54"/>
      <c r="B43" s="74" t="s">
        <v>101</v>
      </c>
      <c r="C43" s="1702" t="s">
        <v>528</v>
      </c>
      <c r="D43" s="1706"/>
      <c r="E43" s="57" t="s">
        <v>527</v>
      </c>
      <c r="F43" s="76"/>
      <c r="G43" s="75"/>
      <c r="H43" s="75"/>
      <c r="I43" s="75"/>
      <c r="J43" s="76"/>
      <c r="K43" s="75"/>
      <c r="L43" s="75"/>
      <c r="M43" s="75"/>
      <c r="N43" s="75"/>
      <c r="O43" s="77"/>
      <c r="P43" s="928"/>
      <c r="Q43" s="75"/>
      <c r="R43" s="75"/>
      <c r="S43" s="75"/>
      <c r="T43" s="75"/>
      <c r="U43" s="929"/>
      <c r="X43" s="829"/>
    </row>
    <row r="44" spans="1:24" ht="21.75" customHeight="1">
      <c r="A44" s="34"/>
      <c r="B44" s="78" t="s">
        <v>529</v>
      </c>
      <c r="C44" s="1702" t="s">
        <v>102</v>
      </c>
      <c r="D44" s="1702"/>
      <c r="E44" s="37" t="s">
        <v>103</v>
      </c>
      <c r="F44" s="61">
        <v>5399991</v>
      </c>
      <c r="G44" s="62">
        <f>5399991+65942384</f>
        <v>71342375</v>
      </c>
      <c r="H44" s="62">
        <v>77138921</v>
      </c>
      <c r="I44" s="62">
        <v>77138921</v>
      </c>
      <c r="J44" s="61"/>
      <c r="K44" s="62"/>
      <c r="L44" s="62"/>
      <c r="M44" s="62"/>
      <c r="N44" s="62"/>
      <c r="O44" s="63"/>
      <c r="P44" s="921"/>
      <c r="Q44" s="62"/>
      <c r="R44" s="62"/>
      <c r="S44" s="62"/>
      <c r="T44" s="62"/>
      <c r="U44" s="922"/>
    </row>
    <row r="45" spans="1:24" ht="21.75" customHeight="1">
      <c r="A45" s="34"/>
      <c r="B45" s="74"/>
      <c r="C45" s="55" t="s">
        <v>530</v>
      </c>
      <c r="D45" s="56" t="s">
        <v>90</v>
      </c>
      <c r="E45" s="57"/>
      <c r="F45" s="61"/>
      <c r="G45" s="62"/>
      <c r="H45" s="62"/>
      <c r="I45" s="62"/>
      <c r="J45" s="61"/>
      <c r="K45" s="62"/>
      <c r="L45" s="62"/>
      <c r="M45" s="62"/>
      <c r="N45" s="62"/>
      <c r="O45" s="63"/>
      <c r="P45" s="921"/>
      <c r="Q45" s="62"/>
      <c r="R45" s="62"/>
      <c r="S45" s="62"/>
      <c r="T45" s="62"/>
      <c r="U45" s="922"/>
    </row>
    <row r="46" spans="1:24" ht="21.75" customHeight="1">
      <c r="A46" s="34"/>
      <c r="B46" s="78"/>
      <c r="C46" s="35" t="s">
        <v>531</v>
      </c>
      <c r="D46" s="56" t="s">
        <v>92</v>
      </c>
      <c r="E46" s="57"/>
      <c r="F46" s="61"/>
      <c r="G46" s="62"/>
      <c r="H46" s="62"/>
      <c r="I46" s="79"/>
      <c r="J46" s="61"/>
      <c r="K46" s="62"/>
      <c r="L46" s="62"/>
      <c r="M46" s="62"/>
      <c r="N46" s="62"/>
      <c r="O46" s="63"/>
      <c r="P46" s="921"/>
      <c r="Q46" s="62"/>
      <c r="R46" s="62"/>
      <c r="S46" s="62"/>
      <c r="T46" s="62"/>
      <c r="U46" s="922"/>
    </row>
    <row r="47" spans="1:24" ht="21.75" customHeight="1" thickBot="1">
      <c r="A47" s="64"/>
      <c r="B47" s="74"/>
      <c r="C47" s="55" t="s">
        <v>532</v>
      </c>
      <c r="D47" s="56" t="s">
        <v>104</v>
      </c>
      <c r="E47" s="57"/>
      <c r="F47" s="61"/>
      <c r="G47" s="62"/>
      <c r="H47" s="62"/>
      <c r="I47" s="79"/>
      <c r="J47" s="61"/>
      <c r="K47" s="62"/>
      <c r="L47" s="62"/>
      <c r="M47" s="62"/>
      <c r="N47" s="62"/>
      <c r="O47" s="63"/>
      <c r="P47" s="930"/>
      <c r="Q47" s="81"/>
      <c r="R47" s="81"/>
      <c r="S47" s="81"/>
      <c r="T47" s="81"/>
      <c r="U47" s="931"/>
    </row>
    <row r="48" spans="1:24" ht="21.75" hidden="1" customHeight="1" thickBot="1">
      <c r="A48" s="82"/>
      <c r="B48" s="78"/>
      <c r="C48" s="1706"/>
      <c r="D48" s="1706"/>
      <c r="E48" s="37"/>
      <c r="F48" s="61"/>
      <c r="G48" s="62"/>
      <c r="H48" s="62"/>
      <c r="I48" s="79"/>
      <c r="J48" s="61"/>
      <c r="K48" s="62"/>
      <c r="L48" s="62"/>
      <c r="M48" s="62"/>
      <c r="N48" s="62"/>
      <c r="O48" s="63"/>
      <c r="P48" s="932"/>
      <c r="Q48" s="84"/>
      <c r="R48" s="84"/>
      <c r="S48" s="84"/>
      <c r="T48" s="84"/>
      <c r="U48" s="933"/>
    </row>
    <row r="49" spans="1:21" ht="21.75" hidden="1" customHeight="1" thickBot="1">
      <c r="A49" s="82"/>
      <c r="B49" s="74"/>
      <c r="C49" s="1763"/>
      <c r="D49" s="1763"/>
      <c r="E49" s="85"/>
      <c r="F49" s="86"/>
      <c r="G49" s="87"/>
      <c r="H49" s="87"/>
      <c r="I49" s="88"/>
      <c r="J49" s="86"/>
      <c r="K49" s="87"/>
      <c r="L49" s="87"/>
      <c r="M49" s="87"/>
      <c r="N49" s="87"/>
      <c r="O49" s="903"/>
      <c r="P49" s="932"/>
      <c r="Q49" s="84"/>
      <c r="R49" s="84"/>
      <c r="S49" s="84"/>
      <c r="T49" s="84"/>
      <c r="U49" s="933"/>
    </row>
    <row r="50" spans="1:21" ht="21.75" customHeight="1" thickBot="1">
      <c r="A50" s="67" t="s">
        <v>105</v>
      </c>
      <c r="B50" s="1699" t="s">
        <v>106</v>
      </c>
      <c r="C50" s="1699"/>
      <c r="D50" s="1699"/>
      <c r="E50" s="22"/>
      <c r="F50" s="1109">
        <f>F51+F52</f>
        <v>0</v>
      </c>
      <c r="G50" s="881">
        <f t="shared" ref="G50:P50" si="3">G51+G52</f>
        <v>807052</v>
      </c>
      <c r="H50" s="68">
        <f t="shared" si="3"/>
        <v>807052</v>
      </c>
      <c r="I50" s="68">
        <f t="shared" si="3"/>
        <v>807052</v>
      </c>
      <c r="J50" s="68">
        <f t="shared" si="3"/>
        <v>0</v>
      </c>
      <c r="K50" s="68">
        <f t="shared" si="3"/>
        <v>0</v>
      </c>
      <c r="L50" s="68">
        <f t="shared" si="3"/>
        <v>0</v>
      </c>
      <c r="M50" s="68">
        <f t="shared" si="3"/>
        <v>0</v>
      </c>
      <c r="N50" s="68">
        <f t="shared" si="3"/>
        <v>0</v>
      </c>
      <c r="O50" s="874">
        <f t="shared" si="3"/>
        <v>0</v>
      </c>
      <c r="P50" s="923">
        <f t="shared" si="3"/>
        <v>0</v>
      </c>
      <c r="Q50" s="71" t="e">
        <f>Q51+Q52</f>
        <v>#REF!</v>
      </c>
      <c r="R50" s="71" t="e">
        <f>R51+R52</f>
        <v>#REF!</v>
      </c>
      <c r="S50" s="71" t="e">
        <f>S51+S52</f>
        <v>#REF!</v>
      </c>
      <c r="T50" s="71" t="e">
        <f>T51+T52</f>
        <v>#REF!</v>
      </c>
      <c r="U50" s="924" t="e">
        <f>U51+U52</f>
        <v>#REF!</v>
      </c>
    </row>
    <row r="51" spans="1:21" s="26" customFormat="1" ht="21.75" customHeight="1">
      <c r="A51" s="89"/>
      <c r="B51" s="74" t="s">
        <v>107</v>
      </c>
      <c r="C51" s="1700" t="s">
        <v>246</v>
      </c>
      <c r="D51" s="1700"/>
      <c r="E51" s="57" t="s">
        <v>109</v>
      </c>
      <c r="F51" s="1114"/>
      <c r="G51" s="1101">
        <v>374500</v>
      </c>
      <c r="H51" s="1089">
        <v>374500</v>
      </c>
      <c r="I51" s="1089">
        <v>374500</v>
      </c>
      <c r="J51" s="76"/>
      <c r="K51" s="90"/>
      <c r="L51" s="90"/>
      <c r="M51" s="90"/>
      <c r="N51" s="90"/>
      <c r="O51" s="92"/>
      <c r="P51" s="934"/>
      <c r="Q51" s="90" t="e">
        <f>SUM(#REF!)</f>
        <v>#REF!</v>
      </c>
      <c r="R51" s="90" t="e">
        <f>SUM(#REF!)</f>
        <v>#REF!</v>
      </c>
      <c r="S51" s="90" t="e">
        <f>SUM(#REF!)</f>
        <v>#REF!</v>
      </c>
      <c r="T51" s="90" t="e">
        <f>SUM(#REF!)</f>
        <v>#REF!</v>
      </c>
      <c r="U51" s="935" t="e">
        <f>SUM(#REF!)</f>
        <v>#REF!</v>
      </c>
    </row>
    <row r="52" spans="1:21" ht="21.75" customHeight="1" thickBot="1">
      <c r="A52" s="34"/>
      <c r="B52" s="35" t="s">
        <v>110</v>
      </c>
      <c r="C52" s="1702" t="s">
        <v>247</v>
      </c>
      <c r="D52" s="1702"/>
      <c r="E52" s="37" t="s">
        <v>112</v>
      </c>
      <c r="F52" s="1115"/>
      <c r="G52" s="1102">
        <v>432552</v>
      </c>
      <c r="H52" s="1090">
        <v>432552</v>
      </c>
      <c r="I52" s="1090">
        <v>432552</v>
      </c>
      <c r="J52" s="94"/>
      <c r="K52" s="93"/>
      <c r="L52" s="93"/>
      <c r="M52" s="93"/>
      <c r="N52" s="93"/>
      <c r="O52" s="95"/>
      <c r="P52" s="936"/>
      <c r="Q52" s="93" t="e">
        <f>SUM(#REF!)</f>
        <v>#REF!</v>
      </c>
      <c r="R52" s="93" t="e">
        <f>SUM(#REF!)</f>
        <v>#REF!</v>
      </c>
      <c r="S52" s="93" t="e">
        <f>SUM(#REF!)</f>
        <v>#REF!</v>
      </c>
      <c r="T52" s="93" t="e">
        <f>SUM(#REF!)</f>
        <v>#REF!</v>
      </c>
      <c r="U52" s="937" t="e">
        <f>SUM(#REF!)</f>
        <v>#REF!</v>
      </c>
    </row>
    <row r="53" spans="1:21" ht="21.75" customHeight="1" thickBot="1">
      <c r="A53" s="67" t="s">
        <v>113</v>
      </c>
      <c r="B53" s="1699" t="s">
        <v>114</v>
      </c>
      <c r="C53" s="1699"/>
      <c r="D53" s="1699"/>
      <c r="E53" s="22" t="s">
        <v>115</v>
      </c>
      <c r="F53" s="1111"/>
      <c r="G53" s="875"/>
      <c r="H53" s="96"/>
      <c r="I53" s="96"/>
      <c r="J53" s="96"/>
      <c r="K53" s="96"/>
      <c r="L53" s="96"/>
      <c r="M53" s="96"/>
      <c r="N53" s="96"/>
      <c r="O53" s="870"/>
      <c r="P53" s="938"/>
      <c r="Q53" s="156">
        <f>SUM(Q54:Q55)</f>
        <v>0</v>
      </c>
      <c r="R53" s="156">
        <f>SUM(R54:R55)</f>
        <v>0</v>
      </c>
      <c r="S53" s="156">
        <f>SUM(S54:S55)</f>
        <v>0</v>
      </c>
      <c r="T53" s="156">
        <f>SUM(T54:T55)</f>
        <v>0</v>
      </c>
      <c r="U53" s="939">
        <f>SUM(U54:U55)</f>
        <v>0</v>
      </c>
    </row>
    <row r="54" spans="1:21" s="26" customFormat="1" ht="21.75" customHeight="1">
      <c r="A54" s="89"/>
      <c r="B54" s="55" t="s">
        <v>116</v>
      </c>
      <c r="C54" s="1700" t="s">
        <v>117</v>
      </c>
      <c r="D54" s="1700"/>
      <c r="E54" s="57" t="s">
        <v>118</v>
      </c>
      <c r="F54" s="1112"/>
      <c r="G54" s="1103"/>
      <c r="H54" s="98"/>
      <c r="I54" s="98"/>
      <c r="J54" s="97"/>
      <c r="K54" s="98"/>
      <c r="L54" s="98"/>
      <c r="M54" s="98"/>
      <c r="N54" s="98"/>
      <c r="O54" s="99"/>
      <c r="P54" s="940"/>
      <c r="Q54" s="98"/>
      <c r="R54" s="98"/>
      <c r="S54" s="98"/>
      <c r="T54" s="98"/>
      <c r="U54" s="941"/>
    </row>
    <row r="55" spans="1:21" ht="21.75" customHeight="1" thickBot="1">
      <c r="A55" s="64"/>
      <c r="B55" s="65" t="s">
        <v>119</v>
      </c>
      <c r="C55" s="1703" t="s">
        <v>120</v>
      </c>
      <c r="D55" s="1703"/>
      <c r="E55" s="66" t="s">
        <v>121</v>
      </c>
      <c r="F55" s="1113"/>
      <c r="G55" s="878"/>
      <c r="H55" s="101"/>
      <c r="I55" s="101"/>
      <c r="J55" s="100"/>
      <c r="K55" s="101"/>
      <c r="L55" s="101"/>
      <c r="M55" s="101"/>
      <c r="N55" s="101"/>
      <c r="O55" s="102"/>
      <c r="P55" s="942"/>
      <c r="Q55" s="101"/>
      <c r="R55" s="101"/>
      <c r="S55" s="101"/>
      <c r="T55" s="101"/>
      <c r="U55" s="943"/>
    </row>
    <row r="56" spans="1:21" ht="21.75" customHeight="1" thickBot="1">
      <c r="A56" s="67" t="s">
        <v>122</v>
      </c>
      <c r="B56" s="1751" t="s">
        <v>123</v>
      </c>
      <c r="C56" s="1751"/>
      <c r="D56" s="1751"/>
      <c r="E56" s="103"/>
      <c r="F56" s="1111">
        <f>F7+F21+F33+F41+F50</f>
        <v>205937913</v>
      </c>
      <c r="G56" s="875">
        <f t="shared" ref="G56:P56" si="4">G7+G21+G33+G41+G50</f>
        <v>270491057</v>
      </c>
      <c r="H56" s="96">
        <f t="shared" si="4"/>
        <v>277396152</v>
      </c>
      <c r="I56" s="96">
        <f t="shared" si="4"/>
        <v>272108223</v>
      </c>
      <c r="J56" s="96">
        <f t="shared" si="4"/>
        <v>0</v>
      </c>
      <c r="K56" s="96">
        <f t="shared" si="4"/>
        <v>0</v>
      </c>
      <c r="L56" s="96">
        <f t="shared" si="4"/>
        <v>0</v>
      </c>
      <c r="M56" s="96">
        <f t="shared" si="4"/>
        <v>0</v>
      </c>
      <c r="N56" s="96">
        <f t="shared" si="4"/>
        <v>0</v>
      </c>
      <c r="O56" s="870">
        <f t="shared" si="4"/>
        <v>0</v>
      </c>
      <c r="P56" s="938">
        <f t="shared" si="4"/>
        <v>0</v>
      </c>
      <c r="Q56" s="156" t="e">
        <f>Q7+Q21+Q41+Q50+Q53+#REF!+#REF!+Q33</f>
        <v>#REF!</v>
      </c>
      <c r="R56" s="156" t="e">
        <f>R7+R21+R41+R50+R53+#REF!+#REF!+R33</f>
        <v>#REF!</v>
      </c>
      <c r="S56" s="156" t="e">
        <f>S7+S21+S41+S50+S53+#REF!+#REF!+S33</f>
        <v>#REF!</v>
      </c>
      <c r="T56" s="156" t="e">
        <f>T7+T21+T41+T50+T53+#REF!+#REF!+T33</f>
        <v>#REF!</v>
      </c>
      <c r="U56" s="939" t="e">
        <f>U7+U21+U41+U50+U53+#REF!+#REF!+U33</f>
        <v>#REF!</v>
      </c>
    </row>
    <row r="57" spans="1:21" ht="24" customHeight="1" thickBot="1">
      <c r="A57" s="21" t="s">
        <v>124</v>
      </c>
      <c r="B57" s="1699" t="s">
        <v>125</v>
      </c>
      <c r="C57" s="1699"/>
      <c r="D57" s="1699"/>
      <c r="E57" s="22"/>
      <c r="F57" s="1111">
        <f>F60+F58</f>
        <v>172033423</v>
      </c>
      <c r="G57" s="875">
        <f t="shared" ref="G57:P57" si="5">G60</f>
        <v>172643308</v>
      </c>
      <c r="H57" s="875">
        <f>H60+H61</f>
        <v>176877158</v>
      </c>
      <c r="I57" s="875">
        <f>I60+I61</f>
        <v>176877158</v>
      </c>
      <c r="J57" s="96">
        <f t="shared" si="5"/>
        <v>0</v>
      </c>
      <c r="K57" s="96">
        <f t="shared" si="5"/>
        <v>0</v>
      </c>
      <c r="L57" s="96">
        <f t="shared" si="5"/>
        <v>0</v>
      </c>
      <c r="M57" s="96">
        <f t="shared" si="5"/>
        <v>0</v>
      </c>
      <c r="N57" s="96">
        <f t="shared" si="5"/>
        <v>0</v>
      </c>
      <c r="O57" s="870">
        <f t="shared" si="5"/>
        <v>0</v>
      </c>
      <c r="P57" s="938">
        <f t="shared" si="5"/>
        <v>0</v>
      </c>
      <c r="Q57" s="156" t="e">
        <f>Q58+#REF!</f>
        <v>#REF!</v>
      </c>
      <c r="R57" s="156" t="e">
        <f>R58+#REF!</f>
        <v>#REF!</v>
      </c>
      <c r="S57" s="156" t="e">
        <f>S58+#REF!</f>
        <v>#REF!</v>
      </c>
      <c r="T57" s="156" t="e">
        <f>T58+#REF!</f>
        <v>#REF!</v>
      </c>
      <c r="U57" s="939" t="e">
        <f>U58+#REF!</f>
        <v>#REF!</v>
      </c>
    </row>
    <row r="58" spans="1:21" ht="21.75" customHeight="1">
      <c r="A58" s="54"/>
      <c r="B58" s="55" t="s">
        <v>126</v>
      </c>
      <c r="C58" s="1700" t="s">
        <v>127</v>
      </c>
      <c r="D58" s="1700"/>
      <c r="E58" s="57" t="s">
        <v>128</v>
      </c>
      <c r="F58" s="1116"/>
      <c r="G58" s="1103"/>
      <c r="H58" s="98"/>
      <c r="I58" s="98"/>
      <c r="J58" s="97"/>
      <c r="K58" s="98"/>
      <c r="L58" s="98"/>
      <c r="M58" s="98"/>
      <c r="N58" s="98"/>
      <c r="O58" s="99"/>
      <c r="P58" s="940"/>
      <c r="Q58" s="98">
        <f>SUM(Q59:Q60)</f>
        <v>0</v>
      </c>
      <c r="R58" s="98">
        <f>SUM(R59:R60)</f>
        <v>0</v>
      </c>
      <c r="S58" s="98">
        <f>SUM(S59:S60)</f>
        <v>0</v>
      </c>
      <c r="T58" s="98">
        <f>SUM(T59:T60)</f>
        <v>0</v>
      </c>
      <c r="U58" s="941">
        <f>SUM(U59:U60)</f>
        <v>0</v>
      </c>
    </row>
    <row r="59" spans="1:21" ht="21.75" customHeight="1">
      <c r="A59" s="34"/>
      <c r="B59" s="78" t="s">
        <v>129</v>
      </c>
      <c r="C59" s="1700" t="s">
        <v>130</v>
      </c>
      <c r="D59" s="1700"/>
      <c r="E59" s="57" t="s">
        <v>131</v>
      </c>
      <c r="F59" s="1117"/>
      <c r="G59" s="877"/>
      <c r="H59" s="104"/>
      <c r="I59" s="104"/>
      <c r="J59" s="105"/>
      <c r="K59" s="104"/>
      <c r="L59" s="104"/>
      <c r="M59" s="104"/>
      <c r="N59" s="104"/>
      <c r="O59" s="106"/>
      <c r="P59" s="944"/>
      <c r="Q59" s="104"/>
      <c r="R59" s="104"/>
      <c r="S59" s="104"/>
      <c r="T59" s="104"/>
      <c r="U59" s="945"/>
    </row>
    <row r="60" spans="1:21" ht="21.75" customHeight="1" thickBot="1">
      <c r="A60" s="34"/>
      <c r="B60" s="78" t="s">
        <v>132</v>
      </c>
      <c r="C60" s="1700" t="s">
        <v>133</v>
      </c>
      <c r="D60" s="1700"/>
      <c r="E60" s="57" t="s">
        <v>134</v>
      </c>
      <c r="F60" s="1118">
        <v>172033423</v>
      </c>
      <c r="G60" s="877">
        <v>172643308</v>
      </c>
      <c r="H60" s="104">
        <v>171519422</v>
      </c>
      <c r="I60" s="104">
        <v>171519422</v>
      </c>
      <c r="J60" s="105"/>
      <c r="K60" s="104"/>
      <c r="L60" s="104"/>
      <c r="M60" s="104"/>
      <c r="N60" s="104"/>
      <c r="O60" s="106"/>
      <c r="P60" s="944"/>
      <c r="Q60" s="104"/>
      <c r="R60" s="104"/>
      <c r="S60" s="104"/>
      <c r="T60" s="104"/>
      <c r="U60" s="945"/>
    </row>
    <row r="61" spans="1:21" ht="21.75" customHeight="1" thickBot="1">
      <c r="A61" s="82"/>
      <c r="B61" s="1295" t="s">
        <v>584</v>
      </c>
      <c r="C61" s="1707" t="s">
        <v>585</v>
      </c>
      <c r="D61" s="1708"/>
      <c r="E61" s="164" t="s">
        <v>586</v>
      </c>
      <c r="F61" s="1296"/>
      <c r="G61" s="879"/>
      <c r="H61" s="879">
        <v>5357736</v>
      </c>
      <c r="I61" s="879">
        <v>5357736</v>
      </c>
      <c r="J61" s="278"/>
      <c r="K61" s="879"/>
      <c r="L61" s="879"/>
      <c r="M61" s="879"/>
      <c r="N61" s="879"/>
      <c r="O61" s="1297"/>
      <c r="P61" s="1298"/>
      <c r="Q61" s="277"/>
      <c r="R61" s="277"/>
      <c r="S61" s="277"/>
      <c r="T61" s="277"/>
      <c r="U61" s="1299"/>
    </row>
    <row r="62" spans="1:21" ht="35.25" customHeight="1" thickBot="1">
      <c r="A62" s="67" t="s">
        <v>135</v>
      </c>
      <c r="B62" s="1742" t="s">
        <v>136</v>
      </c>
      <c r="C62" s="1742"/>
      <c r="D62" s="1742"/>
      <c r="E62" s="108"/>
      <c r="F62" s="96">
        <f>F56+F57</f>
        <v>377971336</v>
      </c>
      <c r="G62" s="96">
        <f t="shared" ref="G62:P62" si="6">G56+G57</f>
        <v>443134365</v>
      </c>
      <c r="H62" s="96">
        <f t="shared" si="6"/>
        <v>454273310</v>
      </c>
      <c r="I62" s="96">
        <f t="shared" si="6"/>
        <v>448985381</v>
      </c>
      <c r="J62" s="96">
        <f t="shared" si="6"/>
        <v>0</v>
      </c>
      <c r="K62" s="96">
        <f t="shared" si="6"/>
        <v>0</v>
      </c>
      <c r="L62" s="96">
        <f t="shared" si="6"/>
        <v>0</v>
      </c>
      <c r="M62" s="96">
        <f t="shared" si="6"/>
        <v>0</v>
      </c>
      <c r="N62" s="96">
        <f t="shared" si="6"/>
        <v>0</v>
      </c>
      <c r="O62" s="870">
        <f t="shared" si="6"/>
        <v>0</v>
      </c>
      <c r="P62" s="946">
        <f t="shared" si="6"/>
        <v>0</v>
      </c>
      <c r="Q62" s="947" t="e">
        <f>Q56+Q57</f>
        <v>#REF!</v>
      </c>
      <c r="R62" s="947" t="e">
        <f>R56+R57</f>
        <v>#REF!</v>
      </c>
      <c r="S62" s="947" t="e">
        <f>S56+S57</f>
        <v>#REF!</v>
      </c>
      <c r="T62" s="947" t="e">
        <f>T56+T57</f>
        <v>#REF!</v>
      </c>
      <c r="U62" s="948" t="e">
        <f>U56+U57</f>
        <v>#REF!</v>
      </c>
    </row>
    <row r="63" spans="1:21" ht="21.75" hidden="1" customHeight="1" thickBot="1">
      <c r="A63" s="1696" t="s">
        <v>137</v>
      </c>
      <c r="B63" s="1696"/>
      <c r="C63" s="1696"/>
      <c r="D63" s="1696"/>
      <c r="E63" s="109"/>
      <c r="F63" s="110"/>
      <c r="G63" s="111"/>
      <c r="H63" s="111"/>
      <c r="I63" s="112"/>
      <c r="J63" s="110"/>
      <c r="K63" s="111"/>
      <c r="L63" s="111"/>
      <c r="M63" s="111"/>
      <c r="N63" s="111"/>
      <c r="O63" s="112"/>
      <c r="P63" s="882"/>
      <c r="Q63" s="904"/>
      <c r="R63" s="904"/>
      <c r="S63" s="904"/>
      <c r="T63" s="904"/>
      <c r="U63" s="905"/>
    </row>
    <row r="64" spans="1:21" ht="21.75" hidden="1" customHeight="1">
      <c r="A64" s="1697" t="s">
        <v>138</v>
      </c>
      <c r="B64" s="1697"/>
      <c r="C64" s="1697"/>
      <c r="D64" s="1697"/>
      <c r="E64" s="113"/>
      <c r="F64" s="114"/>
      <c r="G64" s="115"/>
      <c r="H64" s="115"/>
      <c r="I64" s="116"/>
      <c r="J64" s="114"/>
      <c r="K64" s="115"/>
      <c r="L64" s="115"/>
      <c r="M64" s="115"/>
      <c r="N64" s="115"/>
      <c r="O64" s="116"/>
      <c r="P64" s="114"/>
      <c r="Q64" s="115"/>
      <c r="R64" s="115"/>
      <c r="S64" s="115"/>
      <c r="T64" s="115"/>
      <c r="U64" s="117"/>
    </row>
    <row r="65" spans="1:21" ht="21.75" customHeight="1">
      <c r="A65" s="118"/>
      <c r="B65" s="119"/>
      <c r="C65" s="119"/>
      <c r="D65" s="119"/>
      <c r="E65" s="119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</row>
    <row r="67" spans="1:21" ht="35.25" customHeight="1"/>
    <row r="68" spans="1:21" ht="35.25" customHeight="1"/>
    <row r="73" spans="1:21" ht="48.75" customHeight="1"/>
    <row r="74" spans="1:21" ht="46.5" customHeight="1"/>
    <row r="75" spans="1:21" ht="41.25" customHeight="1"/>
  </sheetData>
  <sheetProtection selectLockedCells="1" selectUnlockedCells="1"/>
  <mergeCells count="47">
    <mergeCell ref="B7:D7"/>
    <mergeCell ref="C8:D8"/>
    <mergeCell ref="C13:D13"/>
    <mergeCell ref="A2:P2"/>
    <mergeCell ref="A4:C4"/>
    <mergeCell ref="F4:I4"/>
    <mergeCell ref="J4:O4"/>
    <mergeCell ref="P4:U4"/>
    <mergeCell ref="B6:D6"/>
    <mergeCell ref="C36:D36"/>
    <mergeCell ref="B21:D21"/>
    <mergeCell ref="C22:D22"/>
    <mergeCell ref="C23:D23"/>
    <mergeCell ref="C24:D24"/>
    <mergeCell ref="C29:D29"/>
    <mergeCell ref="C30:D30"/>
    <mergeCell ref="C31:D31"/>
    <mergeCell ref="C32:D32"/>
    <mergeCell ref="B33:D33"/>
    <mergeCell ref="C34:D34"/>
    <mergeCell ref="C35:D35"/>
    <mergeCell ref="C16:D16"/>
    <mergeCell ref="C17:D17"/>
    <mergeCell ref="C20:D20"/>
    <mergeCell ref="C55:D55"/>
    <mergeCell ref="C37:D37"/>
    <mergeCell ref="B41:D41"/>
    <mergeCell ref="C42:D42"/>
    <mergeCell ref="C44:D44"/>
    <mergeCell ref="B62:D62"/>
    <mergeCell ref="C48:D48"/>
    <mergeCell ref="C49:D49"/>
    <mergeCell ref="B50:D50"/>
    <mergeCell ref="C51:D51"/>
    <mergeCell ref="C52:D52"/>
    <mergeCell ref="B53:D53"/>
    <mergeCell ref="C61:D61"/>
    <mergeCell ref="C43:D43"/>
    <mergeCell ref="C28:D28"/>
    <mergeCell ref="C54:D54"/>
    <mergeCell ref="A63:D63"/>
    <mergeCell ref="A64:D64"/>
    <mergeCell ref="B56:D56"/>
    <mergeCell ref="B57:D57"/>
    <mergeCell ref="C58:D58"/>
    <mergeCell ref="C59:D59"/>
    <mergeCell ref="C60:D60"/>
  </mergeCells>
  <phoneticPr fontId="0" type="noConversion"/>
  <printOptions horizontalCentered="1"/>
  <pageMargins left="0.59027777777777779" right="0.59027777777777779" top="0.59027777777777779" bottom="0.59027777777777779" header="0.51180555555555551" footer="0.51180555555555551"/>
  <pageSetup paperSize="9" scale="43" firstPageNumber="0" orientation="portrait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view="pageBreakPreview" topLeftCell="A13" zoomScale="60" zoomScaleNormal="75" workbookViewId="0">
      <selection activeCell="N44" sqref="N44"/>
    </sheetView>
  </sheetViews>
  <sheetFormatPr defaultColWidth="11.42578125" defaultRowHeight="15.75"/>
  <cols>
    <col min="1" max="1" width="5.85546875" style="121" customWidth="1"/>
    <col min="2" max="2" width="8.140625" style="122" customWidth="1"/>
    <col min="3" max="3" width="6.85546875" style="122" customWidth="1"/>
    <col min="4" max="4" width="50.140625" style="123" customWidth="1"/>
    <col min="5" max="5" width="8.85546875" style="123" customWidth="1"/>
    <col min="6" max="6" width="17.140625" style="124" customWidth="1"/>
    <col min="7" max="7" width="16" style="124" bestFit="1" customWidth="1"/>
    <col min="8" max="8" width="14.85546875" style="124" customWidth="1"/>
    <col min="9" max="9" width="16" style="124" bestFit="1" customWidth="1"/>
    <col min="10" max="10" width="15.5703125" style="125" customWidth="1"/>
    <col min="11" max="11" width="14.85546875" style="125" customWidth="1"/>
    <col min="12" max="12" width="15.85546875" style="125" customWidth="1"/>
    <col min="13" max="13" width="15.140625" style="125" customWidth="1"/>
    <col min="14" max="14" width="13.140625" style="125" customWidth="1"/>
    <col min="15" max="16" width="11.42578125" style="124" customWidth="1"/>
    <col min="17" max="17" width="12.140625" style="124" bestFit="1" customWidth="1"/>
    <col min="18" max="16384" width="11.42578125" style="124"/>
  </cols>
  <sheetData>
    <row r="1" spans="1:14">
      <c r="F1" s="1776" t="s">
        <v>248</v>
      </c>
      <c r="G1" s="1776"/>
      <c r="H1" s="1776"/>
      <c r="I1" s="1776"/>
      <c r="J1" s="1776"/>
      <c r="K1" s="1776"/>
      <c r="L1" s="1776"/>
      <c r="M1" s="1776"/>
      <c r="N1" s="1776"/>
    </row>
    <row r="2" spans="1:14" ht="37.5" customHeight="1">
      <c r="A2" s="1777" t="s">
        <v>560</v>
      </c>
      <c r="B2" s="1777"/>
      <c r="C2" s="1777"/>
      <c r="D2" s="1777"/>
      <c r="E2" s="1777"/>
      <c r="F2" s="1777"/>
      <c r="G2" s="1777"/>
      <c r="H2" s="1777"/>
      <c r="I2" s="1777"/>
      <c r="J2" s="1777"/>
      <c r="K2" s="1777"/>
      <c r="L2" s="1777"/>
      <c r="M2" s="1777"/>
      <c r="N2" s="1777"/>
    </row>
    <row r="3" spans="1:14" ht="14.25" customHeight="1" thickBot="1">
      <c r="A3" s="273"/>
      <c r="B3" s="127"/>
      <c r="C3" s="127"/>
      <c r="D3" s="9"/>
      <c r="E3" s="128"/>
      <c r="N3" s="129" t="s">
        <v>490</v>
      </c>
    </row>
    <row r="4" spans="1:14" s="9" customFormat="1" ht="48.75" customHeight="1" thickBot="1">
      <c r="A4" s="1743" t="s">
        <v>139</v>
      </c>
      <c r="B4" s="1743"/>
      <c r="C4" s="1743"/>
      <c r="D4" s="1743"/>
      <c r="E4" s="130" t="s">
        <v>4</v>
      </c>
      <c r="F4" s="1743" t="s">
        <v>5</v>
      </c>
      <c r="G4" s="1743"/>
      <c r="H4" s="1743"/>
      <c r="I4" s="1743"/>
      <c r="J4" s="1743" t="s">
        <v>6</v>
      </c>
      <c r="K4" s="1743"/>
      <c r="L4" s="1743"/>
      <c r="M4" s="1743"/>
      <c r="N4" s="1406" t="s">
        <v>7</v>
      </c>
    </row>
    <row r="5" spans="1:14" s="9" customFormat="1" ht="16.5" customHeight="1" thickBot="1">
      <c r="A5" s="130"/>
      <c r="B5" s="131"/>
      <c r="C5" s="131"/>
      <c r="D5" s="131"/>
      <c r="E5" s="130"/>
      <c r="F5" s="274" t="s">
        <v>9</v>
      </c>
      <c r="G5" s="275" t="s">
        <v>141</v>
      </c>
      <c r="H5" s="275" t="s">
        <v>142</v>
      </c>
      <c r="I5" s="276" t="s">
        <v>301</v>
      </c>
      <c r="J5" s="274" t="s">
        <v>9</v>
      </c>
      <c r="K5" s="275" t="s">
        <v>141</v>
      </c>
      <c r="L5" s="275" t="s">
        <v>142</v>
      </c>
      <c r="M5" s="869" t="s">
        <v>301</v>
      </c>
      <c r="N5" s="893" t="s">
        <v>9</v>
      </c>
    </row>
    <row r="6" spans="1:14" s="136" customFormat="1" ht="22.5" customHeight="1" thickBot="1">
      <c r="A6" s="67" t="s">
        <v>15</v>
      </c>
      <c r="B6" s="1734" t="s">
        <v>146</v>
      </c>
      <c r="C6" s="1734"/>
      <c r="D6" s="1734"/>
      <c r="E6" s="67"/>
      <c r="F6" s="96">
        <f>F7+F8+F9+F10+F11</f>
        <v>95921221</v>
      </c>
      <c r="G6" s="96">
        <f t="shared" ref="G6:N6" si="0">G7+G8+G9+G10+G11</f>
        <v>99232575</v>
      </c>
      <c r="H6" s="96">
        <f t="shared" si="0"/>
        <v>106605679</v>
      </c>
      <c r="I6" s="96">
        <f t="shared" si="0"/>
        <v>89761282</v>
      </c>
      <c r="J6" s="96">
        <f t="shared" si="0"/>
        <v>95921221</v>
      </c>
      <c r="K6" s="96">
        <f t="shared" si="0"/>
        <v>99232575</v>
      </c>
      <c r="L6" s="96">
        <f t="shared" si="0"/>
        <v>106605679</v>
      </c>
      <c r="M6" s="870">
        <f t="shared" si="0"/>
        <v>89761282</v>
      </c>
      <c r="N6" s="883">
        <f t="shared" si="0"/>
        <v>0</v>
      </c>
    </row>
    <row r="7" spans="1:14" s="143" customFormat="1" ht="22.5" customHeight="1">
      <c r="A7" s="137"/>
      <c r="B7" s="138" t="s">
        <v>18</v>
      </c>
      <c r="C7" s="138"/>
      <c r="D7" s="139" t="s">
        <v>147</v>
      </c>
      <c r="E7" s="140" t="s">
        <v>148</v>
      </c>
      <c r="F7" s="141">
        <v>15346779</v>
      </c>
      <c r="G7" s="142">
        <v>15509286</v>
      </c>
      <c r="H7" s="142">
        <v>17998297</v>
      </c>
      <c r="I7" s="142">
        <v>17521810</v>
      </c>
      <c r="J7" s="141">
        <v>15346779</v>
      </c>
      <c r="K7" s="142">
        <v>15509286</v>
      </c>
      <c r="L7" s="142">
        <v>17998297</v>
      </c>
      <c r="M7" s="871">
        <v>17521810</v>
      </c>
      <c r="N7" s="884"/>
    </row>
    <row r="8" spans="1:14" s="143" customFormat="1" ht="22.5" customHeight="1">
      <c r="A8" s="144"/>
      <c r="B8" s="145" t="s">
        <v>28</v>
      </c>
      <c r="C8" s="145"/>
      <c r="D8" s="146" t="s">
        <v>149</v>
      </c>
      <c r="E8" s="140" t="s">
        <v>150</v>
      </c>
      <c r="F8" s="141">
        <v>2106064</v>
      </c>
      <c r="G8" s="104">
        <v>2106064</v>
      </c>
      <c r="H8" s="104">
        <v>2388064</v>
      </c>
      <c r="I8" s="104">
        <v>2384388</v>
      </c>
      <c r="J8" s="141">
        <v>2106064</v>
      </c>
      <c r="K8" s="104">
        <v>2106064</v>
      </c>
      <c r="L8" s="104">
        <v>2388064</v>
      </c>
      <c r="M8" s="871">
        <v>2384388</v>
      </c>
      <c r="N8" s="885"/>
    </row>
    <row r="9" spans="1:14" s="143" customFormat="1" ht="22.5" customHeight="1">
      <c r="A9" s="144"/>
      <c r="B9" s="145" t="s">
        <v>151</v>
      </c>
      <c r="C9" s="145"/>
      <c r="D9" s="146" t="s">
        <v>152</v>
      </c>
      <c r="E9" s="140" t="s">
        <v>153</v>
      </c>
      <c r="F9" s="141">
        <v>62127378</v>
      </c>
      <c r="G9" s="104">
        <f>64220424+2341500-2070255-558969</f>
        <v>63932700</v>
      </c>
      <c r="H9" s="104">
        <f>68413594</f>
        <v>68413594</v>
      </c>
      <c r="I9" s="104">
        <v>52776650</v>
      </c>
      <c r="J9" s="141">
        <v>62127378</v>
      </c>
      <c r="K9" s="104">
        <v>63932700</v>
      </c>
      <c r="L9" s="104">
        <v>68413594</v>
      </c>
      <c r="M9" s="871">
        <v>52776650</v>
      </c>
      <c r="N9" s="885"/>
    </row>
    <row r="10" spans="1:14" s="143" customFormat="1" ht="22.5" customHeight="1">
      <c r="A10" s="144"/>
      <c r="B10" s="145" t="s">
        <v>38</v>
      </c>
      <c r="C10" s="145"/>
      <c r="D10" s="146" t="s">
        <v>154</v>
      </c>
      <c r="E10" s="140" t="s">
        <v>155</v>
      </c>
      <c r="F10" s="141">
        <v>4660000</v>
      </c>
      <c r="G10" s="104">
        <v>4660000</v>
      </c>
      <c r="H10" s="104">
        <v>4781199</v>
      </c>
      <c r="I10" s="104">
        <v>4781199</v>
      </c>
      <c r="J10" s="141">
        <v>4660000</v>
      </c>
      <c r="K10" s="104">
        <v>4660000</v>
      </c>
      <c r="L10" s="104">
        <v>4781199</v>
      </c>
      <c r="M10" s="871">
        <v>4781199</v>
      </c>
      <c r="N10" s="885"/>
    </row>
    <row r="11" spans="1:14" s="143" customFormat="1" ht="22.5" customHeight="1">
      <c r="A11" s="144"/>
      <c r="B11" s="145" t="s">
        <v>45</v>
      </c>
      <c r="C11" s="145"/>
      <c r="D11" s="147" t="s">
        <v>156</v>
      </c>
      <c r="E11" s="148" t="s">
        <v>157</v>
      </c>
      <c r="F11" s="105">
        <f>F13+F14</f>
        <v>11681000</v>
      </c>
      <c r="G11" s="104">
        <f>SUM(G12:G14)</f>
        <v>13024525</v>
      </c>
      <c r="H11" s="104">
        <f>SUM(H12:H14)</f>
        <v>13024525</v>
      </c>
      <c r="I11" s="104">
        <f>SUM(I12:I14)</f>
        <v>12297235</v>
      </c>
      <c r="J11" s="141">
        <f>SUM(J12:J14)</f>
        <v>11681000</v>
      </c>
      <c r="K11" s="141">
        <f>SUM(K12:K14)</f>
        <v>13024525</v>
      </c>
      <c r="L11" s="104">
        <v>13024525</v>
      </c>
      <c r="M11" s="871">
        <v>12297235</v>
      </c>
      <c r="N11" s="885"/>
    </row>
    <row r="12" spans="1:14" s="143" customFormat="1" ht="28.5" customHeight="1">
      <c r="A12" s="144"/>
      <c r="B12" s="149"/>
      <c r="C12" s="145" t="s">
        <v>158</v>
      </c>
      <c r="D12" s="146" t="s">
        <v>159</v>
      </c>
      <c r="E12" s="140" t="s">
        <v>249</v>
      </c>
      <c r="F12" s="105"/>
      <c r="G12" s="104">
        <v>916525</v>
      </c>
      <c r="H12" s="104">
        <v>916525</v>
      </c>
      <c r="I12" s="104">
        <v>916525</v>
      </c>
      <c r="J12" s="141"/>
      <c r="K12" s="104">
        <v>916525</v>
      </c>
      <c r="L12" s="104">
        <v>916525</v>
      </c>
      <c r="M12" s="871">
        <v>916525</v>
      </c>
      <c r="N12" s="885"/>
    </row>
    <row r="13" spans="1:14" s="143" customFormat="1" ht="31.5" customHeight="1">
      <c r="A13" s="144"/>
      <c r="B13" s="145"/>
      <c r="C13" s="145" t="s">
        <v>160</v>
      </c>
      <c r="D13" s="146" t="s">
        <v>161</v>
      </c>
      <c r="E13" s="140" t="s">
        <v>512</v>
      </c>
      <c r="F13" s="105">
        <v>5605000</v>
      </c>
      <c r="G13" s="104">
        <v>5655000</v>
      </c>
      <c r="H13" s="104">
        <v>5655000</v>
      </c>
      <c r="I13" s="104">
        <v>5162950</v>
      </c>
      <c r="J13" s="141">
        <v>5605000</v>
      </c>
      <c r="K13" s="104">
        <v>5655000</v>
      </c>
      <c r="L13" s="104">
        <v>5655000</v>
      </c>
      <c r="M13" s="871">
        <v>5162950</v>
      </c>
      <c r="N13" s="885"/>
    </row>
    <row r="14" spans="1:14" s="143" customFormat="1" ht="36.75" customHeight="1" thickBot="1">
      <c r="A14" s="150"/>
      <c r="B14" s="151"/>
      <c r="C14" s="145" t="s">
        <v>162</v>
      </c>
      <c r="D14" s="146" t="s">
        <v>163</v>
      </c>
      <c r="E14" s="140" t="s">
        <v>250</v>
      </c>
      <c r="F14" s="105">
        <f>1490000+4586000</f>
        <v>6076000</v>
      </c>
      <c r="G14" s="104">
        <v>6453000</v>
      </c>
      <c r="H14" s="104">
        <v>6453000</v>
      </c>
      <c r="I14" s="104">
        <v>6217760</v>
      </c>
      <c r="J14" s="141">
        <v>6076000</v>
      </c>
      <c r="K14" s="104">
        <v>6453000</v>
      </c>
      <c r="L14" s="104">
        <v>6453000</v>
      </c>
      <c r="M14" s="871">
        <v>6217760</v>
      </c>
      <c r="N14" s="885"/>
    </row>
    <row r="15" spans="1:14" s="143" customFormat="1" ht="22.5" hidden="1" customHeight="1" thickBot="1">
      <c r="A15" s="144"/>
      <c r="B15" s="145"/>
      <c r="C15" s="145" t="s">
        <v>164</v>
      </c>
      <c r="D15" s="146" t="s">
        <v>165</v>
      </c>
      <c r="E15" s="140"/>
      <c r="F15" s="105"/>
      <c r="G15" s="104"/>
      <c r="H15" s="104"/>
      <c r="I15" s="104"/>
      <c r="J15" s="105"/>
      <c r="K15" s="104"/>
      <c r="L15" s="104"/>
      <c r="M15" s="871"/>
      <c r="N15" s="885"/>
    </row>
    <row r="16" spans="1:14" s="143" customFormat="1" ht="22.5" hidden="1" customHeight="1" thickBot="1">
      <c r="A16" s="152"/>
      <c r="B16" s="153"/>
      <c r="C16" s="153" t="s">
        <v>166</v>
      </c>
      <c r="D16" s="154" t="s">
        <v>167</v>
      </c>
      <c r="E16" s="155"/>
      <c r="F16" s="100"/>
      <c r="G16" s="101"/>
      <c r="H16" s="101"/>
      <c r="I16" s="101"/>
      <c r="J16" s="100"/>
      <c r="K16" s="101"/>
      <c r="L16" s="101"/>
      <c r="M16" s="871"/>
      <c r="N16" s="886"/>
    </row>
    <row r="17" spans="1:14" s="143" customFormat="1" ht="22.5" customHeight="1" thickBot="1">
      <c r="A17" s="67" t="s">
        <v>168</v>
      </c>
      <c r="B17" s="1734" t="s">
        <v>169</v>
      </c>
      <c r="C17" s="1734"/>
      <c r="D17" s="1734"/>
      <c r="E17" s="135"/>
      <c r="F17" s="96">
        <f>F18+F19+F20</f>
        <v>20406100</v>
      </c>
      <c r="G17" s="96">
        <f t="shared" ref="G17:N17" si="1">G18+G19+G20</f>
        <v>39193018</v>
      </c>
      <c r="H17" s="96">
        <f t="shared" si="1"/>
        <v>72662868</v>
      </c>
      <c r="I17" s="96">
        <f t="shared" si="1"/>
        <v>71415526</v>
      </c>
      <c r="J17" s="96">
        <f t="shared" si="1"/>
        <v>20406100</v>
      </c>
      <c r="K17" s="96">
        <f t="shared" si="1"/>
        <v>39193018</v>
      </c>
      <c r="L17" s="96">
        <f t="shared" si="1"/>
        <v>72662868</v>
      </c>
      <c r="M17" s="870">
        <f t="shared" si="1"/>
        <v>71415526</v>
      </c>
      <c r="N17" s="883">
        <f t="shared" si="1"/>
        <v>0</v>
      </c>
    </row>
    <row r="18" spans="1:14" s="143" customFormat="1" ht="22.5" customHeight="1">
      <c r="A18" s="137"/>
      <c r="B18" s="138" t="s">
        <v>51</v>
      </c>
      <c r="C18" s="1741" t="s">
        <v>170</v>
      </c>
      <c r="D18" s="1741"/>
      <c r="E18" s="157" t="s">
        <v>171</v>
      </c>
      <c r="F18" s="141">
        <v>7175500</v>
      </c>
      <c r="G18" s="1208">
        <f>12973802+12988616</f>
        <v>25962418</v>
      </c>
      <c r="H18" s="142">
        <v>58982268</v>
      </c>
      <c r="I18" s="142">
        <v>58221661</v>
      </c>
      <c r="J18" s="141">
        <v>7175500</v>
      </c>
      <c r="K18" s="142">
        <v>25962418</v>
      </c>
      <c r="L18" s="142">
        <v>58982268</v>
      </c>
      <c r="M18" s="871">
        <v>58221661</v>
      </c>
      <c r="N18" s="884"/>
    </row>
    <row r="19" spans="1:14" s="143" customFormat="1" ht="22.5" customHeight="1">
      <c r="A19" s="144"/>
      <c r="B19" s="145" t="s">
        <v>54</v>
      </c>
      <c r="C19" s="1745" t="s">
        <v>172</v>
      </c>
      <c r="D19" s="1745"/>
      <c r="E19" s="157" t="s">
        <v>173</v>
      </c>
      <c r="F19" s="105">
        <v>11340600</v>
      </c>
      <c r="G19" s="104">
        <f>11340600</f>
        <v>11340600</v>
      </c>
      <c r="H19" s="104">
        <f>11743604-403004</f>
        <v>11340600</v>
      </c>
      <c r="I19" s="104">
        <v>10853865</v>
      </c>
      <c r="J19" s="105">
        <v>11340600</v>
      </c>
      <c r="K19" s="104">
        <v>11340600</v>
      </c>
      <c r="L19" s="104">
        <v>11340600</v>
      </c>
      <c r="M19" s="106">
        <v>10853865</v>
      </c>
      <c r="N19" s="885"/>
    </row>
    <row r="20" spans="1:14" s="143" customFormat="1" ht="22.5" customHeight="1">
      <c r="A20" s="158"/>
      <c r="B20" s="145" t="s">
        <v>57</v>
      </c>
      <c r="C20" s="1702" t="s">
        <v>174</v>
      </c>
      <c r="D20" s="1702"/>
      <c r="E20" s="57" t="s">
        <v>175</v>
      </c>
      <c r="F20" s="105">
        <f>F21</f>
        <v>1890000</v>
      </c>
      <c r="G20" s="105">
        <f>G21</f>
        <v>1890000</v>
      </c>
      <c r="H20" s="105">
        <f>H21</f>
        <v>2340000</v>
      </c>
      <c r="I20" s="105">
        <f>I21</f>
        <v>2340000</v>
      </c>
      <c r="J20" s="105">
        <f>SUM(J21)</f>
        <v>1890000</v>
      </c>
      <c r="K20" s="104">
        <f>SUM(K21)</f>
        <v>1890000</v>
      </c>
      <c r="L20" s="104">
        <v>2340000</v>
      </c>
      <c r="M20" s="106">
        <v>2340000</v>
      </c>
      <c r="N20" s="885"/>
    </row>
    <row r="21" spans="1:14" s="143" customFormat="1" ht="22.5" customHeight="1">
      <c r="A21" s="159"/>
      <c r="B21" s="160"/>
      <c r="C21" s="160" t="s">
        <v>60</v>
      </c>
      <c r="D21" s="36" t="s">
        <v>176</v>
      </c>
      <c r="E21" s="57"/>
      <c r="F21" s="105">
        <v>1890000</v>
      </c>
      <c r="G21" s="104">
        <v>1890000</v>
      </c>
      <c r="H21" s="104">
        <v>2340000</v>
      </c>
      <c r="I21" s="104">
        <v>2340000</v>
      </c>
      <c r="J21" s="105">
        <v>1890000</v>
      </c>
      <c r="K21" s="104">
        <v>1890000</v>
      </c>
      <c r="L21" s="104">
        <v>2340000</v>
      </c>
      <c r="M21" s="871">
        <v>2340000</v>
      </c>
      <c r="N21" s="885"/>
    </row>
    <row r="22" spans="1:14" s="143" customFormat="1" ht="22.5" customHeight="1">
      <c r="A22" s="159"/>
      <c r="B22" s="160"/>
      <c r="C22" s="160" t="s">
        <v>62</v>
      </c>
      <c r="D22" s="36" t="s">
        <v>177</v>
      </c>
      <c r="E22" s="57"/>
      <c r="F22" s="105"/>
      <c r="G22" s="104"/>
      <c r="H22" s="104"/>
      <c r="I22" s="104"/>
      <c r="J22" s="105"/>
      <c r="K22" s="104"/>
      <c r="L22" s="104"/>
      <c r="M22" s="106"/>
      <c r="N22" s="885"/>
    </row>
    <row r="23" spans="1:14" s="143" customFormat="1" ht="22.5" customHeight="1">
      <c r="A23" s="158"/>
      <c r="B23" s="36"/>
      <c r="C23" s="160" t="s">
        <v>64</v>
      </c>
      <c r="D23" s="36" t="s">
        <v>165</v>
      </c>
      <c r="E23" s="57"/>
      <c r="F23" s="105"/>
      <c r="G23" s="104"/>
      <c r="H23" s="104"/>
      <c r="I23" s="104"/>
      <c r="J23" s="105"/>
      <c r="K23" s="104"/>
      <c r="L23" s="104"/>
      <c r="M23" s="106"/>
      <c r="N23" s="885"/>
    </row>
    <row r="24" spans="1:14" s="143" customFormat="1" ht="22.5" customHeight="1" thickBot="1">
      <c r="A24" s="161"/>
      <c r="B24" s="162"/>
      <c r="C24" s="163" t="s">
        <v>178</v>
      </c>
      <c r="D24" s="162" t="s">
        <v>179</v>
      </c>
      <c r="E24" s="164"/>
      <c r="F24" s="278"/>
      <c r="G24" s="277"/>
      <c r="H24" s="277"/>
      <c r="I24" s="277"/>
      <c r="J24" s="278"/>
      <c r="K24" s="277"/>
      <c r="L24" s="277"/>
      <c r="M24" s="872"/>
      <c r="N24" s="887"/>
    </row>
    <row r="25" spans="1:14" s="143" customFormat="1" ht="22.5" customHeight="1" thickBot="1">
      <c r="A25" s="67" t="s">
        <v>76</v>
      </c>
      <c r="B25" s="1734" t="s">
        <v>180</v>
      </c>
      <c r="C25" s="1734"/>
      <c r="D25" s="1734"/>
      <c r="E25" s="135" t="s">
        <v>181</v>
      </c>
      <c r="F25" s="96">
        <f>F26+F27+F28</f>
        <v>156114425</v>
      </c>
      <c r="G25" s="96">
        <f t="shared" ref="G25:N25" si="2">G26+G27+G28</f>
        <v>196983767</v>
      </c>
      <c r="H25" s="96">
        <f t="shared" si="2"/>
        <v>167059654</v>
      </c>
      <c r="I25" s="96">
        <f t="shared" si="2"/>
        <v>0</v>
      </c>
      <c r="J25" s="96">
        <f t="shared" si="2"/>
        <v>156114425</v>
      </c>
      <c r="K25" s="96">
        <f t="shared" si="2"/>
        <v>196983767</v>
      </c>
      <c r="L25" s="96">
        <f t="shared" si="2"/>
        <v>167059654</v>
      </c>
      <c r="M25" s="870">
        <f t="shared" si="2"/>
        <v>0</v>
      </c>
      <c r="N25" s="883">
        <f t="shared" si="2"/>
        <v>0</v>
      </c>
    </row>
    <row r="26" spans="1:14" s="143" customFormat="1" ht="22.5" customHeight="1">
      <c r="A26" s="137"/>
      <c r="B26" s="138" t="s">
        <v>79</v>
      </c>
      <c r="C26" s="1741" t="s">
        <v>182</v>
      </c>
      <c r="D26" s="1741"/>
      <c r="E26" s="157"/>
      <c r="F26" s="141">
        <f>16048676-4550000+1298+450000+5399991</f>
        <v>17349965</v>
      </c>
      <c r="G26" s="142">
        <f>17349965-182877+671000+39000-50000+121741+943440+1125960-944500-2708423-2670776</f>
        <v>13694530</v>
      </c>
      <c r="H26" s="142">
        <f>10367828+403004+3</f>
        <v>10770835</v>
      </c>
      <c r="I26" s="142"/>
      <c r="J26" s="141">
        <v>17349965</v>
      </c>
      <c r="K26" s="142">
        <v>13694530</v>
      </c>
      <c r="L26" s="142">
        <v>10770835</v>
      </c>
      <c r="M26" s="871"/>
      <c r="N26" s="884"/>
    </row>
    <row r="27" spans="1:14" s="136" customFormat="1" ht="22.5" customHeight="1">
      <c r="A27" s="150"/>
      <c r="B27" s="145" t="s">
        <v>82</v>
      </c>
      <c r="C27" s="1704" t="s">
        <v>183</v>
      </c>
      <c r="D27" s="1704"/>
      <c r="E27" s="165"/>
      <c r="F27" s="141">
        <v>720000</v>
      </c>
      <c r="G27" s="104">
        <f>720000-121741</f>
        <v>598259</v>
      </c>
      <c r="H27" s="104">
        <v>598259</v>
      </c>
      <c r="I27" s="104"/>
      <c r="J27" s="141">
        <v>720000</v>
      </c>
      <c r="K27" s="104">
        <v>598259</v>
      </c>
      <c r="L27" s="104">
        <v>598259</v>
      </c>
      <c r="M27" s="106"/>
      <c r="N27" s="885"/>
    </row>
    <row r="28" spans="1:14" s="136" customFormat="1" ht="22.5" customHeight="1" thickBot="1">
      <c r="A28" s="166"/>
      <c r="B28" s="153" t="s">
        <v>84</v>
      </c>
      <c r="C28" s="167" t="s">
        <v>184</v>
      </c>
      <c r="D28" s="167"/>
      <c r="E28" s="168"/>
      <c r="F28" s="141">
        <f>7699991+130344469</f>
        <v>138044460</v>
      </c>
      <c r="G28" s="1209">
        <f>138044460-5365750+65942384-500000-100000-12988616-2341500</f>
        <v>182690978</v>
      </c>
      <c r="H28" s="101">
        <f>182690978-508000-2899972-32869671-215900+4999100-127000+4621025</f>
        <v>155690560</v>
      </c>
      <c r="I28" s="101"/>
      <c r="J28" s="141">
        <v>138044460</v>
      </c>
      <c r="K28" s="101">
        <v>182690978</v>
      </c>
      <c r="L28" s="101">
        <v>155690560</v>
      </c>
      <c r="M28" s="102"/>
      <c r="N28" s="886"/>
    </row>
    <row r="29" spans="1:14" s="136" customFormat="1" ht="22.5" hidden="1" customHeight="1" thickBot="1">
      <c r="A29" s="169" t="s">
        <v>95</v>
      </c>
      <c r="B29" s="170" t="s">
        <v>185</v>
      </c>
      <c r="C29" s="170"/>
      <c r="D29" s="170"/>
      <c r="E29" s="171"/>
      <c r="F29" s="172"/>
      <c r="G29" s="173"/>
      <c r="H29" s="173"/>
      <c r="I29" s="173"/>
      <c r="J29" s="172"/>
      <c r="K29" s="173"/>
      <c r="L29" s="173"/>
      <c r="M29" s="873"/>
      <c r="N29" s="888"/>
    </row>
    <row r="30" spans="1:14" s="136" customFormat="1" ht="22.5" hidden="1" customHeight="1" thickBot="1">
      <c r="A30" s="67"/>
      <c r="B30" s="1734"/>
      <c r="C30" s="1734"/>
      <c r="D30" s="1734"/>
      <c r="E30" s="108"/>
      <c r="N30" s="889"/>
    </row>
    <row r="31" spans="1:14" s="136" customFormat="1" ht="22.5" customHeight="1" thickBot="1">
      <c r="A31" s="67" t="s">
        <v>95</v>
      </c>
      <c r="B31" s="1742" t="s">
        <v>186</v>
      </c>
      <c r="C31" s="1742"/>
      <c r="D31" s="1742"/>
      <c r="E31" s="171"/>
      <c r="F31" s="96">
        <f>F6+F17+F25</f>
        <v>272441746</v>
      </c>
      <c r="G31" s="96">
        <f t="shared" ref="G31:N31" si="3">G6+G17+G25</f>
        <v>335409360</v>
      </c>
      <c r="H31" s="96">
        <f t="shared" si="3"/>
        <v>346328201</v>
      </c>
      <c r="I31" s="96">
        <f t="shared" si="3"/>
        <v>161176808</v>
      </c>
      <c r="J31" s="96">
        <f t="shared" si="3"/>
        <v>272441746</v>
      </c>
      <c r="K31" s="96">
        <f t="shared" si="3"/>
        <v>335409360</v>
      </c>
      <c r="L31" s="96">
        <f t="shared" si="3"/>
        <v>346328201</v>
      </c>
      <c r="M31" s="870">
        <f t="shared" si="3"/>
        <v>161176808</v>
      </c>
      <c r="N31" s="883">
        <f t="shared" si="3"/>
        <v>0</v>
      </c>
    </row>
    <row r="32" spans="1:14" s="136" customFormat="1" ht="22.5" customHeight="1" thickBot="1">
      <c r="A32" s="169">
        <v>5</v>
      </c>
      <c r="B32" s="1735" t="s">
        <v>251</v>
      </c>
      <c r="C32" s="1735"/>
      <c r="D32" s="1735"/>
      <c r="E32" s="164" t="s">
        <v>188</v>
      </c>
      <c r="F32" s="68">
        <f t="shared" ref="F32:N32" si="4">F33+F34+F35</f>
        <v>105529590</v>
      </c>
      <c r="G32" s="68">
        <f t="shared" si="4"/>
        <v>107725005</v>
      </c>
      <c r="H32" s="68">
        <f t="shared" si="4"/>
        <v>107945109</v>
      </c>
      <c r="I32" s="68">
        <f t="shared" si="4"/>
        <v>107945109</v>
      </c>
      <c r="J32" s="68">
        <f t="shared" si="4"/>
        <v>105529590</v>
      </c>
      <c r="K32" s="68">
        <f t="shared" si="4"/>
        <v>107725005</v>
      </c>
      <c r="L32" s="68">
        <f t="shared" si="4"/>
        <v>107945109</v>
      </c>
      <c r="M32" s="874">
        <f t="shared" si="4"/>
        <v>107945109</v>
      </c>
      <c r="N32" s="890">
        <f t="shared" si="4"/>
        <v>0</v>
      </c>
    </row>
    <row r="33" spans="1:14" s="143" customFormat="1" ht="22.5" customHeight="1">
      <c r="A33" s="174"/>
      <c r="B33" s="138" t="s">
        <v>107</v>
      </c>
      <c r="C33" s="1773" t="s">
        <v>190</v>
      </c>
      <c r="D33" s="1773"/>
      <c r="E33" s="975" t="s">
        <v>252</v>
      </c>
      <c r="F33" s="141">
        <v>2444000</v>
      </c>
      <c r="G33" s="142">
        <v>2444000</v>
      </c>
      <c r="H33" s="142">
        <v>2444000</v>
      </c>
      <c r="I33" s="142">
        <v>2444000</v>
      </c>
      <c r="J33" s="141">
        <v>2444000</v>
      </c>
      <c r="K33" s="142">
        <v>2444000</v>
      </c>
      <c r="L33" s="142">
        <v>2444000</v>
      </c>
      <c r="M33" s="871">
        <v>2444000</v>
      </c>
      <c r="N33" s="884"/>
    </row>
    <row r="34" spans="1:14" s="143" customFormat="1" ht="22.5" customHeight="1">
      <c r="A34" s="804"/>
      <c r="B34" s="805" t="s">
        <v>110</v>
      </c>
      <c r="C34" s="1774" t="s">
        <v>489</v>
      </c>
      <c r="D34" s="1775"/>
      <c r="E34" s="976" t="s">
        <v>491</v>
      </c>
      <c r="F34" s="105">
        <v>3845170</v>
      </c>
      <c r="G34" s="104">
        <v>3845170</v>
      </c>
      <c r="H34" s="104">
        <v>3845170</v>
      </c>
      <c r="I34" s="104">
        <v>3845170</v>
      </c>
      <c r="J34" s="105">
        <v>3845170</v>
      </c>
      <c r="K34" s="104">
        <v>3845170</v>
      </c>
      <c r="L34" s="104">
        <v>3845170</v>
      </c>
      <c r="M34" s="106">
        <v>3845170</v>
      </c>
      <c r="N34" s="885"/>
    </row>
    <row r="35" spans="1:14" s="143" customFormat="1" ht="22.5" customHeight="1" thickBot="1">
      <c r="A35" s="279"/>
      <c r="B35" s="280" t="s">
        <v>276</v>
      </c>
      <c r="C35" s="180" t="s">
        <v>253</v>
      </c>
      <c r="D35" s="180"/>
      <c r="E35" s="177" t="s">
        <v>254</v>
      </c>
      <c r="F35" s="281">
        <f>'Vitnyédi KÖH'!J24+'5. sz. m óvoda'!J26</f>
        <v>99240420</v>
      </c>
      <c r="G35" s="1079">
        <f>99240420+2195415</f>
        <v>101435835</v>
      </c>
      <c r="H35" s="1079">
        <v>101655939</v>
      </c>
      <c r="I35" s="1079">
        <v>101655939</v>
      </c>
      <c r="J35" s="281">
        <v>99240420</v>
      </c>
      <c r="K35" s="1079">
        <v>101435835</v>
      </c>
      <c r="L35" s="1079">
        <v>101655939</v>
      </c>
      <c r="M35" s="1427">
        <v>101655939</v>
      </c>
      <c r="N35" s="891"/>
    </row>
    <row r="36" spans="1:14" s="143" customFormat="1" ht="22.5" customHeight="1" thickBot="1">
      <c r="A36" s="67" t="s">
        <v>113</v>
      </c>
      <c r="B36" s="1742" t="s">
        <v>255</v>
      </c>
      <c r="C36" s="1742"/>
      <c r="D36" s="1742"/>
      <c r="E36" s="108"/>
      <c r="F36" s="96">
        <f>F31+F32</f>
        <v>377971336</v>
      </c>
      <c r="G36" s="96">
        <f t="shared" ref="G36:N36" si="5">G31+G32</f>
        <v>443134365</v>
      </c>
      <c r="H36" s="96">
        <f t="shared" si="5"/>
        <v>454273310</v>
      </c>
      <c r="I36" s="96">
        <f t="shared" si="5"/>
        <v>269121917</v>
      </c>
      <c r="J36" s="96">
        <f t="shared" si="5"/>
        <v>377971336</v>
      </c>
      <c r="K36" s="96">
        <f t="shared" si="5"/>
        <v>443134365</v>
      </c>
      <c r="L36" s="96">
        <f t="shared" si="5"/>
        <v>454273310</v>
      </c>
      <c r="M36" s="870">
        <f t="shared" si="5"/>
        <v>269121917</v>
      </c>
      <c r="N36" s="892">
        <f t="shared" si="5"/>
        <v>0</v>
      </c>
    </row>
    <row r="37" spans="1:14" s="143" customFormat="1" ht="20.100000000000001" hidden="1" customHeight="1" thickBot="1">
      <c r="A37" s="1696" t="s">
        <v>192</v>
      </c>
      <c r="B37" s="1696"/>
      <c r="C37" s="1696"/>
      <c r="D37" s="1696"/>
      <c r="E37" s="109"/>
      <c r="F37" s="110"/>
      <c r="G37" s="111"/>
      <c r="H37" s="111"/>
      <c r="I37" s="112"/>
      <c r="J37" s="110"/>
      <c r="K37" s="111"/>
      <c r="L37" s="111"/>
      <c r="M37" s="112"/>
      <c r="N37" s="882"/>
    </row>
    <row r="38" spans="1:14" s="143" customFormat="1" ht="20.100000000000001" hidden="1" customHeight="1">
      <c r="A38" s="1697" t="s">
        <v>205</v>
      </c>
      <c r="B38" s="1697"/>
      <c r="C38" s="1697"/>
      <c r="D38" s="1697"/>
      <c r="E38" s="113"/>
      <c r="F38" s="114">
        <f>SUM(F36:F37)</f>
        <v>377971336</v>
      </c>
      <c r="G38" s="115">
        <f>SUM(G36:G37)</f>
        <v>443134365</v>
      </c>
      <c r="H38" s="115">
        <f>SUM(H36:H37)</f>
        <v>454273310</v>
      </c>
      <c r="I38" s="116"/>
      <c r="J38" s="114">
        <f>SUM(J36:J37)</f>
        <v>377971336</v>
      </c>
      <c r="K38" s="115">
        <f>SUM(K36:K37)</f>
        <v>443134365</v>
      </c>
      <c r="L38" s="115">
        <f>SUM(L36:L37)</f>
        <v>454273310</v>
      </c>
      <c r="M38" s="116"/>
      <c r="N38" s="114">
        <f>SUM(N36:N37)</f>
        <v>0</v>
      </c>
    </row>
    <row r="39" spans="1:14" s="143" customFormat="1" ht="20.100000000000001" customHeight="1">
      <c r="A39" s="282"/>
      <c r="B39" s="175"/>
      <c r="C39" s="282"/>
      <c r="D39" s="282"/>
      <c r="E39" s="282"/>
      <c r="F39" s="283"/>
      <c r="G39" s="283"/>
      <c r="H39" s="283"/>
      <c r="I39" s="283"/>
      <c r="J39" s="284"/>
      <c r="K39" s="284"/>
      <c r="L39" s="284"/>
      <c r="M39" s="284"/>
      <c r="N39" s="284"/>
    </row>
    <row r="40" spans="1:14" s="143" customFormat="1" ht="20.100000000000001" customHeight="1">
      <c r="A40" s="180"/>
      <c r="B40" s="280"/>
      <c r="C40" s="280"/>
      <c r="D40" s="123"/>
      <c r="E40" s="123"/>
      <c r="F40" s="181">
        <f>'3.sz.m Önk  bev.'!F62-'4.sz.m.ÖNK kiadás'!F36</f>
        <v>0</v>
      </c>
      <c r="G40" s="181"/>
      <c r="H40" s="181"/>
      <c r="I40" s="181"/>
      <c r="J40" s="182"/>
      <c r="K40" s="182"/>
      <c r="L40" s="182"/>
      <c r="M40" s="182"/>
      <c r="N40" s="182"/>
    </row>
  </sheetData>
  <sheetProtection selectLockedCells="1" selectUnlockedCells="1"/>
  <mergeCells count="21">
    <mergeCell ref="F1:N1"/>
    <mergeCell ref="A2:N2"/>
    <mergeCell ref="A4:D4"/>
    <mergeCell ref="F4:I4"/>
    <mergeCell ref="J4:M4"/>
    <mergeCell ref="C19:D19"/>
    <mergeCell ref="C20:D20"/>
    <mergeCell ref="C34:D34"/>
    <mergeCell ref="B36:D36"/>
    <mergeCell ref="B25:D25"/>
    <mergeCell ref="B6:D6"/>
    <mergeCell ref="B17:D17"/>
    <mergeCell ref="C18:D18"/>
    <mergeCell ref="A37:D37"/>
    <mergeCell ref="A38:D38"/>
    <mergeCell ref="C26:D26"/>
    <mergeCell ref="C27:D27"/>
    <mergeCell ref="B30:D30"/>
    <mergeCell ref="B31:D31"/>
    <mergeCell ref="B32:D32"/>
    <mergeCell ref="C33:D33"/>
  </mergeCells>
  <phoneticPr fontId="0" type="noConversion"/>
  <printOptions horizontalCentered="1"/>
  <pageMargins left="0.59027777777777779" right="0.59027777777777779" top="0.59027777777777779" bottom="0.59027777777777779" header="0.51180555555555551" footer="0.51180555555555551"/>
  <pageSetup paperSize="9" scale="42" firstPageNumber="0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1"/>
  <sheetViews>
    <sheetView view="pageBreakPreview" topLeftCell="A10" zoomScale="60" zoomScaleNormal="100" workbookViewId="0">
      <selection activeCell="M16" sqref="M16"/>
    </sheetView>
  </sheetViews>
  <sheetFormatPr defaultColWidth="11.42578125" defaultRowHeight="12.75"/>
  <cols>
    <col min="1" max="1" width="8.140625" style="285" customWidth="1"/>
    <col min="2" max="2" width="8.140625" style="286" customWidth="1"/>
    <col min="3" max="3" width="52" style="286" customWidth="1"/>
    <col min="4" max="4" width="8" style="286" customWidth="1"/>
    <col min="5" max="8" width="0" style="286" hidden="1" customWidth="1"/>
    <col min="9" max="9" width="0.140625" style="286" hidden="1" customWidth="1"/>
    <col min="10" max="10" width="11.140625" style="286" customWidth="1"/>
    <col min="11" max="11" width="12.140625" style="286" customWidth="1"/>
    <col min="12" max="12" width="10" style="286" bestFit="1" customWidth="1"/>
    <col min="13" max="13" width="10" style="286" customWidth="1"/>
    <col min="14" max="14" width="10.5703125" style="286" customWidth="1"/>
    <col min="15" max="16" width="11" style="286" customWidth="1"/>
    <col min="17" max="17" width="10" style="286" bestFit="1" customWidth="1"/>
    <col min="18" max="16384" width="11.42578125" style="286"/>
  </cols>
  <sheetData>
    <row r="1" spans="1:18" s="288" customFormat="1" ht="21" customHeight="1">
      <c r="A1" s="287"/>
      <c r="C1" s="289"/>
      <c r="D1" s="290"/>
      <c r="E1" s="290"/>
      <c r="F1" s="290"/>
      <c r="G1" s="290"/>
      <c r="H1" s="290"/>
      <c r="I1" s="290"/>
      <c r="P1" s="1787" t="s">
        <v>256</v>
      </c>
      <c r="Q1" s="1788"/>
      <c r="R1" s="1407"/>
    </row>
    <row r="2" spans="1:18" s="288" customFormat="1" ht="21" customHeight="1">
      <c r="A2" s="287"/>
      <c r="C2" s="9"/>
      <c r="D2" s="291"/>
      <c r="E2" s="291"/>
      <c r="F2" s="291"/>
      <c r="G2" s="291"/>
      <c r="H2" s="291"/>
      <c r="I2" s="291"/>
    </row>
    <row r="3" spans="1:18" s="292" customFormat="1" ht="25.5" customHeight="1">
      <c r="A3" s="1790" t="s">
        <v>503</v>
      </c>
      <c r="B3" s="1790"/>
      <c r="C3" s="1790"/>
      <c r="D3" s="1790"/>
      <c r="E3" s="1790"/>
      <c r="F3" s="1790"/>
      <c r="G3" s="1790"/>
      <c r="H3" s="1790"/>
      <c r="I3" s="1790"/>
      <c r="J3" s="1790"/>
      <c r="K3" s="1790"/>
      <c r="L3" s="1790"/>
      <c r="M3" s="1790"/>
      <c r="N3" s="1790"/>
    </row>
    <row r="4" spans="1:18" s="295" customFormat="1" ht="15.95" customHeight="1" thickBot="1">
      <c r="A4" s="293"/>
      <c r="B4" s="293"/>
      <c r="C4" s="294" t="s">
        <v>555</v>
      </c>
      <c r="Q4" s="296" t="s">
        <v>492</v>
      </c>
    </row>
    <row r="5" spans="1:18" s="295" customFormat="1" ht="41.25" customHeight="1" thickBot="1">
      <c r="A5" s="293"/>
      <c r="B5" s="293"/>
      <c r="C5" s="293"/>
      <c r="D5" s="1791" t="s">
        <v>4</v>
      </c>
      <c r="E5" s="1791"/>
      <c r="F5" s="1791"/>
      <c r="G5" s="1791"/>
      <c r="H5" s="1791"/>
      <c r="I5" s="1792"/>
      <c r="J5" s="1794" t="s">
        <v>5</v>
      </c>
      <c r="K5" s="1795"/>
      <c r="L5" s="1795"/>
      <c r="M5" s="1796"/>
      <c r="N5" s="1778" t="s">
        <v>257</v>
      </c>
      <c r="O5" s="1779"/>
      <c r="P5" s="1779"/>
      <c r="Q5" s="1780"/>
    </row>
    <row r="6" spans="1:18" ht="20.100000000000001" customHeight="1" thickBot="1">
      <c r="A6" s="1793" t="s">
        <v>258</v>
      </c>
      <c r="B6" s="1793"/>
      <c r="C6" s="297" t="s">
        <v>259</v>
      </c>
      <c r="D6" s="298"/>
      <c r="E6" s="299" t="s">
        <v>141</v>
      </c>
      <c r="F6" s="299" t="s">
        <v>142</v>
      </c>
      <c r="G6" s="299" t="s">
        <v>143</v>
      </c>
      <c r="H6" s="299" t="s">
        <v>260</v>
      </c>
      <c r="I6" s="297" t="s">
        <v>261</v>
      </c>
      <c r="J6" s="1045" t="s">
        <v>9</v>
      </c>
      <c r="K6" s="1214" t="s">
        <v>567</v>
      </c>
      <c r="L6" s="1225" t="s">
        <v>582</v>
      </c>
      <c r="M6" s="1041" t="s">
        <v>301</v>
      </c>
      <c r="N6" s="1045" t="s">
        <v>9</v>
      </c>
      <c r="O6" s="1225" t="s">
        <v>567</v>
      </c>
      <c r="P6" s="1225" t="s">
        <v>583</v>
      </c>
      <c r="Q6" s="1041" t="s">
        <v>301</v>
      </c>
    </row>
    <row r="7" spans="1:18" s="303" customFormat="1" ht="20.100000000000001" customHeight="1" thickBot="1">
      <c r="A7" s="300">
        <v>1</v>
      </c>
      <c r="B7" s="301">
        <v>2</v>
      </c>
      <c r="C7" s="302">
        <v>3</v>
      </c>
      <c r="D7" s="300">
        <v>4</v>
      </c>
      <c r="E7" s="301"/>
      <c r="F7" s="301"/>
      <c r="G7" s="301"/>
      <c r="H7" s="301"/>
      <c r="I7" s="302"/>
      <c r="J7" s="1226">
        <v>5</v>
      </c>
      <c r="K7" s="1271">
        <v>6</v>
      </c>
      <c r="L7" s="1218">
        <v>7</v>
      </c>
      <c r="M7" s="1044">
        <v>8</v>
      </c>
      <c r="N7" s="1226">
        <v>9</v>
      </c>
      <c r="O7" s="1218">
        <v>10</v>
      </c>
      <c r="P7" s="1218">
        <v>11</v>
      </c>
      <c r="Q7" s="1044">
        <v>12</v>
      </c>
    </row>
    <row r="8" spans="1:18" s="303" customFormat="1" ht="20.100000000000001" customHeight="1" thickBot="1">
      <c r="A8" s="304"/>
      <c r="B8" s="305"/>
      <c r="C8" s="305" t="s">
        <v>262</v>
      </c>
      <c r="D8" s="306"/>
      <c r="E8" s="307"/>
      <c r="F8" s="307"/>
      <c r="G8" s="307"/>
      <c r="H8" s="307"/>
      <c r="I8" s="1429"/>
      <c r="J8" s="1227"/>
      <c r="K8" s="1269"/>
      <c r="L8" s="1448"/>
      <c r="M8" s="1430"/>
      <c r="N8" s="1227"/>
      <c r="O8" s="1228"/>
      <c r="P8" s="1228"/>
      <c r="Q8" s="1430"/>
    </row>
    <row r="9" spans="1:18" s="315" customFormat="1" ht="20.100000000000001" customHeight="1" thickBot="1">
      <c r="A9" s="300" t="s">
        <v>15</v>
      </c>
      <c r="B9" s="310"/>
      <c r="C9" s="311" t="s">
        <v>263</v>
      </c>
      <c r="D9" s="312" t="s">
        <v>50</v>
      </c>
      <c r="E9" s="313"/>
      <c r="F9" s="313"/>
      <c r="G9" s="313"/>
      <c r="H9" s="313"/>
      <c r="I9" s="1235"/>
      <c r="J9" s="1050"/>
      <c r="K9" s="1224">
        <f>SUM(K10:K11)</f>
        <v>21672</v>
      </c>
      <c r="L9" s="1463">
        <f>SUM(L10:L11)</f>
        <v>42764</v>
      </c>
      <c r="M9" s="1463">
        <f>SUM(M10:M11)</f>
        <v>42764</v>
      </c>
      <c r="N9" s="1050"/>
      <c r="O9" s="1219">
        <v>21672</v>
      </c>
      <c r="P9" s="1219">
        <f>SUM(P10:P11)</f>
        <v>42764</v>
      </c>
      <c r="Q9" s="1259">
        <f>SUM(Q10:Q11)</f>
        <v>42764</v>
      </c>
    </row>
    <row r="10" spans="1:18" s="315" customFormat="1" ht="20.100000000000001" customHeight="1">
      <c r="A10" s="1092"/>
      <c r="B10" s="317" t="s">
        <v>18</v>
      </c>
      <c r="C10" s="1066" t="s">
        <v>569</v>
      </c>
      <c r="D10" s="1068" t="s">
        <v>72</v>
      </c>
      <c r="E10" s="1093"/>
      <c r="F10" s="1093"/>
      <c r="G10" s="1093"/>
      <c r="H10" s="1093"/>
      <c r="I10" s="1441"/>
      <c r="J10" s="1432"/>
      <c r="K10" s="1273">
        <v>15291</v>
      </c>
      <c r="L10" s="1291">
        <v>34101</v>
      </c>
      <c r="M10" s="1431">
        <v>34101</v>
      </c>
      <c r="N10" s="1432"/>
      <c r="O10" s="1433"/>
      <c r="P10" s="1433">
        <v>34101</v>
      </c>
      <c r="Q10" s="1431">
        <v>34101</v>
      </c>
    </row>
    <row r="11" spans="1:18" s="315" customFormat="1" ht="20.100000000000001" customHeight="1" thickBot="1">
      <c r="A11" s="331"/>
      <c r="B11" s="317" t="s">
        <v>18</v>
      </c>
      <c r="C11" s="1062" t="s">
        <v>570</v>
      </c>
      <c r="D11" s="1069" t="s">
        <v>571</v>
      </c>
      <c r="E11" s="1091"/>
      <c r="F11" s="1091"/>
      <c r="G11" s="1091"/>
      <c r="H11" s="1091"/>
      <c r="I11" s="1442"/>
      <c r="J11" s="1449"/>
      <c r="K11" s="1428">
        <v>6381</v>
      </c>
      <c r="L11" s="1292">
        <v>8663</v>
      </c>
      <c r="M11" s="1450">
        <v>8663</v>
      </c>
      <c r="N11" s="1451"/>
      <c r="O11" s="1452"/>
      <c r="P11" s="1452">
        <v>8663</v>
      </c>
      <c r="Q11" s="1450">
        <v>8663</v>
      </c>
    </row>
    <row r="12" spans="1:18" s="315" customFormat="1" ht="20.100000000000001" customHeight="1" thickBot="1">
      <c r="A12" s="300" t="s">
        <v>168</v>
      </c>
      <c r="B12" s="310"/>
      <c r="C12" s="311" t="s">
        <v>264</v>
      </c>
      <c r="D12" s="312"/>
      <c r="E12" s="313"/>
      <c r="F12" s="313"/>
      <c r="G12" s="313"/>
      <c r="H12" s="313"/>
      <c r="I12" s="1235"/>
      <c r="J12" s="1050">
        <f>SUM(J13:J16)</f>
        <v>0</v>
      </c>
      <c r="K12" s="1236"/>
      <c r="L12" s="1435">
        <f>SUM(L13:L16)</f>
        <v>2154222</v>
      </c>
      <c r="M12" s="1435">
        <f>SUM(M13:M16)</f>
        <v>2154222</v>
      </c>
      <c r="N12" s="1050">
        <f>SUM(N13:N16)</f>
        <v>0</v>
      </c>
      <c r="O12" s="1220"/>
      <c r="P12" s="1454">
        <f>SUM(P13)</f>
        <v>2154222</v>
      </c>
      <c r="Q12" s="1480">
        <f>SUM(Q13)</f>
        <v>2154222</v>
      </c>
    </row>
    <row r="13" spans="1:18" s="322" customFormat="1" ht="20.100000000000001" customHeight="1">
      <c r="A13" s="316"/>
      <c r="B13" s="317" t="s">
        <v>51</v>
      </c>
      <c r="C13" s="318" t="s">
        <v>108</v>
      </c>
      <c r="D13" s="319" t="s">
        <v>78</v>
      </c>
      <c r="E13" s="320"/>
      <c r="F13" s="320"/>
      <c r="G13" s="320"/>
      <c r="H13" s="320"/>
      <c r="I13" s="1074"/>
      <c r="J13" s="1445"/>
      <c r="K13" s="1038"/>
      <c r="L13" s="1436">
        <v>2154222</v>
      </c>
      <c r="M13" s="1453">
        <v>2154222</v>
      </c>
      <c r="N13" s="1233"/>
      <c r="O13" s="1221"/>
      <c r="P13" s="1221">
        <v>2154222</v>
      </c>
      <c r="Q13" s="1453">
        <v>2154222</v>
      </c>
    </row>
    <row r="14" spans="1:18" s="322" customFormat="1" ht="20.100000000000001" customHeight="1">
      <c r="A14" s="316"/>
      <c r="B14" s="317" t="s">
        <v>54</v>
      </c>
      <c r="C14" s="323" t="s">
        <v>265</v>
      </c>
      <c r="D14" s="319"/>
      <c r="E14" s="320"/>
      <c r="F14" s="320"/>
      <c r="G14" s="320"/>
      <c r="H14" s="320"/>
      <c r="I14" s="1074"/>
      <c r="J14" s="1443"/>
      <c r="K14" s="1039"/>
      <c r="L14" s="1434"/>
      <c r="M14" s="1444"/>
      <c r="N14" s="1230"/>
      <c r="O14" s="1222"/>
      <c r="P14" s="1222"/>
      <c r="Q14" s="1444"/>
    </row>
    <row r="15" spans="1:18" s="322" customFormat="1" ht="20.100000000000001" customHeight="1">
      <c r="A15" s="316"/>
      <c r="B15" s="317" t="s">
        <v>57</v>
      </c>
      <c r="C15" s="323" t="s">
        <v>111</v>
      </c>
      <c r="D15" s="319" t="s">
        <v>97</v>
      </c>
      <c r="E15" s="320"/>
      <c r="F15" s="320"/>
      <c r="G15" s="320"/>
      <c r="H15" s="320"/>
      <c r="I15" s="1074"/>
      <c r="J15" s="1443"/>
      <c r="K15" s="1039"/>
      <c r="L15" s="1434"/>
      <c r="M15" s="1444"/>
      <c r="N15" s="1230"/>
      <c r="O15" s="1222"/>
      <c r="P15" s="1222"/>
      <c r="Q15" s="1444"/>
    </row>
    <row r="16" spans="1:18" s="322" customFormat="1" ht="20.100000000000001" customHeight="1" thickBot="1">
      <c r="A16" s="316"/>
      <c r="B16" s="317" t="s">
        <v>66</v>
      </c>
      <c r="C16" s="323" t="s">
        <v>265</v>
      </c>
      <c r="D16" s="319"/>
      <c r="E16" s="320"/>
      <c r="F16" s="320"/>
      <c r="G16" s="320"/>
      <c r="H16" s="320"/>
      <c r="I16" s="1074"/>
      <c r="J16" s="1447"/>
      <c r="K16" s="1213"/>
      <c r="L16" s="1438"/>
      <c r="M16" s="1455"/>
      <c r="N16" s="1456"/>
      <c r="O16" s="1457"/>
      <c r="P16" s="1457"/>
      <c r="Q16" s="1455"/>
    </row>
    <row r="17" spans="1:17" s="322" customFormat="1" ht="20.100000000000001" customHeight="1" thickBot="1">
      <c r="A17" s="300" t="s">
        <v>76</v>
      </c>
      <c r="B17" s="324"/>
      <c r="C17" s="325" t="s">
        <v>266</v>
      </c>
      <c r="D17" s="312"/>
      <c r="E17" s="313"/>
      <c r="F17" s="313"/>
      <c r="G17" s="313"/>
      <c r="H17" s="313"/>
      <c r="I17" s="1235"/>
      <c r="J17" s="1050">
        <f>SUM(J18:J19)</f>
        <v>0</v>
      </c>
      <c r="K17" s="1236"/>
      <c r="L17" s="1435"/>
      <c r="M17" s="1051"/>
      <c r="N17" s="1050">
        <f>SUM(N18:N19)</f>
        <v>0</v>
      </c>
      <c r="O17" s="1223"/>
      <c r="P17" s="1223"/>
      <c r="Q17" s="1051"/>
    </row>
    <row r="18" spans="1:17" s="315" customFormat="1" ht="20.100000000000001" customHeight="1">
      <c r="A18" s="326"/>
      <c r="B18" s="327" t="s">
        <v>79</v>
      </c>
      <c r="C18" s="328" t="s">
        <v>267</v>
      </c>
      <c r="D18" s="329" t="s">
        <v>268</v>
      </c>
      <c r="E18" s="330"/>
      <c r="F18" s="330"/>
      <c r="G18" s="330"/>
      <c r="H18" s="330"/>
      <c r="I18" s="1262"/>
      <c r="J18" s="1445"/>
      <c r="K18" s="1038"/>
      <c r="L18" s="1436"/>
      <c r="M18" s="1453"/>
      <c r="N18" s="1233"/>
      <c r="O18" s="1458"/>
      <c r="P18" s="1458"/>
      <c r="Q18" s="1453"/>
    </row>
    <row r="19" spans="1:17" s="315" customFormat="1" ht="20.100000000000001" customHeight="1" thickBot="1">
      <c r="A19" s="331"/>
      <c r="B19" s="332" t="s">
        <v>82</v>
      </c>
      <c r="C19" s="333" t="s">
        <v>269</v>
      </c>
      <c r="D19" s="334" t="s">
        <v>270</v>
      </c>
      <c r="E19" s="335"/>
      <c r="F19" s="335"/>
      <c r="G19" s="335"/>
      <c r="H19" s="335"/>
      <c r="I19" s="1263"/>
      <c r="J19" s="1446"/>
      <c r="K19" s="1212"/>
      <c r="L19" s="1437"/>
      <c r="M19" s="1455"/>
      <c r="N19" s="1456"/>
      <c r="O19" s="1459"/>
      <c r="P19" s="1459"/>
      <c r="Q19" s="1455"/>
    </row>
    <row r="20" spans="1:17" s="315" customFormat="1" ht="20.100000000000001" customHeight="1" thickBot="1">
      <c r="A20" s="300"/>
      <c r="B20" s="310"/>
      <c r="D20" s="336"/>
      <c r="E20" s="337"/>
      <c r="F20" s="337"/>
      <c r="G20" s="337"/>
      <c r="H20" s="337"/>
      <c r="I20" s="1075"/>
      <c r="J20" s="1232"/>
      <c r="K20" s="1238"/>
      <c r="L20" s="1439"/>
      <c r="M20" s="1239"/>
      <c r="N20" s="1232"/>
      <c r="O20" s="1220"/>
      <c r="P20" s="1220"/>
      <c r="Q20" s="1239"/>
    </row>
    <row r="21" spans="1:17" s="315" customFormat="1" ht="20.100000000000001" customHeight="1" thickBot="1">
      <c r="A21" s="300" t="s">
        <v>95</v>
      </c>
      <c r="B21" s="339"/>
      <c r="C21" s="325" t="s">
        <v>271</v>
      </c>
      <c r="D21" s="312"/>
      <c r="E21" s="313"/>
      <c r="F21" s="313"/>
      <c r="G21" s="313"/>
      <c r="H21" s="313"/>
      <c r="I21" s="1235"/>
      <c r="J21" s="1229">
        <f t="shared" ref="J21:Q21" si="0">J9+J12</f>
        <v>0</v>
      </c>
      <c r="K21" s="1063">
        <f t="shared" si="0"/>
        <v>21672</v>
      </c>
      <c r="L21" s="1462">
        <f t="shared" si="0"/>
        <v>2196986</v>
      </c>
      <c r="M21" s="1462">
        <f t="shared" si="0"/>
        <v>2196986</v>
      </c>
      <c r="N21" s="1050">
        <f t="shared" si="0"/>
        <v>0</v>
      </c>
      <c r="O21" s="1224">
        <f t="shared" si="0"/>
        <v>21672</v>
      </c>
      <c r="P21" s="1224">
        <f t="shared" si="0"/>
        <v>2196986</v>
      </c>
      <c r="Q21" s="1051">
        <f t="shared" si="0"/>
        <v>2196986</v>
      </c>
    </row>
    <row r="22" spans="1:17" s="322" customFormat="1" ht="20.100000000000001" customHeight="1" thickBot="1">
      <c r="A22" s="340" t="s">
        <v>105</v>
      </c>
      <c r="B22" s="315"/>
      <c r="C22" s="341" t="s">
        <v>272</v>
      </c>
      <c r="D22" s="342"/>
      <c r="E22" s="343"/>
      <c r="F22" s="343"/>
      <c r="G22" s="343"/>
      <c r="H22" s="343"/>
      <c r="I22" s="764"/>
      <c r="J22" s="1461">
        <f t="shared" ref="J22:Q22" si="1">J23+J24</f>
        <v>69333721</v>
      </c>
      <c r="K22" s="1461">
        <f t="shared" si="1"/>
        <v>69632903</v>
      </c>
      <c r="L22" s="1435">
        <f t="shared" si="1"/>
        <v>69633903</v>
      </c>
      <c r="M22" s="1435">
        <f t="shared" si="1"/>
        <v>69633903</v>
      </c>
      <c r="N22" s="1050">
        <f t="shared" si="1"/>
        <v>69333721</v>
      </c>
      <c r="O22" s="1224">
        <f t="shared" si="1"/>
        <v>69632903</v>
      </c>
      <c r="P22" s="1224">
        <f t="shared" si="1"/>
        <v>69633903</v>
      </c>
      <c r="Q22" s="1051">
        <f t="shared" si="1"/>
        <v>69633903</v>
      </c>
    </row>
    <row r="23" spans="1:17" s="322" customFormat="1" ht="20.100000000000001" customHeight="1">
      <c r="A23" s="326"/>
      <c r="B23" s="344" t="s">
        <v>107</v>
      </c>
      <c r="C23" s="782" t="s">
        <v>273</v>
      </c>
      <c r="D23" s="329" t="s">
        <v>134</v>
      </c>
      <c r="E23" s="330"/>
      <c r="F23" s="330"/>
      <c r="G23" s="330"/>
      <c r="H23" s="330"/>
      <c r="I23" s="1262"/>
      <c r="J23" s="1445">
        <f>4019529+92456</f>
        <v>4111985</v>
      </c>
      <c r="K23" s="1038">
        <v>4111985</v>
      </c>
      <c r="L23" s="1436">
        <v>4111985</v>
      </c>
      <c r="M23" s="1453">
        <v>4111985</v>
      </c>
      <c r="N23" s="1233">
        <v>4111985</v>
      </c>
      <c r="O23" s="1221">
        <v>4111985</v>
      </c>
      <c r="P23" s="1221">
        <v>4111985</v>
      </c>
      <c r="Q23" s="1453">
        <v>4111985</v>
      </c>
    </row>
    <row r="24" spans="1:17" s="322" customFormat="1" ht="20.100000000000001" customHeight="1">
      <c r="A24" s="348"/>
      <c r="B24" s="349" t="s">
        <v>110</v>
      </c>
      <c r="C24" s="318" t="s">
        <v>274</v>
      </c>
      <c r="D24" s="350" t="s">
        <v>275</v>
      </c>
      <c r="E24" s="351"/>
      <c r="F24" s="351"/>
      <c r="G24" s="351"/>
      <c r="H24" s="351"/>
      <c r="I24" s="1265"/>
      <c r="J24" s="1446">
        <v>65221736</v>
      </c>
      <c r="K24" s="1212">
        <v>65520918</v>
      </c>
      <c r="L24" s="1437">
        <v>65521918</v>
      </c>
      <c r="M24" s="1444">
        <v>65521918</v>
      </c>
      <c r="N24" s="1230">
        <v>65221736</v>
      </c>
      <c r="O24" s="1222">
        <v>65520918</v>
      </c>
      <c r="P24" s="1222">
        <v>65521918</v>
      </c>
      <c r="Q24" s="1444">
        <v>65521918</v>
      </c>
    </row>
    <row r="25" spans="1:17" s="322" customFormat="1" ht="20.100000000000001" customHeight="1" thickBot="1">
      <c r="A25" s="352"/>
      <c r="B25" s="353" t="s">
        <v>276</v>
      </c>
      <c r="C25" s="354" t="s">
        <v>277</v>
      </c>
      <c r="D25" s="355" t="s">
        <v>278</v>
      </c>
      <c r="E25" s="356"/>
      <c r="F25" s="356"/>
      <c r="G25" s="356"/>
      <c r="H25" s="356"/>
      <c r="I25" s="1266"/>
      <c r="J25" s="1447"/>
      <c r="K25" s="1213"/>
      <c r="L25" s="1438"/>
      <c r="M25" s="1455"/>
      <c r="N25" s="1456"/>
      <c r="O25" s="1457"/>
      <c r="P25" s="1457"/>
      <c r="Q25" s="1455"/>
    </row>
    <row r="26" spans="1:17" ht="20.100000000000001" customHeight="1" thickBot="1">
      <c r="A26" s="357" t="s">
        <v>113</v>
      </c>
      <c r="B26" s="358"/>
      <c r="C26" s="359" t="s">
        <v>279</v>
      </c>
      <c r="D26" s="336"/>
      <c r="E26" s="337"/>
      <c r="F26" s="337"/>
      <c r="G26" s="337"/>
      <c r="H26" s="337"/>
      <c r="I26" s="1075"/>
      <c r="J26" s="1052"/>
      <c r="K26" s="1052"/>
      <c r="L26" s="1439"/>
      <c r="M26" s="1239"/>
      <c r="N26" s="1232"/>
      <c r="O26" s="1234"/>
      <c r="P26" s="1234"/>
      <c r="Q26" s="1239"/>
    </row>
    <row r="27" spans="1:17" s="303" customFormat="1" ht="20.100000000000001" customHeight="1" thickBot="1">
      <c r="A27" s="357" t="s">
        <v>113</v>
      </c>
      <c r="B27" s="360"/>
      <c r="C27" s="361" t="s">
        <v>280</v>
      </c>
      <c r="D27" s="312"/>
      <c r="E27" s="313"/>
      <c r="F27" s="313"/>
      <c r="G27" s="313"/>
      <c r="H27" s="313"/>
      <c r="I27" s="1235"/>
      <c r="J27" s="1050">
        <f t="shared" ref="J27:Q27" si="2">J21+J22</f>
        <v>69333721</v>
      </c>
      <c r="K27" s="1460">
        <f t="shared" si="2"/>
        <v>69654575</v>
      </c>
      <c r="L27" s="1460">
        <f t="shared" si="2"/>
        <v>71830889</v>
      </c>
      <c r="M27" s="1460">
        <f t="shared" si="2"/>
        <v>71830889</v>
      </c>
      <c r="N27" s="1050">
        <f t="shared" si="2"/>
        <v>69333721</v>
      </c>
      <c r="O27" s="1224">
        <f t="shared" si="2"/>
        <v>69654575</v>
      </c>
      <c r="P27" s="1224">
        <f t="shared" si="2"/>
        <v>71830889</v>
      </c>
      <c r="Q27" s="1051">
        <f t="shared" si="2"/>
        <v>71830889</v>
      </c>
    </row>
    <row r="28" spans="1:17" s="365" customFormat="1" ht="20.100000000000001" customHeight="1">
      <c r="A28" s="362"/>
      <c r="B28" s="362"/>
      <c r="C28" s="363"/>
      <c r="D28" s="364"/>
      <c r="E28" s="364"/>
      <c r="F28" s="364"/>
      <c r="G28" s="364"/>
      <c r="H28" s="364"/>
      <c r="I28" s="364"/>
      <c r="J28" s="364"/>
      <c r="K28" s="364"/>
      <c r="L28" s="364"/>
      <c r="M28" s="364"/>
      <c r="N28" s="364"/>
      <c r="O28" s="1046"/>
      <c r="P28" s="1046"/>
      <c r="Q28" s="364"/>
    </row>
    <row r="29" spans="1:17" ht="20.100000000000001" customHeight="1" thickBot="1">
      <c r="A29" s="366"/>
      <c r="B29" s="367"/>
      <c r="C29" s="367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1047"/>
      <c r="P29" s="1047"/>
      <c r="Q29" s="368"/>
    </row>
    <row r="30" spans="1:17" ht="20.100000000000001" customHeight="1" thickBot="1">
      <c r="A30" s="369"/>
      <c r="B30" s="370"/>
      <c r="C30" s="371" t="s">
        <v>281</v>
      </c>
      <c r="D30" s="312"/>
      <c r="E30" s="313"/>
      <c r="F30" s="313"/>
      <c r="G30" s="313"/>
      <c r="H30" s="313"/>
      <c r="I30" s="1235"/>
      <c r="J30" s="1784"/>
      <c r="K30" s="1785"/>
      <c r="L30" s="1785"/>
      <c r="M30" s="1786"/>
      <c r="N30" s="1781"/>
      <c r="O30" s="1782"/>
      <c r="P30" s="1782"/>
      <c r="Q30" s="1783"/>
    </row>
    <row r="31" spans="1:17" ht="20.100000000000001" customHeight="1" thickBot="1">
      <c r="A31" s="300" t="s">
        <v>15</v>
      </c>
      <c r="B31" s="324"/>
      <c r="C31" s="325" t="s">
        <v>282</v>
      </c>
      <c r="D31" s="312"/>
      <c r="E31" s="313"/>
      <c r="F31" s="313"/>
      <c r="G31" s="313"/>
      <c r="H31" s="313"/>
      <c r="I31" s="1235"/>
      <c r="J31" s="1050">
        <f t="shared" ref="J31:Q31" si="3">J32+J33+J34+J35+J36</f>
        <v>69233721</v>
      </c>
      <c r="K31" s="1236">
        <f t="shared" si="3"/>
        <v>69126560</v>
      </c>
      <c r="L31" s="1463">
        <f t="shared" si="3"/>
        <v>71302874</v>
      </c>
      <c r="M31" s="1463">
        <f t="shared" si="3"/>
        <v>60354388</v>
      </c>
      <c r="N31" s="1050">
        <f t="shared" si="3"/>
        <v>69233721</v>
      </c>
      <c r="O31" s="1224">
        <f t="shared" si="3"/>
        <v>69126560</v>
      </c>
      <c r="P31" s="1224">
        <f t="shared" si="3"/>
        <v>71302874</v>
      </c>
      <c r="Q31" s="1051">
        <f t="shared" si="3"/>
        <v>60354388</v>
      </c>
    </row>
    <row r="32" spans="1:17" ht="20.100000000000001" customHeight="1">
      <c r="A32" s="372"/>
      <c r="B32" s="373" t="s">
        <v>283</v>
      </c>
      <c r="C32" s="318" t="s">
        <v>284</v>
      </c>
      <c r="D32" s="345" t="s">
        <v>148</v>
      </c>
      <c r="E32" s="346"/>
      <c r="F32" s="346"/>
      <c r="G32" s="346"/>
      <c r="H32" s="346"/>
      <c r="I32" s="1073"/>
      <c r="J32" s="1078">
        <f>42772800+483000+975000+600000+1750196</f>
        <v>46580996</v>
      </c>
      <c r="K32" s="1038">
        <v>47050178</v>
      </c>
      <c r="L32" s="1464">
        <v>48792029</v>
      </c>
      <c r="M32" s="1038">
        <v>47996921</v>
      </c>
      <c r="N32" s="1054">
        <v>46580996</v>
      </c>
      <c r="O32" s="1249">
        <v>47050178</v>
      </c>
      <c r="P32" s="1470">
        <v>48792029</v>
      </c>
      <c r="Q32" s="1474">
        <v>47996921</v>
      </c>
    </row>
    <row r="33" spans="1:17" ht="20.100000000000001" customHeight="1">
      <c r="A33" s="316"/>
      <c r="B33" s="374" t="s">
        <v>285</v>
      </c>
      <c r="C33" s="323" t="s">
        <v>286</v>
      </c>
      <c r="D33" s="319" t="s">
        <v>150</v>
      </c>
      <c r="E33" s="320"/>
      <c r="F33" s="320"/>
      <c r="G33" s="320"/>
      <c r="H33" s="320"/>
      <c r="I33" s="1074"/>
      <c r="J33" s="772">
        <f>7485240+568804+118094</f>
        <v>8172138</v>
      </c>
      <c r="K33" s="1039">
        <v>8172138</v>
      </c>
      <c r="L33" s="1465">
        <v>8444290</v>
      </c>
      <c r="M33" s="1039">
        <v>8052765</v>
      </c>
      <c r="N33" s="1055">
        <v>8172138</v>
      </c>
      <c r="O33" s="1250">
        <v>8172138</v>
      </c>
      <c r="P33" s="1250">
        <v>8444290</v>
      </c>
      <c r="Q33" s="1475">
        <v>8052765</v>
      </c>
    </row>
    <row r="34" spans="1:17" ht="20.100000000000001" customHeight="1">
      <c r="A34" s="316"/>
      <c r="B34" s="374" t="s">
        <v>35</v>
      </c>
      <c r="C34" s="323" t="s">
        <v>287</v>
      </c>
      <c r="D34" s="319" t="s">
        <v>153</v>
      </c>
      <c r="E34" s="320"/>
      <c r="F34" s="320"/>
      <c r="G34" s="320"/>
      <c r="H34" s="320"/>
      <c r="I34" s="1074"/>
      <c r="J34" s="772">
        <f>300000+400000+160000+650000+400000+1200000+200000+800000+550000+985500+92456+500000-100000</f>
        <v>6137956</v>
      </c>
      <c r="K34" s="1039">
        <v>5731613</v>
      </c>
      <c r="L34" s="1465">
        <v>5893924</v>
      </c>
      <c r="M34" s="1039">
        <v>4304702</v>
      </c>
      <c r="N34" s="1055">
        <v>6137956</v>
      </c>
      <c r="O34" s="1250">
        <v>5731613</v>
      </c>
      <c r="P34" s="1250">
        <v>5893924</v>
      </c>
      <c r="Q34" s="1475">
        <v>4304702</v>
      </c>
    </row>
    <row r="35" spans="1:17" s="365" customFormat="1" ht="20.100000000000001" customHeight="1">
      <c r="A35" s="316"/>
      <c r="B35" s="374" t="s">
        <v>288</v>
      </c>
      <c r="C35" s="323" t="s">
        <v>154</v>
      </c>
      <c r="D35" s="319" t="s">
        <v>155</v>
      </c>
      <c r="E35" s="320"/>
      <c r="F35" s="320"/>
      <c r="G35" s="320"/>
      <c r="H35" s="320"/>
      <c r="I35" s="1074"/>
      <c r="J35" s="772"/>
      <c r="K35" s="1039"/>
      <c r="L35" s="1465"/>
      <c r="M35" s="1039"/>
      <c r="N35" s="1055"/>
      <c r="O35" s="1251"/>
      <c r="P35" s="1251"/>
      <c r="Q35" s="1475"/>
    </row>
    <row r="36" spans="1:17" ht="20.100000000000001" customHeight="1" thickBot="1">
      <c r="A36" s="316"/>
      <c r="B36" s="374" t="s">
        <v>45</v>
      </c>
      <c r="C36" s="323" t="s">
        <v>156</v>
      </c>
      <c r="D36" s="319" t="s">
        <v>157</v>
      </c>
      <c r="E36" s="320"/>
      <c r="F36" s="320"/>
      <c r="G36" s="320"/>
      <c r="H36" s="320"/>
      <c r="I36" s="1074"/>
      <c r="J36" s="1241">
        <v>8342631</v>
      </c>
      <c r="K36" s="1213">
        <v>8172631</v>
      </c>
      <c r="L36" s="1466">
        <v>8172631</v>
      </c>
      <c r="M36" s="1213"/>
      <c r="N36" s="1056">
        <v>8342631</v>
      </c>
      <c r="O36" s="1252">
        <v>8172631</v>
      </c>
      <c r="P36" s="1471">
        <v>8172631</v>
      </c>
      <c r="Q36" s="1476"/>
    </row>
    <row r="37" spans="1:17" ht="20.100000000000001" customHeight="1" thickBot="1">
      <c r="A37" s="300" t="s">
        <v>168</v>
      </c>
      <c r="B37" s="324"/>
      <c r="C37" s="325" t="s">
        <v>289</v>
      </c>
      <c r="D37" s="312"/>
      <c r="E37" s="313"/>
      <c r="F37" s="313"/>
      <c r="G37" s="313"/>
      <c r="H37" s="313"/>
      <c r="I37" s="1235"/>
      <c r="J37" s="1050">
        <f t="shared" ref="J37:Q37" si="4">J38+J39+J40</f>
        <v>100000</v>
      </c>
      <c r="K37" s="1236">
        <f t="shared" si="4"/>
        <v>528015</v>
      </c>
      <c r="L37" s="1463">
        <f t="shared" si="4"/>
        <v>528015</v>
      </c>
      <c r="M37" s="1463">
        <f t="shared" si="4"/>
        <v>528015</v>
      </c>
      <c r="N37" s="1050">
        <f t="shared" si="4"/>
        <v>100000</v>
      </c>
      <c r="O37" s="1253">
        <f t="shared" si="4"/>
        <v>528015</v>
      </c>
      <c r="P37" s="1253">
        <f t="shared" si="4"/>
        <v>528015</v>
      </c>
      <c r="Q37" s="1479">
        <f t="shared" si="4"/>
        <v>528015</v>
      </c>
    </row>
    <row r="38" spans="1:17" ht="20.100000000000001" customHeight="1">
      <c r="A38" s="372"/>
      <c r="B38" s="373" t="s">
        <v>290</v>
      </c>
      <c r="C38" s="318" t="s">
        <v>170</v>
      </c>
      <c r="D38" s="345" t="s">
        <v>171</v>
      </c>
      <c r="E38" s="346"/>
      <c r="F38" s="346"/>
      <c r="G38" s="346"/>
      <c r="H38" s="346"/>
      <c r="I38" s="1073"/>
      <c r="J38" s="1078">
        <v>100000</v>
      </c>
      <c r="K38" s="1038">
        <v>528015</v>
      </c>
      <c r="L38" s="1464">
        <v>528015</v>
      </c>
      <c r="M38" s="1038">
        <v>528015</v>
      </c>
      <c r="N38" s="1054">
        <v>100000</v>
      </c>
      <c r="O38" s="1254">
        <v>528015</v>
      </c>
      <c r="P38" s="1472">
        <v>528015</v>
      </c>
      <c r="Q38" s="1474">
        <v>528015</v>
      </c>
    </row>
    <row r="39" spans="1:17" ht="20.100000000000001" customHeight="1">
      <c r="A39" s="316"/>
      <c r="B39" s="374" t="s">
        <v>291</v>
      </c>
      <c r="C39" s="323" t="s">
        <v>172</v>
      </c>
      <c r="D39" s="319" t="s">
        <v>173</v>
      </c>
      <c r="E39" s="320"/>
      <c r="F39" s="320"/>
      <c r="G39" s="320"/>
      <c r="H39" s="320"/>
      <c r="I39" s="1074"/>
      <c r="J39" s="772"/>
      <c r="K39" s="1039"/>
      <c r="L39" s="1465"/>
      <c r="M39" s="1039"/>
      <c r="N39" s="1055"/>
      <c r="O39" s="1250"/>
      <c r="P39" s="1250"/>
      <c r="Q39" s="1475"/>
    </row>
    <row r="40" spans="1:17" ht="20.100000000000001" customHeight="1">
      <c r="A40" s="316"/>
      <c r="B40" s="374" t="s">
        <v>57</v>
      </c>
      <c r="C40" s="323" t="s">
        <v>292</v>
      </c>
      <c r="D40" s="319" t="s">
        <v>175</v>
      </c>
      <c r="E40" s="320"/>
      <c r="F40" s="320"/>
      <c r="G40" s="320"/>
      <c r="H40" s="320"/>
      <c r="I40" s="1074"/>
      <c r="J40" s="772"/>
      <c r="K40" s="1039"/>
      <c r="L40" s="1465"/>
      <c r="M40" s="1039"/>
      <c r="N40" s="1055"/>
      <c r="O40" s="1250"/>
      <c r="P40" s="1250"/>
      <c r="Q40" s="1475"/>
    </row>
    <row r="41" spans="1:17" ht="20.100000000000001" customHeight="1" thickBot="1">
      <c r="A41" s="316"/>
      <c r="B41" s="374" t="s">
        <v>66</v>
      </c>
      <c r="C41" s="323" t="s">
        <v>293</v>
      </c>
      <c r="D41" s="319"/>
      <c r="E41" s="320"/>
      <c r="F41" s="320"/>
      <c r="G41" s="320"/>
      <c r="H41" s="320"/>
      <c r="I41" s="1074"/>
      <c r="J41" s="1241"/>
      <c r="K41" s="1213"/>
      <c r="L41" s="1466"/>
      <c r="M41" s="1213"/>
      <c r="N41" s="1056"/>
      <c r="O41" s="1252"/>
      <c r="P41" s="1471"/>
      <c r="Q41" s="1476"/>
    </row>
    <row r="42" spans="1:17" ht="20.100000000000001" customHeight="1" thickBot="1">
      <c r="A42" s="300" t="s">
        <v>76</v>
      </c>
      <c r="B42" s="324"/>
      <c r="C42" s="325" t="s">
        <v>294</v>
      </c>
      <c r="D42" s="336"/>
      <c r="E42" s="337"/>
      <c r="F42" s="337"/>
      <c r="G42" s="337"/>
      <c r="H42" s="337"/>
      <c r="I42" s="1075"/>
      <c r="J42" s="1242"/>
      <c r="K42" s="1238"/>
      <c r="L42" s="1467"/>
      <c r="M42" s="1238"/>
      <c r="N42" s="1052"/>
      <c r="O42" s="1255"/>
      <c r="P42" s="1255"/>
      <c r="Q42" s="1477"/>
    </row>
    <row r="43" spans="1:17" ht="20.100000000000001" customHeight="1" thickBot="1">
      <c r="A43" s="357" t="s">
        <v>95</v>
      </c>
      <c r="B43" s="358"/>
      <c r="C43" s="359" t="s">
        <v>295</v>
      </c>
      <c r="D43" s="336"/>
      <c r="E43" s="337"/>
      <c r="F43" s="337"/>
      <c r="G43" s="337"/>
      <c r="H43" s="337"/>
      <c r="I43" s="1075"/>
      <c r="J43" s="1242"/>
      <c r="K43" s="1238"/>
      <c r="L43" s="1467"/>
      <c r="M43" s="1238"/>
      <c r="N43" s="1052"/>
      <c r="O43" s="1255"/>
      <c r="P43" s="1255"/>
      <c r="Q43" s="1477"/>
    </row>
    <row r="44" spans="1:17" ht="20.100000000000001" customHeight="1" thickBot="1">
      <c r="A44" s="300" t="s">
        <v>76</v>
      </c>
      <c r="B44" s="375"/>
      <c r="C44" s="376" t="s">
        <v>296</v>
      </c>
      <c r="D44" s="312"/>
      <c r="E44" s="313"/>
      <c r="F44" s="313"/>
      <c r="G44" s="313"/>
      <c r="H44" s="313"/>
      <c r="I44" s="1235"/>
      <c r="J44" s="1050">
        <f t="shared" ref="J44:Q44" si="5">J31+J37</f>
        <v>69333721</v>
      </c>
      <c r="K44" s="1236">
        <f t="shared" si="5"/>
        <v>69654575</v>
      </c>
      <c r="L44" s="1463">
        <f t="shared" si="5"/>
        <v>71830889</v>
      </c>
      <c r="M44" s="1463">
        <f t="shared" si="5"/>
        <v>60882403</v>
      </c>
      <c r="N44" s="1050">
        <f t="shared" si="5"/>
        <v>69333721</v>
      </c>
      <c r="O44" s="1224">
        <f t="shared" si="5"/>
        <v>69654575</v>
      </c>
      <c r="P44" s="1224">
        <f t="shared" si="5"/>
        <v>71830889</v>
      </c>
      <c r="Q44" s="1051">
        <f t="shared" si="5"/>
        <v>60882403</v>
      </c>
    </row>
    <row r="45" spans="1:17" ht="20.100000000000001" customHeight="1" thickBot="1">
      <c r="D45" s="377"/>
      <c r="E45" s="378"/>
      <c r="F45" s="378"/>
      <c r="G45" s="378"/>
      <c r="H45" s="378"/>
      <c r="I45" s="1076"/>
      <c r="J45" s="1243"/>
      <c r="K45" s="1244"/>
      <c r="L45" s="1468"/>
      <c r="M45" s="1244"/>
      <c r="N45" s="1258"/>
      <c r="O45" s="1234"/>
      <c r="P45" s="1234"/>
      <c r="Q45" s="1473"/>
    </row>
    <row r="46" spans="1:17" ht="20.100000000000001" customHeight="1" thickBot="1">
      <c r="A46" s="380" t="s">
        <v>297</v>
      </c>
      <c r="B46" s="381"/>
      <c r="C46" s="382"/>
      <c r="D46" s="383"/>
      <c r="E46" s="384"/>
      <c r="F46" s="384"/>
      <c r="G46" s="384"/>
      <c r="H46" s="384"/>
      <c r="I46" s="1077"/>
      <c r="J46" s="1247">
        <v>10</v>
      </c>
      <c r="K46" s="1248">
        <v>11</v>
      </c>
      <c r="L46" s="1469">
        <v>11</v>
      </c>
      <c r="M46" s="1248">
        <v>11</v>
      </c>
      <c r="N46" s="1053">
        <v>10</v>
      </c>
      <c r="O46" s="1256">
        <v>11</v>
      </c>
      <c r="P46" s="1256">
        <v>11</v>
      </c>
      <c r="Q46" s="1478">
        <v>11</v>
      </c>
    </row>
    <row r="47" spans="1:17" ht="20.100000000000001" customHeight="1" thickBot="1">
      <c r="A47" s="380" t="s">
        <v>298</v>
      </c>
      <c r="B47" s="381"/>
      <c r="C47" s="382"/>
      <c r="D47" s="383"/>
      <c r="E47" s="384"/>
      <c r="F47" s="384"/>
      <c r="G47" s="384"/>
      <c r="H47" s="384"/>
      <c r="I47" s="1077"/>
      <c r="J47" s="1245"/>
      <c r="K47" s="1246"/>
      <c r="L47" s="1469"/>
      <c r="M47" s="1246"/>
      <c r="N47" s="1053"/>
      <c r="O47" s="1234"/>
      <c r="P47" s="1234"/>
      <c r="Q47" s="1478"/>
    </row>
    <row r="48" spans="1:17">
      <c r="F48" s="386"/>
      <c r="G48" s="386"/>
      <c r="H48" s="386"/>
      <c r="I48" s="386"/>
    </row>
    <row r="49" spans="1:9" ht="12.75" customHeight="1">
      <c r="A49" s="1789" t="s">
        <v>299</v>
      </c>
      <c r="B49" s="1789"/>
      <c r="C49" s="1789"/>
      <c r="D49" s="1789"/>
      <c r="E49" s="387"/>
      <c r="F49" s="387"/>
      <c r="G49" s="387"/>
      <c r="H49" s="387"/>
      <c r="I49" s="387"/>
    </row>
    <row r="50" spans="1:9">
      <c r="A50" s="1789"/>
      <c r="B50" s="1789"/>
      <c r="C50" s="1789"/>
    </row>
    <row r="51" spans="1:9">
      <c r="D51" s="386">
        <v>0</v>
      </c>
      <c r="E51" s="386"/>
      <c r="F51" s="386"/>
      <c r="G51" s="386"/>
      <c r="H51" s="386"/>
      <c r="I51" s="386"/>
    </row>
  </sheetData>
  <mergeCells count="10">
    <mergeCell ref="N5:Q5"/>
    <mergeCell ref="N30:Q30"/>
    <mergeCell ref="J30:M30"/>
    <mergeCell ref="P1:Q1"/>
    <mergeCell ref="A49:D49"/>
    <mergeCell ref="A50:C50"/>
    <mergeCell ref="A3:N3"/>
    <mergeCell ref="D5:I5"/>
    <mergeCell ref="A6:B6"/>
    <mergeCell ref="J5:M5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53"/>
  <sheetViews>
    <sheetView view="pageBreakPreview" zoomScale="60" zoomScaleNormal="100" workbookViewId="0">
      <selection activeCell="M49" sqref="M49"/>
    </sheetView>
  </sheetViews>
  <sheetFormatPr defaultColWidth="11.42578125" defaultRowHeight="12.75"/>
  <cols>
    <col min="1" max="1" width="8.140625" style="285" customWidth="1"/>
    <col min="2" max="2" width="8.140625" style="286" customWidth="1"/>
    <col min="3" max="3" width="52" style="286" customWidth="1"/>
    <col min="4" max="4" width="8.140625" style="286" customWidth="1"/>
    <col min="5" max="9" width="0" style="286" hidden="1" customWidth="1"/>
    <col min="10" max="10" width="11.140625" style="286" customWidth="1"/>
    <col min="11" max="11" width="10" style="286" customWidth="1"/>
    <col min="12" max="13" width="10" style="286" bestFit="1" customWidth="1"/>
    <col min="14" max="14" width="11.85546875" style="286" customWidth="1"/>
    <col min="15" max="15" width="10.85546875" style="286" customWidth="1"/>
    <col min="16" max="16" width="10" style="286" bestFit="1" customWidth="1"/>
    <col min="17" max="17" width="10.140625" style="286" customWidth="1"/>
    <col min="18" max="16384" width="11.42578125" style="286"/>
  </cols>
  <sheetData>
    <row r="1" spans="1:19" s="288" customFormat="1" ht="21" customHeight="1">
      <c r="A1" s="287"/>
      <c r="C1" s="289"/>
      <c r="D1" s="290"/>
      <c r="E1" s="290"/>
      <c r="F1" s="290"/>
      <c r="G1" s="290"/>
      <c r="H1" s="290"/>
      <c r="I1" s="290"/>
      <c r="O1" s="1797" t="s">
        <v>256</v>
      </c>
      <c r="P1" s="1798"/>
      <c r="Q1" s="1211"/>
      <c r="R1" s="1211"/>
      <c r="S1" s="1211"/>
    </row>
    <row r="2" spans="1:19" s="288" customFormat="1" ht="21" customHeight="1">
      <c r="A2" s="287"/>
      <c r="C2" s="9"/>
      <c r="D2" s="291"/>
      <c r="E2" s="291"/>
      <c r="F2" s="291"/>
      <c r="G2" s="291"/>
      <c r="H2" s="291"/>
      <c r="I2" s="291"/>
    </row>
    <row r="3" spans="1:19" s="292" customFormat="1" ht="25.5" customHeight="1">
      <c r="A3" s="1790" t="s">
        <v>502</v>
      </c>
      <c r="B3" s="1790"/>
      <c r="C3" s="1790"/>
      <c r="D3" s="1790"/>
      <c r="E3" s="1790"/>
      <c r="F3" s="1790"/>
      <c r="G3" s="1790"/>
      <c r="H3" s="1790"/>
      <c r="I3" s="1790"/>
      <c r="J3" s="1790"/>
      <c r="K3" s="1790"/>
      <c r="L3" s="1790"/>
      <c r="M3" s="1790"/>
      <c r="N3" s="1790"/>
    </row>
    <row r="4" spans="1:19" s="295" customFormat="1" ht="15.95" customHeight="1" thickBot="1">
      <c r="A4" s="293"/>
      <c r="B4" s="293"/>
      <c r="C4" s="294" t="s">
        <v>555</v>
      </c>
      <c r="P4" s="296" t="s">
        <v>492</v>
      </c>
    </row>
    <row r="5" spans="1:19" s="295" customFormat="1" ht="41.25" customHeight="1" thickBot="1">
      <c r="A5" s="293"/>
      <c r="B5" s="293"/>
      <c r="C5" s="293"/>
      <c r="D5" s="1799" t="s">
        <v>4</v>
      </c>
      <c r="E5" s="1800"/>
      <c r="F5" s="1800"/>
      <c r="G5" s="1800"/>
      <c r="H5" s="1800"/>
      <c r="I5" s="1800"/>
      <c r="J5" s="1800" t="s">
        <v>5</v>
      </c>
      <c r="K5" s="1800"/>
      <c r="L5" s="1800"/>
      <c r="M5" s="1801"/>
      <c r="N5" s="1778" t="s">
        <v>257</v>
      </c>
      <c r="O5" s="1779"/>
      <c r="P5" s="1779"/>
      <c r="Q5" s="1780"/>
    </row>
    <row r="6" spans="1:19" ht="20.100000000000001" customHeight="1" thickBot="1">
      <c r="A6" s="1793" t="s">
        <v>258</v>
      </c>
      <c r="B6" s="1793"/>
      <c r="C6" s="297" t="s">
        <v>259</v>
      </c>
      <c r="D6" s="768"/>
      <c r="E6" s="299" t="s">
        <v>141</v>
      </c>
      <c r="F6" s="299" t="s">
        <v>142</v>
      </c>
      <c r="G6" s="299" t="s">
        <v>143</v>
      </c>
      <c r="H6" s="299" t="s">
        <v>260</v>
      </c>
      <c r="I6" s="299" t="s">
        <v>261</v>
      </c>
      <c r="J6" s="298" t="s">
        <v>9</v>
      </c>
      <c r="K6" s="299" t="s">
        <v>141</v>
      </c>
      <c r="L6" s="299" t="s">
        <v>142</v>
      </c>
      <c r="M6" s="297" t="s">
        <v>301</v>
      </c>
      <c r="N6" s="1040" t="s">
        <v>9</v>
      </c>
      <c r="O6" s="1214" t="s">
        <v>568</v>
      </c>
      <c r="P6" s="1483"/>
      <c r="Q6" s="1491" t="s">
        <v>301</v>
      </c>
    </row>
    <row r="7" spans="1:19" s="303" customFormat="1" ht="20.100000000000001" customHeight="1" thickBot="1">
      <c r="A7" s="300">
        <v>1</v>
      </c>
      <c r="B7" s="301">
        <v>2</v>
      </c>
      <c r="C7" s="302">
        <v>3</v>
      </c>
      <c r="D7" s="769">
        <v>4</v>
      </c>
      <c r="E7" s="301"/>
      <c r="F7" s="301"/>
      <c r="G7" s="301"/>
      <c r="H7" s="301"/>
      <c r="I7" s="301"/>
      <c r="J7" s="300">
        <v>5</v>
      </c>
      <c r="K7" s="301">
        <v>6</v>
      </c>
      <c r="L7" s="301">
        <v>7</v>
      </c>
      <c r="M7" s="302">
        <v>8</v>
      </c>
      <c r="N7" s="1270">
        <v>9</v>
      </c>
      <c r="O7" s="1271">
        <v>10</v>
      </c>
      <c r="P7" s="1218">
        <v>11</v>
      </c>
      <c r="Q7" s="1492">
        <v>8</v>
      </c>
    </row>
    <row r="8" spans="1:19" s="303" customFormat="1" ht="20.100000000000001" customHeight="1" thickBot="1">
      <c r="A8" s="304"/>
      <c r="B8" s="305"/>
      <c r="C8" s="305" t="s">
        <v>262</v>
      </c>
      <c r="D8" s="770"/>
      <c r="E8" s="307"/>
      <c r="F8" s="307"/>
      <c r="G8" s="307"/>
      <c r="H8" s="307"/>
      <c r="I8" s="307"/>
      <c r="J8" s="308"/>
      <c r="K8" s="309"/>
      <c r="L8" s="309"/>
      <c r="M8" s="1261"/>
      <c r="N8" s="1268"/>
      <c r="O8" s="1269"/>
      <c r="P8" s="1484"/>
      <c r="Q8" s="1493"/>
    </row>
    <row r="9" spans="1:19" s="315" customFormat="1" ht="20.100000000000001" customHeight="1">
      <c r="A9" s="756" t="s">
        <v>15</v>
      </c>
      <c r="B9" s="757"/>
      <c r="C9" s="758" t="s">
        <v>263</v>
      </c>
      <c r="D9" s="763" t="s">
        <v>50</v>
      </c>
      <c r="E9" s="761"/>
      <c r="F9" s="343"/>
      <c r="G9" s="343"/>
      <c r="H9" s="343"/>
      <c r="I9" s="764"/>
      <c r="J9" s="1057">
        <f>J10+J11</f>
        <v>817740</v>
      </c>
      <c r="K9" s="1260">
        <f>K10+K11+K12+K13</f>
        <v>826449</v>
      </c>
      <c r="L9" s="1293">
        <f>L10+L11+L12+L13</f>
        <v>838091</v>
      </c>
      <c r="M9" s="1293">
        <f>M10+M11+M12+M13</f>
        <v>572756</v>
      </c>
      <c r="N9" s="1057">
        <f>N10+N11</f>
        <v>817740</v>
      </c>
      <c r="O9" s="1260">
        <f>O10+O11+O12+O13</f>
        <v>826449</v>
      </c>
      <c r="P9" s="1485">
        <f>P10+P11+P12+P13</f>
        <v>838091</v>
      </c>
      <c r="Q9" s="1494">
        <f>Q10+Q11+Q12+Q13</f>
        <v>572756</v>
      </c>
    </row>
    <row r="10" spans="1:19" s="315" customFormat="1" ht="20.100000000000001" customHeight="1">
      <c r="A10" s="759"/>
      <c r="B10" s="317" t="s">
        <v>18</v>
      </c>
      <c r="C10" s="766" t="s">
        <v>508</v>
      </c>
      <c r="D10" s="767" t="s">
        <v>509</v>
      </c>
      <c r="E10" s="762"/>
      <c r="F10" s="760"/>
      <c r="G10" s="760"/>
      <c r="H10" s="760"/>
      <c r="I10" s="765"/>
      <c r="J10" s="1058">
        <v>643890</v>
      </c>
      <c r="K10" s="1272">
        <v>643890</v>
      </c>
      <c r="L10" s="1290">
        <v>643890</v>
      </c>
      <c r="M10" s="1481">
        <v>434967</v>
      </c>
      <c r="N10" s="1058">
        <v>643890</v>
      </c>
      <c r="O10" s="1272">
        <v>643890</v>
      </c>
      <c r="P10" s="1222">
        <v>643890</v>
      </c>
      <c r="Q10" s="1495">
        <v>434967</v>
      </c>
    </row>
    <row r="11" spans="1:19" s="315" customFormat="1" ht="20.100000000000001" customHeight="1">
      <c r="A11" s="759"/>
      <c r="B11" s="317" t="s">
        <v>28</v>
      </c>
      <c r="C11" s="766" t="s">
        <v>510</v>
      </c>
      <c r="D11" s="767" t="s">
        <v>511</v>
      </c>
      <c r="E11" s="762"/>
      <c r="F11" s="760"/>
      <c r="G11" s="760"/>
      <c r="H11" s="760"/>
      <c r="I11" s="765"/>
      <c r="J11" s="1058">
        <v>173850</v>
      </c>
      <c r="K11" s="1272">
        <v>173850</v>
      </c>
      <c r="L11" s="1290">
        <v>173850</v>
      </c>
      <c r="M11" s="1481">
        <v>117438</v>
      </c>
      <c r="N11" s="1058">
        <v>173850</v>
      </c>
      <c r="O11" s="1273">
        <v>173850</v>
      </c>
      <c r="P11" s="1222">
        <v>173850</v>
      </c>
      <c r="Q11" s="1495">
        <v>117438</v>
      </c>
    </row>
    <row r="12" spans="1:19" s="315" customFormat="1" ht="20.100000000000001" customHeight="1">
      <c r="A12" s="1064"/>
      <c r="B12" s="1065" t="s">
        <v>151</v>
      </c>
      <c r="C12" s="1066" t="s">
        <v>569</v>
      </c>
      <c r="D12" s="1068" t="s">
        <v>72</v>
      </c>
      <c r="E12" s="1067"/>
      <c r="F12" s="1067"/>
      <c r="G12" s="1067"/>
      <c r="H12" s="1067"/>
      <c r="I12" s="1067"/>
      <c r="J12" s="1070"/>
      <c r="K12" s="1273">
        <v>7526</v>
      </c>
      <c r="L12" s="1290">
        <v>16072</v>
      </c>
      <c r="M12" s="1273">
        <v>16072</v>
      </c>
      <c r="N12" s="1070"/>
      <c r="O12" s="1273">
        <v>7526</v>
      </c>
      <c r="P12" s="1222">
        <v>16072</v>
      </c>
      <c r="Q12" s="1496">
        <v>16072</v>
      </c>
    </row>
    <row r="13" spans="1:19" s="315" customFormat="1" ht="20.100000000000001" customHeight="1" thickBot="1">
      <c r="A13" s="1060"/>
      <c r="B13" s="1061" t="s">
        <v>38</v>
      </c>
      <c r="C13" s="1062" t="s">
        <v>570</v>
      </c>
      <c r="D13" s="1069" t="s">
        <v>571</v>
      </c>
      <c r="E13" s="1063"/>
      <c r="F13" s="1063"/>
      <c r="G13" s="1063"/>
      <c r="H13" s="1063"/>
      <c r="I13" s="1063"/>
      <c r="J13" s="1071"/>
      <c r="K13" s="1274">
        <v>1183</v>
      </c>
      <c r="L13" s="1482">
        <v>4279</v>
      </c>
      <c r="M13" s="1428">
        <v>4279</v>
      </c>
      <c r="N13" s="1071"/>
      <c r="O13" s="1274">
        <v>1183</v>
      </c>
      <c r="P13" s="1231">
        <v>4279</v>
      </c>
      <c r="Q13" s="1497">
        <v>4279</v>
      </c>
    </row>
    <row r="14" spans="1:19" s="315" customFormat="1" ht="20.100000000000001" customHeight="1" thickBot="1">
      <c r="A14" s="300" t="s">
        <v>168</v>
      </c>
      <c r="B14" s="310"/>
      <c r="C14" s="311" t="s">
        <v>264</v>
      </c>
      <c r="D14" s="771"/>
      <c r="E14" s="313"/>
      <c r="F14" s="313"/>
      <c r="G14" s="313"/>
      <c r="H14" s="313"/>
      <c r="I14" s="313"/>
      <c r="J14" s="1059">
        <f>SUM(J15:J18)</f>
        <v>0</v>
      </c>
      <c r="K14" s="1237">
        <f>SUM(K15:K18)</f>
        <v>0</v>
      </c>
      <c r="L14" s="1514">
        <f>SUM(L15:L18)</f>
        <v>0</v>
      </c>
      <c r="M14" s="1037">
        <f>SUM(M15:M18)</f>
        <v>0</v>
      </c>
      <c r="N14" s="1240">
        <f>SUM(N15:N18)</f>
        <v>0</v>
      </c>
      <c r="O14" s="1236"/>
      <c r="P14" s="1223"/>
      <c r="Q14" s="1498">
        <f>SUM(Q15:Q18)</f>
        <v>0</v>
      </c>
    </row>
    <row r="15" spans="1:19" s="322" customFormat="1" ht="20.100000000000001" customHeight="1">
      <c r="A15" s="316"/>
      <c r="B15" s="317" t="s">
        <v>51</v>
      </c>
      <c r="C15" s="318" t="s">
        <v>108</v>
      </c>
      <c r="D15" s="772" t="s">
        <v>78</v>
      </c>
      <c r="E15" s="320"/>
      <c r="F15" s="320"/>
      <c r="G15" s="320"/>
      <c r="H15" s="320"/>
      <c r="I15" s="320"/>
      <c r="J15" s="319"/>
      <c r="K15" s="1074"/>
      <c r="L15" s="1276"/>
      <c r="M15" s="1074"/>
      <c r="N15" s="1078"/>
      <c r="O15" s="1038"/>
      <c r="P15" s="1221"/>
      <c r="Q15" s="1475"/>
    </row>
    <row r="16" spans="1:19" s="322" customFormat="1" ht="20.100000000000001" customHeight="1">
      <c r="A16" s="316"/>
      <c r="B16" s="317" t="s">
        <v>54</v>
      </c>
      <c r="C16" s="323" t="s">
        <v>265</v>
      </c>
      <c r="D16" s="772"/>
      <c r="E16" s="320"/>
      <c r="F16" s="320"/>
      <c r="G16" s="320"/>
      <c r="H16" s="320"/>
      <c r="I16" s="320"/>
      <c r="J16" s="319"/>
      <c r="K16" s="1074"/>
      <c r="L16" s="1276"/>
      <c r="M16" s="1074"/>
      <c r="N16" s="772"/>
      <c r="O16" s="1039"/>
      <c r="P16" s="1222"/>
      <c r="Q16" s="1475"/>
    </row>
    <row r="17" spans="1:17" s="322" customFormat="1" ht="20.100000000000001" customHeight="1">
      <c r="A17" s="316"/>
      <c r="B17" s="317" t="s">
        <v>57</v>
      </c>
      <c r="C17" s="323" t="s">
        <v>111</v>
      </c>
      <c r="D17" s="772" t="s">
        <v>97</v>
      </c>
      <c r="E17" s="320"/>
      <c r="F17" s="320"/>
      <c r="G17" s="320"/>
      <c r="H17" s="320"/>
      <c r="I17" s="320"/>
      <c r="J17" s="319"/>
      <c r="K17" s="1074"/>
      <c r="L17" s="1276"/>
      <c r="M17" s="1074"/>
      <c r="N17" s="772"/>
      <c r="O17" s="1039"/>
      <c r="P17" s="1222"/>
      <c r="Q17" s="1475"/>
    </row>
    <row r="18" spans="1:17" s="322" customFormat="1" ht="20.100000000000001" customHeight="1" thickBot="1">
      <c r="A18" s="316"/>
      <c r="B18" s="317" t="s">
        <v>66</v>
      </c>
      <c r="C18" s="323" t="s">
        <v>265</v>
      </c>
      <c r="D18" s="772"/>
      <c r="E18" s="320"/>
      <c r="F18" s="320"/>
      <c r="G18" s="320"/>
      <c r="H18" s="320"/>
      <c r="I18" s="320"/>
      <c r="J18" s="319"/>
      <c r="K18" s="1074"/>
      <c r="L18" s="1276"/>
      <c r="M18" s="1074"/>
      <c r="N18" s="1241"/>
      <c r="O18" s="1213"/>
      <c r="P18" s="1457"/>
      <c r="Q18" s="1475"/>
    </row>
    <row r="19" spans="1:17" s="322" customFormat="1" ht="20.100000000000001" customHeight="1" thickBot="1">
      <c r="A19" s="300" t="s">
        <v>76</v>
      </c>
      <c r="B19" s="324"/>
      <c r="C19" s="325" t="s">
        <v>266</v>
      </c>
      <c r="D19" s="773"/>
      <c r="E19" s="313"/>
      <c r="F19" s="313"/>
      <c r="G19" s="313"/>
      <c r="H19" s="313"/>
      <c r="I19" s="313"/>
      <c r="J19" s="1042">
        <f>SUM(J20:J21)</f>
        <v>0</v>
      </c>
      <c r="K19" s="1037">
        <f>SUM(K20:K21)</f>
        <v>0</v>
      </c>
      <c r="L19" s="1514">
        <f>SUM(L20:L21)</f>
        <v>0</v>
      </c>
      <c r="M19" s="1037">
        <f>SUM(M20:M21)</f>
        <v>0</v>
      </c>
      <c r="N19" s="1240">
        <f>SUM(N20:N21)</f>
        <v>0</v>
      </c>
      <c r="O19" s="1236"/>
      <c r="P19" s="1223"/>
      <c r="Q19" s="1498">
        <f>SUM(Q20:Q21)</f>
        <v>0</v>
      </c>
    </row>
    <row r="20" spans="1:17" s="315" customFormat="1" ht="20.100000000000001" customHeight="1">
      <c r="A20" s="326"/>
      <c r="B20" s="327" t="s">
        <v>79</v>
      </c>
      <c r="C20" s="328" t="s">
        <v>267</v>
      </c>
      <c r="D20" s="774" t="s">
        <v>268</v>
      </c>
      <c r="E20" s="330"/>
      <c r="F20" s="330"/>
      <c r="G20" s="330"/>
      <c r="H20" s="330"/>
      <c r="I20" s="330"/>
      <c r="J20" s="329"/>
      <c r="K20" s="1262"/>
      <c r="L20" s="1277"/>
      <c r="M20" s="1262"/>
      <c r="N20" s="1078"/>
      <c r="O20" s="1038"/>
      <c r="P20" s="1221"/>
      <c r="Q20" s="1499"/>
    </row>
    <row r="21" spans="1:17" s="315" customFormat="1" ht="20.100000000000001" customHeight="1" thickBot="1">
      <c r="A21" s="331"/>
      <c r="B21" s="332" t="s">
        <v>82</v>
      </c>
      <c r="C21" s="333" t="s">
        <v>269</v>
      </c>
      <c r="D21" s="775" t="s">
        <v>270</v>
      </c>
      <c r="E21" s="335"/>
      <c r="F21" s="335"/>
      <c r="G21" s="335"/>
      <c r="H21" s="335"/>
      <c r="I21" s="335"/>
      <c r="J21" s="334"/>
      <c r="K21" s="1263"/>
      <c r="L21" s="1278"/>
      <c r="M21" s="1263"/>
      <c r="N21" s="778"/>
      <c r="O21" s="1212"/>
      <c r="P21" s="1457"/>
      <c r="Q21" s="1500"/>
    </row>
    <row r="22" spans="1:17" s="315" customFormat="1" ht="20.100000000000001" customHeight="1" thickBot="1">
      <c r="A22" s="300"/>
      <c r="B22" s="310"/>
      <c r="D22" s="776"/>
      <c r="E22" s="337"/>
      <c r="F22" s="337"/>
      <c r="G22" s="337"/>
      <c r="H22" s="337"/>
      <c r="I22" s="337"/>
      <c r="J22" s="336"/>
      <c r="K22" s="1075"/>
      <c r="L22" s="1279"/>
      <c r="M22" s="1075"/>
      <c r="N22" s="1242"/>
      <c r="O22" s="1238"/>
      <c r="P22" s="1223"/>
      <c r="Q22" s="1501"/>
    </row>
    <row r="23" spans="1:17" s="315" customFormat="1" ht="20.100000000000001" customHeight="1" thickBot="1">
      <c r="A23" s="300" t="s">
        <v>95</v>
      </c>
      <c r="B23" s="339"/>
      <c r="C23" s="325" t="s">
        <v>271</v>
      </c>
      <c r="D23" s="773"/>
      <c r="E23" s="313"/>
      <c r="F23" s="313"/>
      <c r="G23" s="313"/>
      <c r="H23" s="313"/>
      <c r="I23" s="313"/>
      <c r="J23" s="1043">
        <f t="shared" ref="J23:Q23" si="0">J9+J14</f>
        <v>817740</v>
      </c>
      <c r="K23" s="1049">
        <f t="shared" si="0"/>
        <v>826449</v>
      </c>
      <c r="L23" s="1275">
        <f t="shared" si="0"/>
        <v>838091</v>
      </c>
      <c r="M23" s="1275">
        <f t="shared" si="0"/>
        <v>572756</v>
      </c>
      <c r="N23" s="1057">
        <f t="shared" si="0"/>
        <v>817740</v>
      </c>
      <c r="O23" s="1260">
        <f t="shared" si="0"/>
        <v>826449</v>
      </c>
      <c r="P23" s="1486">
        <f t="shared" si="0"/>
        <v>838091</v>
      </c>
      <c r="Q23" s="1486">
        <f t="shared" si="0"/>
        <v>572756</v>
      </c>
    </row>
    <row r="24" spans="1:17" s="322" customFormat="1" ht="20.100000000000001" customHeight="1" thickBot="1">
      <c r="A24" s="340" t="s">
        <v>105</v>
      </c>
      <c r="B24" s="315"/>
      <c r="C24" s="341" t="s">
        <v>272</v>
      </c>
      <c r="D24" s="777"/>
      <c r="E24" s="343"/>
      <c r="F24" s="343"/>
      <c r="G24" s="343"/>
      <c r="H24" s="343"/>
      <c r="I24" s="764"/>
      <c r="J24" s="1050">
        <f t="shared" ref="J24:Q24" si="1">J25+J26</f>
        <v>37667277</v>
      </c>
      <c r="K24" s="1236">
        <f t="shared" si="1"/>
        <v>39563510</v>
      </c>
      <c r="L24" s="1280">
        <f t="shared" si="1"/>
        <v>39782614</v>
      </c>
      <c r="M24" s="1280">
        <f t="shared" si="1"/>
        <v>39782614</v>
      </c>
      <c r="N24" s="1050">
        <f t="shared" si="1"/>
        <v>37667277</v>
      </c>
      <c r="O24" s="1236">
        <f t="shared" si="1"/>
        <v>39563510</v>
      </c>
      <c r="P24" s="1224">
        <f t="shared" si="1"/>
        <v>39782614</v>
      </c>
      <c r="Q24" s="1224">
        <f t="shared" si="1"/>
        <v>39782614</v>
      </c>
    </row>
    <row r="25" spans="1:17" s="322" customFormat="1" ht="20.100000000000001" customHeight="1" thickBot="1">
      <c r="A25" s="326"/>
      <c r="B25" s="344" t="s">
        <v>107</v>
      </c>
      <c r="C25" s="328" t="s">
        <v>273</v>
      </c>
      <c r="D25" s="774" t="s">
        <v>134</v>
      </c>
      <c r="E25" s="330"/>
      <c r="F25" s="330"/>
      <c r="G25" s="330"/>
      <c r="H25" s="330"/>
      <c r="I25" s="330"/>
      <c r="J25" s="345">
        <v>3648593</v>
      </c>
      <c r="K25" s="1073">
        <v>3648593</v>
      </c>
      <c r="L25" s="1281">
        <v>3648593</v>
      </c>
      <c r="M25" s="1073">
        <v>3648593</v>
      </c>
      <c r="N25" s="1078">
        <v>3648593</v>
      </c>
      <c r="O25" s="1038">
        <v>3648593</v>
      </c>
      <c r="P25" s="1221">
        <v>3648593</v>
      </c>
      <c r="Q25" s="1474">
        <v>3648593</v>
      </c>
    </row>
    <row r="26" spans="1:17" s="322" customFormat="1" ht="20.100000000000001" customHeight="1">
      <c r="A26" s="348"/>
      <c r="B26" s="349" t="s">
        <v>110</v>
      </c>
      <c r="C26" s="328" t="s">
        <v>274</v>
      </c>
      <c r="D26" s="778" t="s">
        <v>275</v>
      </c>
      <c r="E26" s="351"/>
      <c r="F26" s="351"/>
      <c r="G26" s="351"/>
      <c r="H26" s="351"/>
      <c r="I26" s="351"/>
      <c r="J26" s="350">
        <f>26975400+7067579-24295</f>
        <v>34018684</v>
      </c>
      <c r="K26" s="1265">
        <v>35914917</v>
      </c>
      <c r="L26" s="1282">
        <v>36134021</v>
      </c>
      <c r="M26" s="1265">
        <v>36134021</v>
      </c>
      <c r="N26" s="778">
        <v>34018684</v>
      </c>
      <c r="O26" s="1212">
        <v>35914917</v>
      </c>
      <c r="P26" s="1222">
        <v>36134021</v>
      </c>
      <c r="Q26" s="1502">
        <v>36134021</v>
      </c>
    </row>
    <row r="27" spans="1:17" s="322" customFormat="1" ht="20.100000000000001" customHeight="1" thickBot="1">
      <c r="A27" s="352"/>
      <c r="B27" s="353" t="s">
        <v>276</v>
      </c>
      <c r="C27" s="354" t="s">
        <v>277</v>
      </c>
      <c r="D27" s="779" t="s">
        <v>278</v>
      </c>
      <c r="E27" s="356"/>
      <c r="F27" s="356"/>
      <c r="G27" s="356"/>
      <c r="H27" s="356"/>
      <c r="I27" s="356"/>
      <c r="J27" s="355"/>
      <c r="K27" s="1266"/>
      <c r="L27" s="1283"/>
      <c r="M27" s="1266"/>
      <c r="N27" s="1241"/>
      <c r="O27" s="1213"/>
      <c r="P27" s="1457"/>
      <c r="Q27" s="1503"/>
    </row>
    <row r="28" spans="1:17" ht="20.100000000000001" customHeight="1" thickBot="1">
      <c r="A28" s="357" t="s">
        <v>113</v>
      </c>
      <c r="B28" s="358"/>
      <c r="C28" s="359" t="s">
        <v>279</v>
      </c>
      <c r="D28" s="776"/>
      <c r="E28" s="337"/>
      <c r="F28" s="337"/>
      <c r="G28" s="337"/>
      <c r="H28" s="337"/>
      <c r="I28" s="337"/>
      <c r="J28" s="1509"/>
      <c r="K28" s="1510"/>
      <c r="L28" s="1511"/>
      <c r="M28" s="1510"/>
      <c r="N28" s="1488"/>
      <c r="O28" s="1489"/>
      <c r="P28" s="1490"/>
      <c r="Q28" s="1504"/>
    </row>
    <row r="29" spans="1:17" s="303" customFormat="1" ht="20.100000000000001" customHeight="1" thickBot="1">
      <c r="A29" s="357" t="s">
        <v>113</v>
      </c>
      <c r="B29" s="360"/>
      <c r="C29" s="361" t="s">
        <v>280</v>
      </c>
      <c r="D29" s="780"/>
      <c r="E29" s="781"/>
      <c r="F29" s="781"/>
      <c r="G29" s="781"/>
      <c r="H29" s="781"/>
      <c r="I29" s="1072"/>
      <c r="J29" s="1050">
        <f t="shared" ref="J29:Q29" si="2">J23+J24</f>
        <v>38485017</v>
      </c>
      <c r="K29" s="1236">
        <f t="shared" si="2"/>
        <v>40389959</v>
      </c>
      <c r="L29" s="1236">
        <f t="shared" si="2"/>
        <v>40620705</v>
      </c>
      <c r="M29" s="1236">
        <f t="shared" si="2"/>
        <v>40355370</v>
      </c>
      <c r="N29" s="1050">
        <f t="shared" si="2"/>
        <v>38485017</v>
      </c>
      <c r="O29" s="1236">
        <f t="shared" si="2"/>
        <v>40389959</v>
      </c>
      <c r="P29" s="1463">
        <f t="shared" si="2"/>
        <v>40620705</v>
      </c>
      <c r="Q29" s="1463">
        <f t="shared" si="2"/>
        <v>40355370</v>
      </c>
    </row>
    <row r="30" spans="1:17" s="365" customFormat="1" ht="20.100000000000001" customHeight="1">
      <c r="A30" s="362"/>
      <c r="B30" s="362"/>
      <c r="C30" s="363"/>
      <c r="D30" s="364"/>
      <c r="E30" s="364"/>
      <c r="F30" s="364"/>
      <c r="G30" s="364"/>
      <c r="H30" s="364"/>
      <c r="I30" s="364"/>
      <c r="J30" s="364"/>
      <c r="K30" s="364"/>
      <c r="L30" s="364"/>
      <c r="M30" s="1063"/>
      <c r="N30" s="1063"/>
      <c r="O30" s="1267"/>
      <c r="P30" s="1215"/>
      <c r="Q30" s="364"/>
    </row>
    <row r="31" spans="1:17" ht="20.100000000000001" customHeight="1" thickBot="1">
      <c r="A31" s="366"/>
      <c r="B31" s="367"/>
      <c r="C31" s="367"/>
      <c r="D31" s="368"/>
      <c r="E31" s="368"/>
      <c r="F31" s="368"/>
      <c r="G31" s="368"/>
      <c r="H31" s="368"/>
      <c r="I31" s="368"/>
      <c r="J31" s="368"/>
      <c r="K31" s="368"/>
      <c r="L31" s="368"/>
      <c r="M31" s="1508"/>
      <c r="N31" s="1508"/>
      <c r="O31" s="1217"/>
      <c r="P31" s="1216"/>
      <c r="Q31" s="368"/>
    </row>
    <row r="32" spans="1:17" ht="20.100000000000001" customHeight="1" thickBot="1">
      <c r="A32" s="369"/>
      <c r="B32" s="370"/>
      <c r="C32" s="371" t="s">
        <v>281</v>
      </c>
      <c r="D32" s="312"/>
      <c r="E32" s="313"/>
      <c r="F32" s="313"/>
      <c r="G32" s="313"/>
      <c r="H32" s="313"/>
      <c r="I32" s="1235"/>
      <c r="J32" s="1240"/>
      <c r="K32" s="1264"/>
      <c r="L32" s="1280"/>
      <c r="M32" s="1512"/>
      <c r="N32" s="1240"/>
      <c r="O32" s="1236"/>
      <c r="P32" s="1234"/>
      <c r="Q32" s="1048"/>
    </row>
    <row r="33" spans="1:17" ht="20.100000000000001" customHeight="1" thickBot="1">
      <c r="A33" s="300" t="s">
        <v>15</v>
      </c>
      <c r="B33" s="324"/>
      <c r="C33" s="325" t="s">
        <v>282</v>
      </c>
      <c r="D33" s="312"/>
      <c r="E33" s="313"/>
      <c r="F33" s="313"/>
      <c r="G33" s="313"/>
      <c r="H33" s="313"/>
      <c r="I33" s="314"/>
      <c r="J33" s="1059">
        <f t="shared" ref="J33:Q33" si="3">J34+J35+J36+J37</f>
        <v>38307217</v>
      </c>
      <c r="K33" s="1237">
        <f t="shared" si="3"/>
        <v>40212159</v>
      </c>
      <c r="L33" s="1513">
        <f t="shared" si="3"/>
        <v>40442905</v>
      </c>
      <c r="M33" s="1513">
        <f t="shared" si="3"/>
        <v>33250416</v>
      </c>
      <c r="N33" s="1050">
        <f t="shared" si="3"/>
        <v>38307217</v>
      </c>
      <c r="O33" s="1236">
        <f t="shared" si="3"/>
        <v>40212159</v>
      </c>
      <c r="P33" s="1224">
        <f t="shared" si="3"/>
        <v>40442905</v>
      </c>
      <c r="Q33" s="1051">
        <f t="shared" si="3"/>
        <v>33250416</v>
      </c>
    </row>
    <row r="34" spans="1:17" ht="20.100000000000001" customHeight="1">
      <c r="A34" s="372"/>
      <c r="B34" s="373" t="s">
        <v>283</v>
      </c>
      <c r="C34" s="318" t="s">
        <v>284</v>
      </c>
      <c r="D34" s="345" t="s">
        <v>148</v>
      </c>
      <c r="E34" s="346"/>
      <c r="F34" s="346"/>
      <c r="G34" s="346"/>
      <c r="H34" s="346"/>
      <c r="I34" s="347"/>
      <c r="J34" s="345">
        <v>22076485</v>
      </c>
      <c r="K34" s="1073">
        <v>24312564</v>
      </c>
      <c r="L34" s="1281">
        <v>24312564</v>
      </c>
      <c r="M34" s="1073">
        <v>22140557</v>
      </c>
      <c r="N34" s="1286">
        <v>22076485</v>
      </c>
      <c r="O34" s="1287">
        <v>24312564</v>
      </c>
      <c r="P34" s="1472">
        <v>24312564</v>
      </c>
      <c r="Q34" s="1474">
        <v>22140557</v>
      </c>
    </row>
    <row r="35" spans="1:17" ht="20.100000000000001" customHeight="1">
      <c r="A35" s="316"/>
      <c r="B35" s="374" t="s">
        <v>285</v>
      </c>
      <c r="C35" s="323" t="s">
        <v>286</v>
      </c>
      <c r="D35" s="319" t="s">
        <v>150</v>
      </c>
      <c r="E35" s="320"/>
      <c r="F35" s="320"/>
      <c r="G35" s="320"/>
      <c r="H35" s="320"/>
      <c r="I35" s="321"/>
      <c r="J35" s="319">
        <f>4218230+8500</f>
        <v>4226730</v>
      </c>
      <c r="K35" s="1074">
        <v>3886884</v>
      </c>
      <c r="L35" s="1276">
        <v>3886884</v>
      </c>
      <c r="M35" s="1074">
        <v>3808813</v>
      </c>
      <c r="N35" s="1288">
        <v>4226730</v>
      </c>
      <c r="O35" s="1289">
        <v>3886884</v>
      </c>
      <c r="P35" s="1250">
        <v>3886884</v>
      </c>
      <c r="Q35" s="1475">
        <v>3808813</v>
      </c>
    </row>
    <row r="36" spans="1:17" ht="20.100000000000001" customHeight="1">
      <c r="A36" s="316"/>
      <c r="B36" s="374" t="s">
        <v>35</v>
      </c>
      <c r="C36" s="323" t="s">
        <v>287</v>
      </c>
      <c r="D36" s="319" t="s">
        <v>153</v>
      </c>
      <c r="E36" s="320"/>
      <c r="F36" s="320"/>
      <c r="G36" s="320"/>
      <c r="H36" s="320"/>
      <c r="I36" s="321"/>
      <c r="J36" s="319">
        <f>150000+50000+160000+70000+7768112+520700+76200+190500+38100+60000+63500+38100+2356590+80000+30000+390000-37800</f>
        <v>12004002</v>
      </c>
      <c r="K36" s="1074">
        <v>12012711</v>
      </c>
      <c r="L36" s="1276">
        <v>12243457</v>
      </c>
      <c r="M36" s="1074">
        <v>7301046</v>
      </c>
      <c r="N36" s="1288">
        <v>12004002</v>
      </c>
      <c r="O36" s="1289">
        <v>12012711</v>
      </c>
      <c r="P36" s="1250">
        <v>12243457</v>
      </c>
      <c r="Q36" s="1475">
        <v>7301046</v>
      </c>
    </row>
    <row r="37" spans="1:17" s="365" customFormat="1" ht="20.100000000000001" customHeight="1">
      <c r="A37" s="316"/>
      <c r="B37" s="374" t="s">
        <v>288</v>
      </c>
      <c r="C37" s="323" t="s">
        <v>154</v>
      </c>
      <c r="D37" s="319" t="s">
        <v>155</v>
      </c>
      <c r="E37" s="320"/>
      <c r="F37" s="320"/>
      <c r="G37" s="320"/>
      <c r="H37" s="320"/>
      <c r="I37" s="321"/>
      <c r="J37" s="319"/>
      <c r="K37" s="1074"/>
      <c r="L37" s="1276"/>
      <c r="M37" s="1074"/>
      <c r="N37" s="1288"/>
      <c r="O37" s="1289"/>
      <c r="P37" s="1222"/>
      <c r="Q37" s="1475"/>
    </row>
    <row r="38" spans="1:17" ht="20.100000000000001" customHeight="1" thickBot="1">
      <c r="A38" s="316"/>
      <c r="B38" s="374" t="s">
        <v>45</v>
      </c>
      <c r="C38" s="323" t="s">
        <v>156</v>
      </c>
      <c r="D38" s="319" t="s">
        <v>157</v>
      </c>
      <c r="E38" s="320"/>
      <c r="F38" s="320"/>
      <c r="G38" s="320"/>
      <c r="H38" s="320"/>
      <c r="I38" s="321"/>
      <c r="J38" s="319"/>
      <c r="K38" s="1074"/>
      <c r="L38" s="1276"/>
      <c r="M38" s="1074"/>
      <c r="N38" s="778"/>
      <c r="O38" s="1212"/>
      <c r="P38" s="1487"/>
      <c r="Q38" s="1475"/>
    </row>
    <row r="39" spans="1:17" ht="20.100000000000001" customHeight="1" thickBot="1">
      <c r="A39" s="300" t="s">
        <v>168</v>
      </c>
      <c r="B39" s="324"/>
      <c r="C39" s="325" t="s">
        <v>289</v>
      </c>
      <c r="D39" s="312"/>
      <c r="E39" s="313"/>
      <c r="F39" s="313"/>
      <c r="G39" s="313"/>
      <c r="H39" s="313"/>
      <c r="I39" s="314"/>
      <c r="J39" s="1042">
        <f t="shared" ref="J39:P39" si="4">J40+J41</f>
        <v>177800</v>
      </c>
      <c r="K39" s="1037">
        <f t="shared" si="4"/>
        <v>177800</v>
      </c>
      <c r="L39" s="1514">
        <f t="shared" si="4"/>
        <v>177800</v>
      </c>
      <c r="M39" s="1037">
        <f t="shared" si="4"/>
        <v>84998</v>
      </c>
      <c r="N39" s="1050">
        <f t="shared" si="4"/>
        <v>177800</v>
      </c>
      <c r="O39" s="1236">
        <f t="shared" si="4"/>
        <v>177800</v>
      </c>
      <c r="P39" s="1224">
        <f t="shared" si="4"/>
        <v>177800</v>
      </c>
      <c r="Q39" s="1498">
        <f>Q40+Q41</f>
        <v>84998</v>
      </c>
    </row>
    <row r="40" spans="1:17" ht="20.100000000000001" customHeight="1">
      <c r="A40" s="372"/>
      <c r="B40" s="373" t="s">
        <v>290</v>
      </c>
      <c r="C40" s="318" t="s">
        <v>170</v>
      </c>
      <c r="D40" s="345" t="s">
        <v>171</v>
      </c>
      <c r="E40" s="346"/>
      <c r="F40" s="346"/>
      <c r="G40" s="346"/>
      <c r="H40" s="346"/>
      <c r="I40" s="347"/>
      <c r="J40" s="345">
        <f>140000+37800</f>
        <v>177800</v>
      </c>
      <c r="K40" s="1073">
        <v>177800</v>
      </c>
      <c r="L40" s="1281">
        <v>177800</v>
      </c>
      <c r="M40" s="1073">
        <v>84998</v>
      </c>
      <c r="N40" s="1286">
        <v>177800</v>
      </c>
      <c r="O40" s="1287">
        <v>177800</v>
      </c>
      <c r="P40" s="1472">
        <v>177800</v>
      </c>
      <c r="Q40" s="1474">
        <v>84998</v>
      </c>
    </row>
    <row r="41" spans="1:17" ht="20.100000000000001" customHeight="1">
      <c r="A41" s="316"/>
      <c r="B41" s="374" t="s">
        <v>291</v>
      </c>
      <c r="C41" s="323" t="s">
        <v>172</v>
      </c>
      <c r="D41" s="319" t="s">
        <v>173</v>
      </c>
      <c r="E41" s="320"/>
      <c r="F41" s="320"/>
      <c r="G41" s="320"/>
      <c r="H41" s="320"/>
      <c r="I41" s="321"/>
      <c r="J41" s="319"/>
      <c r="K41" s="1074"/>
      <c r="L41" s="1276"/>
      <c r="M41" s="1074"/>
      <c r="N41" s="1288"/>
      <c r="O41" s="1289"/>
      <c r="P41" s="1440"/>
      <c r="Q41" s="1475"/>
    </row>
    <row r="42" spans="1:17" ht="20.100000000000001" customHeight="1">
      <c r="A42" s="316"/>
      <c r="B42" s="374" t="s">
        <v>57</v>
      </c>
      <c r="C42" s="323" t="s">
        <v>292</v>
      </c>
      <c r="D42" s="319" t="s">
        <v>175</v>
      </c>
      <c r="E42" s="320"/>
      <c r="F42" s="320"/>
      <c r="G42" s="320"/>
      <c r="H42" s="320"/>
      <c r="I42" s="321"/>
      <c r="J42" s="319"/>
      <c r="K42" s="1074"/>
      <c r="L42" s="1276"/>
      <c r="M42" s="1074"/>
      <c r="N42" s="1288"/>
      <c r="O42" s="1289"/>
      <c r="P42" s="1440"/>
      <c r="Q42" s="1475"/>
    </row>
    <row r="43" spans="1:17" ht="20.100000000000001" customHeight="1" thickBot="1">
      <c r="A43" s="316"/>
      <c r="B43" s="374" t="s">
        <v>66</v>
      </c>
      <c r="C43" s="323" t="s">
        <v>293</v>
      </c>
      <c r="D43" s="319"/>
      <c r="E43" s="320"/>
      <c r="F43" s="320"/>
      <c r="G43" s="320"/>
      <c r="H43" s="320"/>
      <c r="I43" s="321"/>
      <c r="J43" s="319"/>
      <c r="K43" s="1074"/>
      <c r="L43" s="1276"/>
      <c r="M43" s="1074"/>
      <c r="N43" s="778"/>
      <c r="O43" s="1212"/>
      <c r="P43" s="1487"/>
      <c r="Q43" s="1475"/>
    </row>
    <row r="44" spans="1:17" ht="20.100000000000001" customHeight="1" thickBot="1">
      <c r="A44" s="300" t="s">
        <v>76</v>
      </c>
      <c r="B44" s="324"/>
      <c r="C44" s="325" t="s">
        <v>294</v>
      </c>
      <c r="D44" s="336"/>
      <c r="E44" s="337"/>
      <c r="F44" s="337"/>
      <c r="G44" s="337"/>
      <c r="H44" s="337"/>
      <c r="I44" s="338"/>
      <c r="J44" s="336"/>
      <c r="K44" s="1075"/>
      <c r="L44" s="1279"/>
      <c r="M44" s="1075"/>
      <c r="N44" s="1242"/>
      <c r="O44" s="1238"/>
      <c r="P44" s="1234"/>
      <c r="Q44" s="1501"/>
    </row>
    <row r="45" spans="1:17" ht="20.100000000000001" customHeight="1" thickBot="1">
      <c r="A45" s="357" t="s">
        <v>95</v>
      </c>
      <c r="B45" s="358"/>
      <c r="C45" s="359" t="s">
        <v>295</v>
      </c>
      <c r="D45" s="336"/>
      <c r="E45" s="337"/>
      <c r="F45" s="337"/>
      <c r="G45" s="337"/>
      <c r="H45" s="337"/>
      <c r="I45" s="338"/>
      <c r="J45" s="336"/>
      <c r="K45" s="1075"/>
      <c r="L45" s="1279"/>
      <c r="M45" s="1075"/>
      <c r="N45" s="1242"/>
      <c r="O45" s="1238"/>
      <c r="P45" s="1234"/>
      <c r="Q45" s="1501"/>
    </row>
    <row r="46" spans="1:17" ht="20.100000000000001" customHeight="1" thickBot="1">
      <c r="A46" s="300" t="s">
        <v>76</v>
      </c>
      <c r="B46" s="375"/>
      <c r="C46" s="376" t="s">
        <v>296</v>
      </c>
      <c r="D46" s="312"/>
      <c r="E46" s="313"/>
      <c r="F46" s="313"/>
      <c r="G46" s="313"/>
      <c r="H46" s="313"/>
      <c r="I46" s="314"/>
      <c r="J46" s="1042">
        <f t="shared" ref="J46:P46" si="5">J33+J39</f>
        <v>38485017</v>
      </c>
      <c r="K46" s="1037">
        <f t="shared" si="5"/>
        <v>40389959</v>
      </c>
      <c r="L46" s="1514">
        <f t="shared" si="5"/>
        <v>40620705</v>
      </c>
      <c r="M46" s="1037">
        <f t="shared" si="5"/>
        <v>33335414</v>
      </c>
      <c r="N46" s="1050">
        <f t="shared" si="5"/>
        <v>38485017</v>
      </c>
      <c r="O46" s="1236">
        <f t="shared" si="5"/>
        <v>40389959</v>
      </c>
      <c r="P46" s="1224">
        <f t="shared" si="5"/>
        <v>40620705</v>
      </c>
      <c r="Q46" s="1498">
        <f>Q33+Q39</f>
        <v>33335414</v>
      </c>
    </row>
    <row r="47" spans="1:17" ht="20.100000000000001" customHeight="1" thickBot="1">
      <c r="D47" s="377"/>
      <c r="E47" s="378"/>
      <c r="F47" s="378"/>
      <c r="G47" s="378"/>
      <c r="H47" s="378"/>
      <c r="I47" s="379"/>
      <c r="J47" s="377"/>
      <c r="K47" s="1076"/>
      <c r="L47" s="1284"/>
      <c r="M47" s="1076"/>
      <c r="N47" s="1243"/>
      <c r="O47" s="1244"/>
      <c r="P47" s="1234"/>
      <c r="Q47" s="1505"/>
    </row>
    <row r="48" spans="1:17" ht="20.100000000000001" customHeight="1" thickBot="1">
      <c r="A48" s="380" t="s">
        <v>297</v>
      </c>
      <c r="B48" s="381"/>
      <c r="C48" s="382"/>
      <c r="D48" s="383"/>
      <c r="E48" s="384"/>
      <c r="F48" s="384"/>
      <c r="G48" s="384"/>
      <c r="H48" s="384"/>
      <c r="I48" s="385"/>
      <c r="J48" s="383">
        <v>6</v>
      </c>
      <c r="K48" s="1077">
        <v>6</v>
      </c>
      <c r="L48" s="1285">
        <v>6</v>
      </c>
      <c r="M48" s="1077">
        <v>6</v>
      </c>
      <c r="N48" s="1247">
        <v>6</v>
      </c>
      <c r="O48" s="1248">
        <v>6</v>
      </c>
      <c r="P48" s="1256">
        <v>6</v>
      </c>
      <c r="Q48" s="1506">
        <v>6</v>
      </c>
    </row>
    <row r="49" spans="1:17" ht="20.100000000000001" customHeight="1" thickBot="1">
      <c r="A49" s="380" t="s">
        <v>298</v>
      </c>
      <c r="B49" s="381"/>
      <c r="C49" s="382"/>
      <c r="D49" s="383"/>
      <c r="E49" s="384"/>
      <c r="F49" s="384"/>
      <c r="G49" s="384"/>
      <c r="H49" s="384"/>
      <c r="I49" s="385"/>
      <c r="J49" s="383"/>
      <c r="K49" s="1077"/>
      <c r="L49" s="1285"/>
      <c r="M49" s="1077"/>
      <c r="N49" s="1245"/>
      <c r="O49" s="1246"/>
      <c r="P49" s="1257"/>
      <c r="Q49" s="1507"/>
    </row>
    <row r="50" spans="1:17">
      <c r="F50" s="386"/>
      <c r="G50" s="386"/>
      <c r="H50" s="386"/>
      <c r="I50" s="386"/>
    </row>
    <row r="51" spans="1:17" ht="12.75" customHeight="1">
      <c r="A51" s="1789" t="s">
        <v>299</v>
      </c>
      <c r="B51" s="1789"/>
      <c r="C51" s="1789"/>
      <c r="D51" s="1789"/>
      <c r="E51" s="387"/>
      <c r="F51" s="387"/>
      <c r="G51" s="387"/>
      <c r="H51" s="387"/>
      <c r="I51" s="387"/>
    </row>
    <row r="52" spans="1:17">
      <c r="A52" s="1789"/>
      <c r="B52" s="1789"/>
      <c r="C52" s="1789"/>
    </row>
    <row r="53" spans="1:17">
      <c r="D53" s="386">
        <v>0</v>
      </c>
      <c r="E53" s="386"/>
      <c r="F53" s="386"/>
      <c r="G53" s="386"/>
      <c r="H53" s="386"/>
      <c r="I53" s="386"/>
    </row>
  </sheetData>
  <sheetProtection selectLockedCells="1" selectUnlockedCells="1"/>
  <mergeCells count="8">
    <mergeCell ref="O1:P1"/>
    <mergeCell ref="A51:D51"/>
    <mergeCell ref="A52:C52"/>
    <mergeCell ref="A3:N3"/>
    <mergeCell ref="D5:I5"/>
    <mergeCell ref="J5:M5"/>
    <mergeCell ref="A6:B6"/>
    <mergeCell ref="N5:Q5"/>
  </mergeCells>
  <phoneticPr fontId="0" type="noConversion"/>
  <pageMargins left="0.70833333333333337" right="0.70833333333333337" top="0.74791666666666667" bottom="0.74791666666666667" header="0.51180555555555551" footer="0.51180555555555551"/>
  <pageSetup paperSize="9" scale="54" firstPageNumber="0" orientation="portrait" horizontalDpi="300" verticalDpi="3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4"/>
  <sheetViews>
    <sheetView view="pageBreakPreview" topLeftCell="A10" zoomScale="60" zoomScaleNormal="100" workbookViewId="0">
      <selection activeCell="P13" sqref="P13"/>
    </sheetView>
  </sheetViews>
  <sheetFormatPr defaultColWidth="11.42578125" defaultRowHeight="12.75"/>
  <cols>
    <col min="1" max="1" width="48.140625" style="388" customWidth="1"/>
    <col min="2" max="3" width="14.85546875" style="389" customWidth="1"/>
    <col min="4" max="4" width="17.85546875" style="389" customWidth="1"/>
    <col min="5" max="5" width="14.85546875" style="389" customWidth="1"/>
    <col min="6" max="11" width="0" style="389" hidden="1" customWidth="1"/>
    <col min="12" max="16384" width="11.42578125" style="389"/>
  </cols>
  <sheetData>
    <row r="2" spans="1:11">
      <c r="B2" s="9"/>
      <c r="D2" s="1805" t="s">
        <v>300</v>
      </c>
      <c r="E2" s="1805"/>
      <c r="F2" s="390"/>
      <c r="G2" s="390"/>
      <c r="H2" s="390"/>
      <c r="I2" s="390"/>
    </row>
    <row r="4" spans="1:11" ht="19.5" customHeight="1">
      <c r="A4" s="1806" t="s">
        <v>556</v>
      </c>
      <c r="B4" s="1806"/>
      <c r="C4" s="1806"/>
      <c r="D4" s="1806"/>
      <c r="E4" s="1806"/>
      <c r="F4" s="391"/>
      <c r="G4" s="391"/>
      <c r="H4" s="391"/>
      <c r="I4" s="391"/>
    </row>
    <row r="5" spans="1:11" ht="19.5">
      <c r="A5" s="391"/>
      <c r="B5" s="391"/>
      <c r="C5" s="391"/>
      <c r="D5" s="391"/>
      <c r="E5" s="391"/>
      <c r="F5" s="391"/>
      <c r="G5" s="391"/>
      <c r="H5" s="391"/>
      <c r="I5" s="391"/>
    </row>
    <row r="6" spans="1:11" ht="20.25" customHeight="1">
      <c r="B6" s="1807" t="s">
        <v>5</v>
      </c>
      <c r="C6" s="1807"/>
      <c r="D6" s="1807"/>
      <c r="E6" s="1807"/>
      <c r="F6" s="1807"/>
      <c r="G6" s="1807"/>
      <c r="H6" s="1807"/>
      <c r="I6" s="1807"/>
      <c r="J6" s="1808" t="s">
        <v>301</v>
      </c>
      <c r="K6" s="1808"/>
    </row>
    <row r="7" spans="1:11" ht="36.75" customHeight="1">
      <c r="A7" s="1809" t="s">
        <v>139</v>
      </c>
      <c r="B7" s="1810" t="s">
        <v>587</v>
      </c>
      <c r="C7" s="1810"/>
      <c r="D7" s="1810"/>
      <c r="E7" s="1810"/>
      <c r="F7" s="1811" t="s">
        <v>302</v>
      </c>
      <c r="G7" s="1811"/>
      <c r="H7" s="1811"/>
      <c r="I7" s="1811"/>
      <c r="J7" s="1812" t="s">
        <v>303</v>
      </c>
      <c r="K7" s="1812"/>
    </row>
    <row r="8" spans="1:11" ht="41.25" customHeight="1">
      <c r="A8" s="1809"/>
      <c r="B8" s="392" t="s">
        <v>304</v>
      </c>
      <c r="C8" s="392" t="s">
        <v>305</v>
      </c>
      <c r="D8" s="392" t="s">
        <v>306</v>
      </c>
      <c r="E8" s="393" t="s">
        <v>307</v>
      </c>
      <c r="F8" s="394" t="s">
        <v>304</v>
      </c>
      <c r="G8" s="392" t="s">
        <v>305</v>
      </c>
      <c r="H8" s="392" t="s">
        <v>306</v>
      </c>
      <c r="I8" s="393" t="s">
        <v>307</v>
      </c>
      <c r="J8" s="395" t="s">
        <v>301</v>
      </c>
      <c r="K8" s="396" t="s">
        <v>308</v>
      </c>
    </row>
    <row r="9" spans="1:11" ht="30" customHeight="1">
      <c r="A9" s="397"/>
      <c r="B9" s="398"/>
      <c r="C9" s="398"/>
      <c r="D9" s="399"/>
      <c r="E9" s="400"/>
      <c r="F9" s="401"/>
      <c r="G9" s="398"/>
      <c r="H9" s="399"/>
      <c r="I9" s="402"/>
      <c r="J9" s="403"/>
      <c r="K9" s="404" t="e">
        <f>J9/E9</f>
        <v>#DIV/0!</v>
      </c>
    </row>
    <row r="10" spans="1:11" ht="30" customHeight="1">
      <c r="A10" s="397" t="s">
        <v>309</v>
      </c>
      <c r="B10" s="743">
        <v>2</v>
      </c>
      <c r="C10" s="743">
        <v>2</v>
      </c>
      <c r="D10" s="743"/>
      <c r="E10" s="400">
        <f>SUM(B10:D10)</f>
        <v>4</v>
      </c>
      <c r="F10" s="401"/>
      <c r="G10" s="398"/>
      <c r="H10" s="398"/>
      <c r="I10" s="400"/>
      <c r="J10" s="405"/>
      <c r="K10" s="406">
        <f>J10/E10</f>
        <v>0</v>
      </c>
    </row>
    <row r="11" spans="1:11" ht="30" customHeight="1">
      <c r="A11" s="751" t="s">
        <v>503</v>
      </c>
      <c r="B11" s="752">
        <v>11</v>
      </c>
      <c r="C11" s="752"/>
      <c r="D11" s="752"/>
      <c r="E11" s="400">
        <f>SUM(B11:D11)</f>
        <v>11</v>
      </c>
      <c r="F11" s="753"/>
      <c r="G11" s="754"/>
      <c r="H11" s="754"/>
      <c r="I11" s="755"/>
      <c r="J11" s="410"/>
      <c r="K11" s="411"/>
    </row>
    <row r="12" spans="1:11" ht="30" customHeight="1" thickBot="1">
      <c r="A12" s="1010" t="s">
        <v>504</v>
      </c>
      <c r="B12" s="752">
        <v>4</v>
      </c>
      <c r="C12" s="752">
        <v>2</v>
      </c>
      <c r="D12" s="752"/>
      <c r="E12" s="755">
        <f>SUM(B12:D12)</f>
        <v>6</v>
      </c>
      <c r="F12" s="408"/>
      <c r="G12" s="407"/>
      <c r="H12" s="407"/>
      <c r="I12" s="409"/>
      <c r="J12" s="410"/>
      <c r="K12" s="411">
        <f>J12/E12</f>
        <v>0</v>
      </c>
    </row>
    <row r="13" spans="1:11" ht="54.75" customHeight="1" thickBot="1">
      <c r="A13" s="1011" t="s">
        <v>310</v>
      </c>
      <c r="B13" s="1012">
        <f>SUM(B10:B12)</f>
        <v>17</v>
      </c>
      <c r="C13" s="1012">
        <f>SUM(C10:C12)</f>
        <v>4</v>
      </c>
      <c r="D13" s="1012">
        <f>SUM(D10:D12)</f>
        <v>0</v>
      </c>
      <c r="E13" s="1013">
        <f>SUM(E10:E12)</f>
        <v>21</v>
      </c>
      <c r="F13" s="1009">
        <f>SUM(F9:F12)</f>
        <v>0</v>
      </c>
      <c r="G13" s="412">
        <f>SUM(G9:G12)</f>
        <v>0</v>
      </c>
      <c r="H13" s="412">
        <f>SUM(H9:H12)</f>
        <v>0</v>
      </c>
      <c r="I13" s="413">
        <f>SUM(I9:I12)</f>
        <v>0</v>
      </c>
      <c r="J13" s="414">
        <f>SUM(J9:J12)</f>
        <v>0</v>
      </c>
      <c r="K13" s="415">
        <f>J13/E13</f>
        <v>0</v>
      </c>
    </row>
    <row r="14" spans="1:11" ht="39" customHeight="1">
      <c r="A14" s="746"/>
      <c r="B14" s="747"/>
      <c r="C14" s="747"/>
      <c r="D14" s="747"/>
      <c r="E14" s="747"/>
      <c r="F14" s="748"/>
      <c r="G14" s="748"/>
      <c r="H14" s="748"/>
      <c r="I14" s="747"/>
      <c r="J14" s="747"/>
      <c r="K14" s="416"/>
    </row>
    <row r="15" spans="1:11" ht="13.5" thickBot="1">
      <c r="K15" s="416"/>
    </row>
    <row r="16" spans="1:11" ht="20.25" customHeight="1" thickBot="1">
      <c r="A16" s="1802" t="s">
        <v>499</v>
      </c>
      <c r="B16" s="1803"/>
      <c r="C16" s="1803"/>
      <c r="D16" s="1803"/>
      <c r="E16" s="1804"/>
      <c r="F16" s="417"/>
      <c r="G16" s="418"/>
      <c r="H16" s="419"/>
      <c r="I16" s="419"/>
      <c r="J16" s="420"/>
      <c r="K16" s="421" t="e">
        <f>J16/E16</f>
        <v>#DIV/0!</v>
      </c>
    </row>
    <row r="17" spans="1:14" ht="18.75" customHeight="1">
      <c r="A17" s="1017"/>
      <c r="B17" s="1018"/>
      <c r="C17" s="1018"/>
      <c r="D17" s="1018"/>
      <c r="E17" s="1019"/>
      <c r="F17" s="745"/>
      <c r="G17" s="745"/>
      <c r="H17" s="745"/>
      <c r="I17" s="745"/>
      <c r="K17" s="416"/>
      <c r="N17" s="750"/>
    </row>
    <row r="18" spans="1:14" ht="24" customHeight="1">
      <c r="A18" s="1020" t="s">
        <v>309</v>
      </c>
      <c r="B18" s="1021"/>
      <c r="C18" s="749"/>
      <c r="D18" s="749"/>
      <c r="E18" s="1022">
        <v>1</v>
      </c>
      <c r="F18" s="745"/>
      <c r="G18" s="745"/>
      <c r="H18" s="745"/>
      <c r="I18" s="745"/>
      <c r="K18" s="416"/>
    </row>
    <row r="19" spans="1:14" ht="25.5" customHeight="1" thickBot="1">
      <c r="A19" s="1023"/>
      <c r="B19" s="1024"/>
      <c r="C19" s="1024"/>
      <c r="D19" s="1024"/>
      <c r="E19" s="1025"/>
      <c r="F19" s="745"/>
      <c r="G19" s="745"/>
      <c r="H19" s="745"/>
      <c r="I19" s="745"/>
      <c r="K19" s="416"/>
    </row>
    <row r="20" spans="1:14" ht="36.75" customHeight="1" thickBot="1">
      <c r="A20" s="1014" t="s">
        <v>500</v>
      </c>
      <c r="B20" s="1015">
        <f>SUM(B18:B19)</f>
        <v>0</v>
      </c>
      <c r="C20" s="1015"/>
      <c r="D20" s="1015"/>
      <c r="E20" s="1016">
        <f>SUM(E18:E19)</f>
        <v>1</v>
      </c>
      <c r="F20" s="745"/>
      <c r="G20" s="745"/>
      <c r="H20" s="745"/>
      <c r="I20" s="745"/>
      <c r="K20" s="416"/>
    </row>
    <row r="21" spans="1:14" ht="18.75" customHeight="1">
      <c r="A21" s="744"/>
      <c r="B21" s="744"/>
      <c r="C21" s="744"/>
      <c r="D21" s="744"/>
      <c r="E21" s="745"/>
      <c r="F21" s="745"/>
      <c r="G21" s="745"/>
      <c r="H21" s="745"/>
      <c r="I21" s="745"/>
      <c r="K21" s="416"/>
    </row>
    <row r="22" spans="1:14" ht="18.75" customHeight="1">
      <c r="A22" s="388" t="s">
        <v>311</v>
      </c>
      <c r="B22" s="744"/>
      <c r="C22" s="744"/>
      <c r="D22" s="744"/>
      <c r="E22" s="745"/>
      <c r="F22" s="745"/>
      <c r="G22" s="745"/>
      <c r="H22" s="745"/>
      <c r="I22" s="745"/>
      <c r="K22" s="416"/>
    </row>
    <row r="24" spans="1:14">
      <c r="A24" s="389"/>
    </row>
  </sheetData>
  <sheetProtection selectLockedCells="1" selectUnlockedCells="1"/>
  <mergeCells count="9">
    <mergeCell ref="A16:E16"/>
    <mergeCell ref="D2:E2"/>
    <mergeCell ref="A4:E4"/>
    <mergeCell ref="B6:I6"/>
    <mergeCell ref="J6:K6"/>
    <mergeCell ref="A7:A8"/>
    <mergeCell ref="B7:E7"/>
    <mergeCell ref="F7:I7"/>
    <mergeCell ref="J7:K7"/>
  </mergeCells>
  <phoneticPr fontId="0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63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view="pageBreakPreview" topLeftCell="A7" zoomScale="60" zoomScaleNormal="100" workbookViewId="0">
      <selection activeCell="K18" sqref="K18"/>
    </sheetView>
  </sheetViews>
  <sheetFormatPr defaultColWidth="11.42578125" defaultRowHeight="15"/>
  <cols>
    <col min="1" max="1" width="11.42578125" style="422" customWidth="1"/>
    <col min="2" max="2" width="12" style="422" customWidth="1"/>
    <col min="3" max="3" width="41.85546875" style="422" customWidth="1"/>
    <col min="4" max="4" width="14.140625" style="423" customWidth="1"/>
    <col min="5" max="5" width="13.85546875" style="423" customWidth="1"/>
    <col min="6" max="6" width="13.85546875" style="1409" bestFit="1" customWidth="1"/>
    <col min="7" max="7" width="0.5703125" style="423" hidden="1" customWidth="1"/>
    <col min="8" max="8" width="13.85546875" style="423" bestFit="1" customWidth="1"/>
    <col min="9" max="9" width="14" style="424" customWidth="1"/>
    <col min="10" max="10" width="13.5703125" style="424" customWidth="1"/>
    <col min="11" max="11" width="13.85546875" style="424" customWidth="1"/>
    <col min="12" max="12" width="13.85546875" style="424" bestFit="1" customWidth="1"/>
    <col min="13" max="13" width="13.85546875" style="424" customWidth="1"/>
    <col min="14" max="14" width="0" style="424" hidden="1" customWidth="1"/>
    <col min="15" max="18" width="0" style="422" hidden="1" customWidth="1"/>
    <col min="19" max="16384" width="11.42578125" style="422"/>
  </cols>
  <sheetData>
    <row r="1" spans="1:19">
      <c r="C1" s="9"/>
      <c r="D1" s="425"/>
      <c r="E1" s="425"/>
      <c r="F1" s="1408"/>
      <c r="G1" s="425"/>
      <c r="H1" s="425"/>
      <c r="I1" s="1822" t="s">
        <v>312</v>
      </c>
      <c r="J1" s="1822"/>
      <c r="K1" s="1822"/>
      <c r="L1" s="1822"/>
      <c r="M1" s="1822"/>
      <c r="N1" s="426"/>
    </row>
    <row r="2" spans="1:19" ht="23.25" customHeight="1">
      <c r="A2" s="1823" t="s">
        <v>505</v>
      </c>
      <c r="B2" s="1823"/>
      <c r="C2" s="1823"/>
      <c r="D2" s="1823"/>
      <c r="E2" s="1823"/>
      <c r="F2" s="1823"/>
      <c r="G2" s="1823"/>
      <c r="H2" s="1823"/>
      <c r="I2" s="1823"/>
      <c r="J2" s="1823"/>
      <c r="K2" s="1823"/>
      <c r="L2" s="1823"/>
      <c r="M2" s="1823"/>
      <c r="N2" s="427"/>
    </row>
    <row r="3" spans="1:19" ht="15" customHeight="1">
      <c r="A3" s="1824" t="s">
        <v>555</v>
      </c>
      <c r="B3" s="1824"/>
      <c r="C3" s="1824"/>
      <c r="D3" s="1824"/>
      <c r="E3" s="1824"/>
      <c r="F3" s="1824"/>
      <c r="G3" s="1824"/>
      <c r="H3" s="1824"/>
      <c r="I3" s="1824"/>
      <c r="J3" s="1824"/>
      <c r="K3" s="1824"/>
      <c r="L3" s="1824"/>
      <c r="M3" s="1824"/>
      <c r="N3" s="428"/>
    </row>
    <row r="4" spans="1:19" ht="15" customHeight="1">
      <c r="A4" s="1825" t="s">
        <v>313</v>
      </c>
      <c r="B4" s="1825"/>
      <c r="C4" s="1825"/>
      <c r="D4" s="1825"/>
      <c r="E4" s="1825"/>
      <c r="F4" s="1825"/>
      <c r="G4" s="1825"/>
      <c r="H4" s="1825"/>
      <c r="I4" s="1825"/>
      <c r="J4" s="1825"/>
      <c r="K4" s="1825"/>
      <c r="L4" s="1825"/>
      <c r="M4" s="1825"/>
      <c r="N4" s="429"/>
    </row>
    <row r="5" spans="1:19" ht="15.75" thickBot="1">
      <c r="B5" s="430"/>
      <c r="C5" s="430"/>
    </row>
    <row r="6" spans="1:19" s="433" customFormat="1" ht="41.25" customHeight="1" thickBot="1">
      <c r="A6" s="431" t="s">
        <v>2</v>
      </c>
      <c r="B6" s="1831" t="s">
        <v>139</v>
      </c>
      <c r="C6" s="1831"/>
      <c r="D6" s="1829" t="s">
        <v>5</v>
      </c>
      <c r="E6" s="1829"/>
      <c r="F6" s="1829"/>
      <c r="G6" s="1829"/>
      <c r="H6" s="1829"/>
      <c r="I6" s="1829" t="s">
        <v>314</v>
      </c>
      <c r="J6" s="1829"/>
      <c r="K6" s="1829"/>
      <c r="L6" s="1829"/>
      <c r="M6" s="1829" t="s">
        <v>315</v>
      </c>
      <c r="N6" s="1829"/>
      <c r="O6" s="1829"/>
      <c r="P6" s="1829"/>
      <c r="Q6" s="1829"/>
      <c r="R6" s="1829"/>
      <c r="S6" s="432"/>
    </row>
    <row r="7" spans="1:19" s="433" customFormat="1" ht="27" customHeight="1" thickBot="1">
      <c r="A7" s="434"/>
      <c r="B7" s="435"/>
      <c r="C7" s="435"/>
      <c r="D7" s="436" t="s">
        <v>9</v>
      </c>
      <c r="E7" s="437" t="s">
        <v>141</v>
      </c>
      <c r="F7" s="437" t="s">
        <v>142</v>
      </c>
      <c r="G7" s="437" t="s">
        <v>316</v>
      </c>
      <c r="H7" s="437" t="s">
        <v>301</v>
      </c>
      <c r="I7" s="436" t="s">
        <v>9</v>
      </c>
      <c r="J7" s="437" t="s">
        <v>141</v>
      </c>
      <c r="K7" s="437" t="s">
        <v>142</v>
      </c>
      <c r="L7" s="437" t="s">
        <v>301</v>
      </c>
      <c r="M7" s="439" t="s">
        <v>9</v>
      </c>
      <c r="N7" s="440" t="s">
        <v>141</v>
      </c>
      <c r="O7" s="437" t="s">
        <v>142</v>
      </c>
      <c r="P7" s="438" t="s">
        <v>316</v>
      </c>
      <c r="Q7" s="440" t="s">
        <v>301</v>
      </c>
      <c r="R7" s="438" t="s">
        <v>317</v>
      </c>
    </row>
    <row r="8" spans="1:19" s="433" customFormat="1" ht="27" customHeight="1" thickBot="1">
      <c r="A8" s="793">
        <v>1</v>
      </c>
      <c r="B8" s="1830" t="s">
        <v>493</v>
      </c>
      <c r="C8" s="1830"/>
      <c r="D8" s="1185">
        <v>15557610</v>
      </c>
      <c r="E8" s="1189">
        <f>15557610+213046</f>
        <v>15770656</v>
      </c>
      <c r="F8" s="1423">
        <v>15770656</v>
      </c>
      <c r="G8" s="739"/>
      <c r="H8" s="1664">
        <f>8815470+602077</f>
        <v>9417547</v>
      </c>
      <c r="I8" s="740">
        <v>15557610</v>
      </c>
      <c r="J8" s="1411">
        <v>15770656</v>
      </c>
      <c r="K8" s="1423">
        <v>15770656</v>
      </c>
      <c r="L8" s="1663">
        <v>9417547</v>
      </c>
      <c r="M8" s="797"/>
      <c r="N8" s="440"/>
      <c r="O8" s="437"/>
      <c r="P8" s="438"/>
      <c r="Q8" s="440"/>
      <c r="R8" s="438"/>
    </row>
    <row r="9" spans="1:19" s="433" customFormat="1" ht="20.100000000000001" customHeight="1" thickBot="1">
      <c r="A9" s="794">
        <v>2</v>
      </c>
      <c r="B9" s="1814" t="s">
        <v>319</v>
      </c>
      <c r="C9" s="1815"/>
      <c r="D9" s="799">
        <v>740410</v>
      </c>
      <c r="E9" s="1414">
        <v>740410</v>
      </c>
      <c r="F9" s="1424">
        <v>740410</v>
      </c>
      <c r="G9" s="1182"/>
      <c r="H9" s="1665">
        <v>466958</v>
      </c>
      <c r="I9" s="441">
        <v>740410</v>
      </c>
      <c r="J9" s="1412">
        <v>740410</v>
      </c>
      <c r="K9" s="1424">
        <v>740410</v>
      </c>
      <c r="L9" s="1663">
        <v>466958</v>
      </c>
      <c r="M9" s="798"/>
      <c r="N9" s="440"/>
      <c r="O9" s="437"/>
      <c r="P9" s="438"/>
      <c r="Q9" s="440"/>
      <c r="R9" s="438"/>
    </row>
    <row r="10" spans="1:19" s="433" customFormat="1" ht="20.100000000000001" customHeight="1" thickBot="1">
      <c r="A10" s="794">
        <v>3</v>
      </c>
      <c r="B10" s="790" t="s">
        <v>320</v>
      </c>
      <c r="C10" s="1180"/>
      <c r="D10" s="799">
        <v>152573</v>
      </c>
      <c r="E10" s="1414">
        <v>152573</v>
      </c>
      <c r="F10" s="1424">
        <v>152573</v>
      </c>
      <c r="G10" s="1182"/>
      <c r="H10" s="441">
        <v>127326</v>
      </c>
      <c r="I10" s="441">
        <v>152573</v>
      </c>
      <c r="J10" s="1189">
        <v>152573</v>
      </c>
      <c r="K10" s="1424">
        <v>152573</v>
      </c>
      <c r="L10" s="1663">
        <v>127326</v>
      </c>
      <c r="M10" s="798"/>
      <c r="N10" s="440"/>
      <c r="O10" s="437"/>
      <c r="P10" s="438"/>
      <c r="Q10" s="440"/>
      <c r="R10" s="438"/>
    </row>
    <row r="11" spans="1:19" s="433" customFormat="1" ht="20.100000000000001" customHeight="1" thickBot="1">
      <c r="A11" s="794">
        <v>4</v>
      </c>
      <c r="B11" s="1816" t="s">
        <v>321</v>
      </c>
      <c r="C11" s="1817"/>
      <c r="D11" s="799"/>
      <c r="E11" s="1415"/>
      <c r="F11" s="1424"/>
      <c r="G11" s="1182"/>
      <c r="H11" s="442"/>
      <c r="I11" s="441"/>
      <c r="J11" s="1189"/>
      <c r="K11" s="1424"/>
      <c r="L11" s="1663"/>
      <c r="M11" s="798"/>
      <c r="N11" s="440"/>
      <c r="O11" s="437"/>
      <c r="P11" s="438"/>
      <c r="Q11" s="440"/>
      <c r="R11" s="438"/>
    </row>
    <row r="12" spans="1:19" s="433" customFormat="1" ht="20.100000000000001" customHeight="1" thickBot="1">
      <c r="A12" s="794">
        <v>5</v>
      </c>
      <c r="B12" s="1816" t="s">
        <v>322</v>
      </c>
      <c r="C12" s="1817"/>
      <c r="D12" s="799"/>
      <c r="E12" s="1415"/>
      <c r="F12" s="1424"/>
      <c r="G12" s="1182"/>
      <c r="H12" s="442"/>
      <c r="I12" s="441"/>
      <c r="J12" s="1189"/>
      <c r="K12" s="1424"/>
      <c r="L12" s="1663"/>
      <c r="M12" s="799"/>
      <c r="N12" s="440"/>
      <c r="O12" s="437"/>
      <c r="P12" s="438"/>
      <c r="Q12" s="440"/>
      <c r="R12" s="438"/>
    </row>
    <row r="13" spans="1:19" s="433" customFormat="1" ht="20.100000000000001" customHeight="1" thickBot="1">
      <c r="A13" s="794">
        <v>6</v>
      </c>
      <c r="B13" s="1816" t="s">
        <v>323</v>
      </c>
      <c r="C13" s="1817"/>
      <c r="D13" s="799">
        <v>1778000</v>
      </c>
      <c r="E13" s="1414">
        <v>1778000</v>
      </c>
      <c r="F13" s="1424">
        <v>2268340</v>
      </c>
      <c r="G13" s="1182"/>
      <c r="H13" s="441">
        <v>2268340</v>
      </c>
      <c r="I13" s="1190">
        <v>1778000</v>
      </c>
      <c r="J13" s="1411">
        <v>1778000</v>
      </c>
      <c r="K13" s="1424">
        <v>2268340</v>
      </c>
      <c r="L13" s="1664">
        <v>2268340</v>
      </c>
      <c r="M13" s="800"/>
      <c r="N13" s="440"/>
      <c r="O13" s="437"/>
      <c r="P13" s="438"/>
      <c r="Q13" s="440"/>
      <c r="R13" s="438"/>
    </row>
    <row r="14" spans="1:19" s="433" customFormat="1" ht="20.100000000000001" customHeight="1" thickBot="1">
      <c r="A14" s="794">
        <v>7</v>
      </c>
      <c r="B14" s="1826" t="s">
        <v>523</v>
      </c>
      <c r="C14" s="1826"/>
      <c r="D14" s="1186">
        <f>1193000+1117600</f>
        <v>2310600</v>
      </c>
      <c r="E14" s="1416">
        <v>2310600</v>
      </c>
      <c r="F14" s="1420">
        <v>2310600</v>
      </c>
      <c r="G14" s="1417"/>
      <c r="H14" s="443">
        <f>1043873+1031023</f>
        <v>2074896</v>
      </c>
      <c r="I14" s="1191">
        <v>2310600</v>
      </c>
      <c r="J14" s="1413">
        <v>2310600</v>
      </c>
      <c r="K14" s="1420">
        <v>2310600</v>
      </c>
      <c r="L14" s="1673">
        <v>2074896</v>
      </c>
      <c r="M14" s="801"/>
      <c r="N14" s="440"/>
      <c r="O14" s="437"/>
      <c r="P14" s="438"/>
      <c r="Q14" s="440"/>
      <c r="R14" s="438"/>
    </row>
    <row r="15" spans="1:19" s="433" customFormat="1" ht="20.100000000000001" customHeight="1" thickBot="1">
      <c r="A15" s="794">
        <v>8</v>
      </c>
      <c r="B15" s="1816" t="s">
        <v>324</v>
      </c>
      <c r="C15" s="1817"/>
      <c r="D15" s="1186">
        <v>3975100</v>
      </c>
      <c r="E15" s="1416">
        <v>3975100</v>
      </c>
      <c r="F15" s="1420">
        <v>4029387</v>
      </c>
      <c r="G15" s="1417"/>
      <c r="H15" s="443">
        <v>4029387</v>
      </c>
      <c r="I15" s="1191">
        <v>3975100</v>
      </c>
      <c r="J15" s="1411">
        <v>3975100</v>
      </c>
      <c r="K15" s="1420">
        <v>4029387</v>
      </c>
      <c r="L15" s="1664">
        <v>4029387</v>
      </c>
      <c r="M15" s="800"/>
      <c r="N15" s="440"/>
      <c r="O15" s="437"/>
      <c r="P15" s="438"/>
      <c r="Q15" s="440"/>
      <c r="R15" s="438"/>
    </row>
    <row r="16" spans="1:19" ht="20.100000000000001" customHeight="1" thickBot="1">
      <c r="A16" s="795">
        <v>9</v>
      </c>
      <c r="B16" s="791" t="s">
        <v>325</v>
      </c>
      <c r="C16" s="1181"/>
      <c r="D16" s="1186">
        <v>1587500</v>
      </c>
      <c r="E16" s="1416">
        <f>1587500</f>
        <v>1587500</v>
      </c>
      <c r="F16" s="1420">
        <v>2322880</v>
      </c>
      <c r="G16" s="1417"/>
      <c r="H16" s="443">
        <v>2322880</v>
      </c>
      <c r="I16" s="1191">
        <v>1587500</v>
      </c>
      <c r="J16" s="1413">
        <v>1587500</v>
      </c>
      <c r="K16" s="1420">
        <v>2322880</v>
      </c>
      <c r="L16" s="1672">
        <v>2322880</v>
      </c>
      <c r="M16" s="801"/>
      <c r="N16" s="446"/>
      <c r="O16" s="447"/>
      <c r="P16" s="448"/>
      <c r="Q16" s="446"/>
      <c r="R16" s="448"/>
    </row>
    <row r="17" spans="1:18" ht="20.100000000000001" customHeight="1" thickBot="1">
      <c r="A17" s="795">
        <v>10</v>
      </c>
      <c r="B17" s="1816" t="s">
        <v>326</v>
      </c>
      <c r="C17" s="1817"/>
      <c r="D17" s="1186">
        <v>12371200</v>
      </c>
      <c r="E17" s="1416">
        <f>12371200-2629224</f>
        <v>9741976</v>
      </c>
      <c r="F17" s="1420">
        <v>9741976</v>
      </c>
      <c r="G17" s="1417"/>
      <c r="H17" s="443">
        <f>181980+3831798+350000+971550</f>
        <v>5335328</v>
      </c>
      <c r="I17" s="1191">
        <v>12371200</v>
      </c>
      <c r="J17" s="1413">
        <v>9741976</v>
      </c>
      <c r="K17" s="1420">
        <v>9741976</v>
      </c>
      <c r="L17" s="1672">
        <v>5335328</v>
      </c>
      <c r="M17" s="801"/>
      <c r="N17" s="444"/>
      <c r="O17" s="445"/>
      <c r="P17" s="449"/>
      <c r="Q17" s="444"/>
      <c r="R17" s="449"/>
    </row>
    <row r="18" spans="1:18" ht="20.100000000000001" customHeight="1" thickBot="1">
      <c r="A18" s="795">
        <v>11</v>
      </c>
      <c r="B18" s="1816" t="s">
        <v>327</v>
      </c>
      <c r="C18" s="1817"/>
      <c r="D18" s="1186">
        <v>1681480</v>
      </c>
      <c r="E18" s="1416">
        <v>1681480</v>
      </c>
      <c r="F18" s="1420">
        <v>1681480</v>
      </c>
      <c r="G18" s="1417"/>
      <c r="H18" s="443">
        <v>1130112</v>
      </c>
      <c r="I18" s="1191">
        <v>1681480</v>
      </c>
      <c r="J18" s="1413">
        <v>1681480</v>
      </c>
      <c r="K18" s="1420">
        <v>1681480</v>
      </c>
      <c r="L18" s="1672">
        <v>1130112</v>
      </c>
      <c r="M18" s="801"/>
      <c r="N18" s="444"/>
      <c r="O18" s="445"/>
      <c r="P18" s="449"/>
      <c r="Q18" s="444"/>
      <c r="R18" s="449"/>
    </row>
    <row r="19" spans="1:18" ht="20.100000000000001" customHeight="1" thickBot="1">
      <c r="A19" s="795">
        <v>12</v>
      </c>
      <c r="B19" s="1816" t="s">
        <v>328</v>
      </c>
      <c r="C19" s="1817"/>
      <c r="D19" s="1186">
        <f>12500610+127000</f>
        <v>12627610</v>
      </c>
      <c r="E19" s="1416">
        <v>12627610</v>
      </c>
      <c r="F19" s="1420">
        <f>12627610-1570397</f>
        <v>11057213</v>
      </c>
      <c r="G19" s="1417"/>
      <c r="H19" s="443">
        <f>884285+7486436+6790+148388</f>
        <v>8525899</v>
      </c>
      <c r="I19" s="1191">
        <v>12627610</v>
      </c>
      <c r="J19" s="1413">
        <v>12627610</v>
      </c>
      <c r="K19" s="1420">
        <f>12627610-1570397</f>
        <v>11057213</v>
      </c>
      <c r="L19" s="1674">
        <v>8525899</v>
      </c>
      <c r="M19" s="801"/>
      <c r="N19" s="444"/>
      <c r="O19" s="445"/>
      <c r="P19" s="449"/>
      <c r="Q19" s="444"/>
      <c r="R19" s="449"/>
    </row>
    <row r="20" spans="1:18" ht="27.95" customHeight="1" thickBot="1">
      <c r="A20" s="795">
        <v>13</v>
      </c>
      <c r="B20" s="1832" t="s">
        <v>329</v>
      </c>
      <c r="C20" s="1833"/>
      <c r="D20" s="1666">
        <v>717550</v>
      </c>
      <c r="E20" s="1667">
        <v>717550</v>
      </c>
      <c r="F20" s="1668">
        <v>810730</v>
      </c>
      <c r="G20" s="1669"/>
      <c r="H20" s="1670">
        <v>810730</v>
      </c>
      <c r="I20" s="1671">
        <v>717550</v>
      </c>
      <c r="J20" s="1413">
        <v>717550</v>
      </c>
      <c r="K20" s="1668">
        <v>810730</v>
      </c>
      <c r="L20" s="1672">
        <v>810730</v>
      </c>
      <c r="M20" s="801"/>
      <c r="N20" s="444"/>
      <c r="O20" s="445"/>
      <c r="P20" s="449"/>
      <c r="Q20" s="444"/>
      <c r="R20" s="449"/>
    </row>
    <row r="21" spans="1:18" ht="20.100000000000001" customHeight="1" thickBot="1">
      <c r="A21" s="795">
        <v>14</v>
      </c>
      <c r="B21" s="1832" t="s">
        <v>330</v>
      </c>
      <c r="C21" s="1833"/>
      <c r="D21" s="1186">
        <v>180975</v>
      </c>
      <c r="E21" s="1416">
        <v>180975</v>
      </c>
      <c r="F21" s="1420">
        <v>219394</v>
      </c>
      <c r="G21" s="1417"/>
      <c r="H21" s="443">
        <v>219394</v>
      </c>
      <c r="I21" s="1191">
        <v>180975</v>
      </c>
      <c r="J21" s="1413">
        <v>180975</v>
      </c>
      <c r="K21" s="1420">
        <v>219394</v>
      </c>
      <c r="L21" s="1672">
        <v>219394</v>
      </c>
      <c r="M21" s="801"/>
      <c r="N21" s="444"/>
      <c r="O21" s="445"/>
      <c r="P21" s="449"/>
      <c r="Q21" s="444"/>
      <c r="R21" s="449"/>
    </row>
    <row r="22" spans="1:18" ht="20.100000000000001" customHeight="1" thickBot="1">
      <c r="A22" s="961">
        <v>15</v>
      </c>
      <c r="B22" s="1821" t="s">
        <v>524</v>
      </c>
      <c r="C22" s="1821"/>
      <c r="D22" s="1187">
        <v>382270</v>
      </c>
      <c r="E22" s="1183">
        <v>382270</v>
      </c>
      <c r="F22" s="1421">
        <v>382270</v>
      </c>
      <c r="G22" s="1418"/>
      <c r="H22" s="963">
        <v>317948</v>
      </c>
      <c r="I22" s="962">
        <v>382270</v>
      </c>
      <c r="J22" s="1413">
        <v>382270</v>
      </c>
      <c r="K22" s="1421">
        <v>382270</v>
      </c>
      <c r="L22" s="1661">
        <v>317948</v>
      </c>
      <c r="M22" s="964"/>
      <c r="N22" s="785"/>
      <c r="O22" s="786"/>
      <c r="P22" s="787"/>
      <c r="Q22" s="785"/>
      <c r="R22" s="787"/>
    </row>
    <row r="23" spans="1:18" ht="20.100000000000001" customHeight="1" thickBot="1">
      <c r="A23" s="967">
        <v>16</v>
      </c>
      <c r="B23" s="1827" t="s">
        <v>545</v>
      </c>
      <c r="C23" s="1828"/>
      <c r="D23" s="1008">
        <v>8064500</v>
      </c>
      <c r="E23" s="1184">
        <v>8064500</v>
      </c>
      <c r="F23" s="1188">
        <v>8064500</v>
      </c>
      <c r="G23" s="1419"/>
      <c r="H23" s="965">
        <v>7062130</v>
      </c>
      <c r="I23" s="1008">
        <v>8064500</v>
      </c>
      <c r="J23" s="1413">
        <v>8064500</v>
      </c>
      <c r="K23" s="1188">
        <v>8064500</v>
      </c>
      <c r="L23" s="1662">
        <v>7062130</v>
      </c>
      <c r="M23" s="966"/>
      <c r="N23" s="785"/>
      <c r="O23" s="786"/>
      <c r="P23" s="787"/>
      <c r="Q23" s="785"/>
      <c r="R23" s="787"/>
    </row>
    <row r="24" spans="1:18" ht="20.100000000000001" customHeight="1" thickBot="1">
      <c r="A24" s="1179">
        <v>17</v>
      </c>
      <c r="B24" s="1818" t="s">
        <v>578</v>
      </c>
      <c r="C24" s="1819"/>
      <c r="D24" s="1008"/>
      <c r="E24" s="1184">
        <v>3886000</v>
      </c>
      <c r="F24" s="1188">
        <v>7895619</v>
      </c>
      <c r="G24" s="1419"/>
      <c r="H24" s="965">
        <v>7895619</v>
      </c>
      <c r="I24" s="1008"/>
      <c r="J24" s="1413">
        <v>3886000</v>
      </c>
      <c r="K24" s="1188">
        <v>7895619</v>
      </c>
      <c r="L24" s="1662">
        <v>7895619</v>
      </c>
      <c r="M24" s="966"/>
      <c r="N24" s="785"/>
      <c r="O24" s="786"/>
      <c r="P24" s="787"/>
      <c r="Q24" s="785"/>
      <c r="R24" s="787"/>
    </row>
    <row r="25" spans="1:18" ht="20.100000000000001" customHeight="1" thickBot="1">
      <c r="A25" s="1179">
        <v>18</v>
      </c>
      <c r="B25" s="1818" t="s">
        <v>579</v>
      </c>
      <c r="C25" s="1820"/>
      <c r="D25" s="1008"/>
      <c r="E25" s="1184">
        <v>335500</v>
      </c>
      <c r="F25" s="1188">
        <v>965566</v>
      </c>
      <c r="G25" s="1419"/>
      <c r="H25" s="965">
        <v>772156</v>
      </c>
      <c r="I25" s="1008"/>
      <c r="J25" s="1413">
        <v>335000</v>
      </c>
      <c r="K25" s="1188">
        <v>965566</v>
      </c>
      <c r="L25" s="1662">
        <v>772156</v>
      </c>
      <c r="M25" s="966"/>
      <c r="N25" s="785"/>
      <c r="O25" s="786"/>
      <c r="P25" s="787"/>
      <c r="Q25" s="785"/>
      <c r="R25" s="787"/>
    </row>
    <row r="26" spans="1:18" ht="27" customHeight="1" thickBot="1">
      <c r="A26" s="792"/>
      <c r="B26" s="1813" t="s">
        <v>307</v>
      </c>
      <c r="C26" s="1813"/>
      <c r="D26" s="796">
        <f>SUM(D8:D23)</f>
        <v>62127378</v>
      </c>
      <c r="E26" s="796">
        <f>SUM(E8:E25)</f>
        <v>63932700</v>
      </c>
      <c r="F26" s="796">
        <f>SUM(F8:F25)</f>
        <v>68413594</v>
      </c>
      <c r="G26" s="1410">
        <f>SUM(G8:G25)</f>
        <v>0</v>
      </c>
      <c r="H26" s="796">
        <f>SUM(H8:H25)</f>
        <v>52776650</v>
      </c>
      <c r="I26" s="796">
        <f>SUM(I8:I23)</f>
        <v>62127378</v>
      </c>
      <c r="J26" s="796">
        <f>SUM(J8:J25)</f>
        <v>63932200</v>
      </c>
      <c r="K26" s="796">
        <f>SUM(K8:K25)</f>
        <v>68413594</v>
      </c>
      <c r="L26" s="796">
        <f>SUM(L8:L25)</f>
        <v>52776650</v>
      </c>
      <c r="M26" s="1178">
        <f>SUM(M8:M21)</f>
        <v>0</v>
      </c>
      <c r="N26" s="453">
        <f>SUM(N16:N21)</f>
        <v>0</v>
      </c>
      <c r="O26" s="450">
        <f>SUM(O16:O21)</f>
        <v>0</v>
      </c>
      <c r="P26" s="452">
        <f>SUM(P16:P21)</f>
        <v>0</v>
      </c>
      <c r="Q26" s="453"/>
      <c r="R26" s="451"/>
    </row>
    <row r="30" spans="1:18">
      <c r="F30" s="1422"/>
    </row>
  </sheetData>
  <sheetProtection selectLockedCells="1" selectUnlockedCells="1"/>
  <mergeCells count="25">
    <mergeCell ref="B23:C23"/>
    <mergeCell ref="D6:H6"/>
    <mergeCell ref="I6:L6"/>
    <mergeCell ref="M6:R6"/>
    <mergeCell ref="B8:C8"/>
    <mergeCell ref="B6:C6"/>
    <mergeCell ref="B20:C20"/>
    <mergeCell ref="B21:C21"/>
    <mergeCell ref="B18:C18"/>
    <mergeCell ref="I1:M1"/>
    <mergeCell ref="A2:M2"/>
    <mergeCell ref="A3:M3"/>
    <mergeCell ref="A4:M4"/>
    <mergeCell ref="B17:C17"/>
    <mergeCell ref="B14:C14"/>
    <mergeCell ref="B26:C26"/>
    <mergeCell ref="B9:C9"/>
    <mergeCell ref="B11:C11"/>
    <mergeCell ref="B12:C12"/>
    <mergeCell ref="B13:C13"/>
    <mergeCell ref="B24:C24"/>
    <mergeCell ref="B25:C25"/>
    <mergeCell ref="B22:C22"/>
    <mergeCell ref="B19:C19"/>
    <mergeCell ref="B15:C15"/>
  </mergeCells>
  <phoneticPr fontId="0" type="noConversion"/>
  <printOptions horizontalCentered="1"/>
  <pageMargins left="0.39374999999999999" right="0.39374999999999999" top="0.78749999999999998" bottom="0.78749999999999998" header="0.51180555555555551" footer="0.51180555555555551"/>
  <pageSetup paperSize="9" scale="50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12</vt:i4>
      </vt:variant>
    </vt:vector>
  </HeadingPairs>
  <TitlesOfParts>
    <vt:vector size="36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Vitnyédi KÖH</vt:lpstr>
      <vt:lpstr>5. sz. m óvoda</vt:lpstr>
      <vt:lpstr>6 .sz.m. Létszám</vt:lpstr>
      <vt:lpstr>7.sz.m.Dologi kiadás </vt:lpstr>
      <vt:lpstr>8.sz.m.szociális kiadások</vt:lpstr>
      <vt:lpstr>9.sz.m.átadott p.e.</vt:lpstr>
      <vt:lpstr>10.sz.m.fejlesztés </vt:lpstr>
      <vt:lpstr>11. sz.m. előir felh terv</vt:lpstr>
      <vt:lpstr>12.sz.m. . saját bevételek</vt:lpstr>
      <vt:lpstr>13.sz.m. állami támogatás </vt:lpstr>
      <vt:lpstr>14. sz.m. közvetett tám.</vt:lpstr>
      <vt:lpstr>15.sz.m. tartozás</vt:lpstr>
      <vt:lpstr>Adósságot keletkeztető ügyletek</vt:lpstr>
      <vt:lpstr>17.Pénzmaradvány önk.</vt:lpstr>
      <vt:lpstr>18.Pénzmaradvány Közös H.</vt:lpstr>
      <vt:lpstr>19.Pénzmaradvány óvoda</vt:lpstr>
      <vt:lpstr>20.Vagyonkimutatás eszközök</vt:lpstr>
      <vt:lpstr>21.Vagyonkimutatás források</vt:lpstr>
      <vt:lpstr>22.Mérleg szerinti eredmény</vt:lpstr>
      <vt:lpstr>'1 .sz.m.önk.össz.kiad.'!Nyomtatási_terület</vt:lpstr>
      <vt:lpstr>'1.sz.m-önk.össze.bev'!Nyomtatási_terület</vt:lpstr>
      <vt:lpstr>'10.sz.m.fejlesztés '!Nyomtatási_terület</vt:lpstr>
      <vt:lpstr>'11.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'5. sz. m óvoda'!Nyomtatási_terület</vt:lpstr>
      <vt:lpstr>'6 .sz.m. Létszám'!Nyomtatási_terület</vt:lpstr>
      <vt:lpstr>'7.sz.m.Dologi kiadás '!Nyomtatási_terület</vt:lpstr>
      <vt:lpstr>'8.sz.m.szociális kiadások'!Nyomtatási_terület</vt:lpstr>
      <vt:lpstr>'9.sz.m.átadott p.e.'!Nyomtatási_terület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2021-05-10T13:11:10Z</cp:lastPrinted>
  <dcterms:created xsi:type="dcterms:W3CDTF">2016-02-12T06:38:50Z</dcterms:created>
  <dcterms:modified xsi:type="dcterms:W3CDTF">2021-05-26T11:23:01Z</dcterms:modified>
</cp:coreProperties>
</file>