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csisg\Documents\Dokumentumok\KG\Zárszámadás 2020\"/>
    </mc:Choice>
  </mc:AlternateContent>
  <xr:revisionPtr revIDLastSave="0" documentId="13_ncr:1_{499802C0-5381-468F-9134-06304FA15878}" xr6:coauthVersionLast="47" xr6:coauthVersionMax="47" xr10:uidLastSave="{00000000-0000-0000-0000-000000000000}"/>
  <bookViews>
    <workbookView xWindow="-110" yWindow="-110" windowWidth="19420" windowHeight="10420" tabRatio="886" firstSheet="21" activeTab="30" xr2:uid="{00000000-000D-0000-FFFF-FFFF00000000}"/>
  </bookViews>
  <sheets>
    <sheet name="Mérleg szintű össz" sheetId="12" r:id="rId1"/>
    <sheet name="Mérleg szintű ÖK" sheetId="15" r:id="rId2"/>
    <sheet name="Normatíva 2020" sheetId="4" r:id="rId3"/>
    <sheet name="Normatíva elszámolás levezetése" sheetId="33" r:id="rId4"/>
    <sheet name="Közhatalmi bevétel" sheetId="14" r:id="rId5"/>
    <sheet name="Saját bevételek" sheetId="13" r:id="rId6"/>
    <sheet name="Záró pénzkészlet" sheetId="25" r:id="rId7"/>
    <sheet name="Kiadások összesen" sheetId="32" r:id="rId8"/>
    <sheet name="Általános kiadások" sheetId="19" r:id="rId9"/>
    <sheet name="Település üzemeltetés" sheetId="20" r:id="rId10"/>
    <sheet name="Étkeztetési feladatok" sheetId="21" r:id="rId11"/>
    <sheet name="Egészségügyi feladatok" sheetId="22" r:id="rId12"/>
    <sheet name="Kulturális szolgáltatás" sheetId="23" r:id="rId13"/>
    <sheet name="Közfoglalkoztatás" sheetId="24" r:id="rId14"/>
    <sheet name="Önkormányzat személyi" sheetId="6" state="hidden" r:id="rId15"/>
    <sheet name="Önkormányzat DOLOGI" sheetId="7" state="hidden" r:id="rId16"/>
    <sheet name="Önkormányzat Települési támogat" sheetId="8" r:id="rId17"/>
    <sheet name="Önkormányzat Átadott pénzeszköz" sheetId="9" r:id="rId18"/>
    <sheet name="Önkormányzat Beruházás" sheetId="10" r:id="rId19"/>
    <sheet name="Maradvány" sheetId="34" r:id="rId20"/>
    <sheet name="Intézményi összesen" sheetId="11" r:id="rId21"/>
    <sheet name="Hivatal" sheetId="2" r:id="rId22"/>
    <sheet name="Óvoda" sheetId="16" r:id="rId23"/>
    <sheet name="Likviditás-kiadást kell fgv" sheetId="26" state="hidden" r:id="rId24"/>
    <sheet name="Létszám" sheetId="27" r:id="rId25"/>
    <sheet name="Közvetett támogatás" sheetId="28" r:id="rId26"/>
    <sheet name="Adósságot keletkeztető ügyletek" sheetId="29" r:id="rId27"/>
    <sheet name="Áthúzódó kötváll" sheetId="30" r:id="rId28"/>
    <sheet name="Mérleg" sheetId="36" r:id="rId29"/>
    <sheet name="ER" sheetId="35" r:id="rId30"/>
    <sheet name="Vagyonkimutatás" sheetId="37" r:id="rId31"/>
  </sheets>
  <definedNames>
    <definedName name="_xlnm.Print_Titles" localSheetId="9">'Település üzemeltetés'!$A:$C</definedName>
    <definedName name="_xlnm.Print_Area" localSheetId="8">'Általános kiadások'!$A$1:$M$70</definedName>
    <definedName name="_xlnm.Print_Area" localSheetId="11">'Egészségügyi feladatok'!$A$1:$AE$68</definedName>
    <definedName name="_xlnm.Print_Area" localSheetId="10">'Étkeztetési feladatok'!$A$1:$X$69</definedName>
    <definedName name="_xlnm.Print_Area" localSheetId="21">Hivatal!$B$1:$AG$118</definedName>
    <definedName name="_xlnm.Print_Area" localSheetId="20">'Intézményi összesen'!$A$1:$AC$20</definedName>
    <definedName name="_xlnm.Print_Area" localSheetId="13">Közfoglalkoztatás!$A$1:$M$16</definedName>
    <definedName name="_xlnm.Print_Area" localSheetId="4">'Közhatalmi bevétel'!$A$1:$N$21</definedName>
    <definedName name="_xlnm.Print_Area" localSheetId="12">'Kulturális szolgáltatás'!$A$1:$AB$66</definedName>
    <definedName name="_xlnm.Print_Area" localSheetId="23">'Likviditás-kiadást kell fgv'!$A$1:$N$26</definedName>
    <definedName name="_xlnm.Print_Area" localSheetId="1">'Mérleg szintű ÖK'!$A$1:$X$26</definedName>
    <definedName name="_xlnm.Print_Area" localSheetId="0">'Mérleg szintű össz'!$A$1:$BL$27</definedName>
    <definedName name="_xlnm.Print_Area" localSheetId="2">'Normatíva 2020'!$A$1:$O$68</definedName>
    <definedName name="_xlnm.Print_Area" localSheetId="22">Óvoda!$A$1:$AH$118</definedName>
    <definedName name="_xlnm.Print_Area" localSheetId="17">'Önkormányzat Átadott pénzeszköz'!$A$1:$M$43</definedName>
    <definedName name="_xlnm.Print_Area" localSheetId="18">'Önkormányzat Beruházás'!$A$1:$M$78</definedName>
    <definedName name="_xlnm.Print_Area" localSheetId="16">'Önkormányzat Települési támogat'!$A$1:$N$35</definedName>
    <definedName name="_xlnm.Print_Area" localSheetId="5">'Saját bevételek'!$A$1:$O$33</definedName>
    <definedName name="_xlnm.Print_Area" localSheetId="9">'Település üzemeltetés'!$A$1:$AP$59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5" l="1"/>
  <c r="E35" i="25"/>
  <c r="L9" i="37" l="1"/>
  <c r="M9" i="37"/>
  <c r="N9" i="37"/>
  <c r="L10" i="37"/>
  <c r="M10" i="37"/>
  <c r="N10" i="37"/>
  <c r="L11" i="37"/>
  <c r="M11" i="37"/>
  <c r="N11" i="37"/>
  <c r="L12" i="37"/>
  <c r="M12" i="37"/>
  <c r="N12" i="37"/>
  <c r="L13" i="37"/>
  <c r="M13" i="37"/>
  <c r="N13" i="37"/>
  <c r="L14" i="37"/>
  <c r="M14" i="37"/>
  <c r="N14" i="37"/>
  <c r="L15" i="37"/>
  <c r="M15" i="37"/>
  <c r="N15" i="37"/>
  <c r="L16" i="37"/>
  <c r="M16" i="37"/>
  <c r="N16" i="37"/>
  <c r="L17" i="37"/>
  <c r="M17" i="37"/>
  <c r="N17" i="37"/>
  <c r="L18" i="37"/>
  <c r="M18" i="37"/>
  <c r="N18" i="37"/>
  <c r="L19" i="37"/>
  <c r="M19" i="37"/>
  <c r="N19" i="37"/>
  <c r="L20" i="37"/>
  <c r="M20" i="37"/>
  <c r="N20" i="37"/>
  <c r="L21" i="37"/>
  <c r="M21" i="37"/>
  <c r="N21" i="37"/>
  <c r="L22" i="37"/>
  <c r="M22" i="37"/>
  <c r="N22" i="37"/>
  <c r="L23" i="37"/>
  <c r="M23" i="37"/>
  <c r="N23" i="37"/>
  <c r="L24" i="37"/>
  <c r="M24" i="37"/>
  <c r="N24" i="37"/>
  <c r="L25" i="37"/>
  <c r="M25" i="37"/>
  <c r="N25" i="37"/>
  <c r="L26" i="37"/>
  <c r="M26" i="37"/>
  <c r="N26" i="37"/>
  <c r="L27" i="37"/>
  <c r="M27" i="37"/>
  <c r="N27" i="37"/>
  <c r="L28" i="37"/>
  <c r="M28" i="37"/>
  <c r="N28" i="37"/>
  <c r="L29" i="37"/>
  <c r="M29" i="37"/>
  <c r="N29" i="37"/>
  <c r="L30" i="37"/>
  <c r="M30" i="37"/>
  <c r="N30" i="37"/>
  <c r="L31" i="37"/>
  <c r="M31" i="37"/>
  <c r="N31" i="37"/>
  <c r="L32" i="37"/>
  <c r="M32" i="37"/>
  <c r="N32" i="37"/>
  <c r="L33" i="37"/>
  <c r="M33" i="37"/>
  <c r="N33" i="37"/>
  <c r="L34" i="37"/>
  <c r="M34" i="37"/>
  <c r="N34" i="37"/>
  <c r="L35" i="37"/>
  <c r="M35" i="37"/>
  <c r="N35" i="37"/>
  <c r="L36" i="37"/>
  <c r="M36" i="37"/>
  <c r="N36" i="37"/>
  <c r="L37" i="37"/>
  <c r="M37" i="37"/>
  <c r="N37" i="37"/>
  <c r="L38" i="37"/>
  <c r="M38" i="37"/>
  <c r="N38" i="37"/>
  <c r="L39" i="37"/>
  <c r="M39" i="37"/>
  <c r="N39" i="37"/>
  <c r="L40" i="37"/>
  <c r="M40" i="37"/>
  <c r="N40" i="37"/>
  <c r="L41" i="37"/>
  <c r="M41" i="37"/>
  <c r="N41" i="37"/>
  <c r="L42" i="37"/>
  <c r="M42" i="37"/>
  <c r="N42" i="37"/>
  <c r="L43" i="37"/>
  <c r="M43" i="37"/>
  <c r="N43" i="37"/>
  <c r="L44" i="37"/>
  <c r="M44" i="37"/>
  <c r="N44" i="37"/>
  <c r="L45" i="37"/>
  <c r="M45" i="37"/>
  <c r="N45" i="37"/>
  <c r="L46" i="37"/>
  <c r="M46" i="37"/>
  <c r="N46" i="37"/>
  <c r="L47" i="37"/>
  <c r="M47" i="37"/>
  <c r="N47" i="37"/>
  <c r="L48" i="37"/>
  <c r="M48" i="37"/>
  <c r="N48" i="37"/>
  <c r="L49" i="37"/>
  <c r="M49" i="37"/>
  <c r="N49" i="37"/>
  <c r="L50" i="37"/>
  <c r="M50" i="37"/>
  <c r="N50" i="37"/>
  <c r="L51" i="37"/>
  <c r="M51" i="37"/>
  <c r="N51" i="37"/>
  <c r="L52" i="37"/>
  <c r="M52" i="37"/>
  <c r="N52" i="37"/>
  <c r="L53" i="37"/>
  <c r="M53" i="37"/>
  <c r="N53" i="37"/>
  <c r="L54" i="37"/>
  <c r="M54" i="37"/>
  <c r="N54" i="37"/>
  <c r="L55" i="37"/>
  <c r="M55" i="37"/>
  <c r="N55" i="37"/>
  <c r="L56" i="37"/>
  <c r="M56" i="37"/>
  <c r="N56" i="37"/>
  <c r="L57" i="37"/>
  <c r="M57" i="37"/>
  <c r="N57" i="37"/>
  <c r="L58" i="37"/>
  <c r="M58" i="37"/>
  <c r="N58" i="37"/>
  <c r="L59" i="37"/>
  <c r="M59" i="37"/>
  <c r="N59" i="37"/>
  <c r="L60" i="37"/>
  <c r="M60" i="37"/>
  <c r="N60" i="37"/>
  <c r="L61" i="37"/>
  <c r="M61" i="37"/>
  <c r="N61" i="37"/>
  <c r="L62" i="37"/>
  <c r="M62" i="37"/>
  <c r="N62" i="37"/>
  <c r="L63" i="37"/>
  <c r="M63" i="37"/>
  <c r="N63" i="37"/>
  <c r="L64" i="37"/>
  <c r="M64" i="37"/>
  <c r="N64" i="37"/>
  <c r="L65" i="37"/>
  <c r="M65" i="37"/>
  <c r="N65" i="37"/>
  <c r="L66" i="37"/>
  <c r="M66" i="37"/>
  <c r="N66" i="37"/>
  <c r="L67" i="37"/>
  <c r="M67" i="37"/>
  <c r="N67" i="37"/>
  <c r="L68" i="37"/>
  <c r="M68" i="37"/>
  <c r="N68" i="37"/>
  <c r="L69" i="37"/>
  <c r="M69" i="37"/>
  <c r="N69" i="37"/>
  <c r="L70" i="37"/>
  <c r="M70" i="37"/>
  <c r="N70" i="37"/>
  <c r="L71" i="37"/>
  <c r="M71" i="37"/>
  <c r="N71" i="37"/>
  <c r="L72" i="37"/>
  <c r="M72" i="37"/>
  <c r="N72" i="37"/>
  <c r="L73" i="37"/>
  <c r="M73" i="37"/>
  <c r="N73" i="37"/>
  <c r="L74" i="37"/>
  <c r="M74" i="37"/>
  <c r="N74" i="37"/>
  <c r="L75" i="37"/>
  <c r="M75" i="37"/>
  <c r="N75" i="37"/>
  <c r="L76" i="37"/>
  <c r="M76" i="37"/>
  <c r="N76" i="37"/>
  <c r="L77" i="37"/>
  <c r="M77" i="37"/>
  <c r="N77" i="37"/>
  <c r="L78" i="37"/>
  <c r="M78" i="37"/>
  <c r="N78" i="37"/>
  <c r="L79" i="37"/>
  <c r="M79" i="37"/>
  <c r="N79" i="37"/>
  <c r="L80" i="37"/>
  <c r="M80" i="37"/>
  <c r="N80" i="37"/>
  <c r="L81" i="37"/>
  <c r="M81" i="37"/>
  <c r="N81" i="37"/>
  <c r="L82" i="37"/>
  <c r="M82" i="37"/>
  <c r="N82" i="37"/>
  <c r="L83" i="37"/>
  <c r="M83" i="37"/>
  <c r="N83" i="37"/>
  <c r="L84" i="37"/>
  <c r="M84" i="37"/>
  <c r="N84" i="37"/>
  <c r="L85" i="37"/>
  <c r="M85" i="37"/>
  <c r="N85" i="37"/>
  <c r="L86" i="37"/>
  <c r="M86" i="37"/>
  <c r="N86" i="37"/>
  <c r="L87" i="37"/>
  <c r="M87" i="37"/>
  <c r="N87" i="37"/>
  <c r="L88" i="37"/>
  <c r="M88" i="37"/>
  <c r="N88" i="37"/>
  <c r="L89" i="37"/>
  <c r="M89" i="37"/>
  <c r="N89" i="37"/>
  <c r="L90" i="37"/>
  <c r="M90" i="37"/>
  <c r="N90" i="37"/>
  <c r="L91" i="37"/>
  <c r="M91" i="37"/>
  <c r="N91" i="37"/>
  <c r="L92" i="37"/>
  <c r="M92" i="37"/>
  <c r="N92" i="37"/>
  <c r="L93" i="37"/>
  <c r="M93" i="37"/>
  <c r="N93" i="37"/>
  <c r="L94" i="37"/>
  <c r="M94" i="37"/>
  <c r="N94" i="37"/>
  <c r="L95" i="37"/>
  <c r="M95" i="37"/>
  <c r="N95" i="37"/>
  <c r="L96" i="37"/>
  <c r="M96" i="37"/>
  <c r="N96" i="37"/>
  <c r="L97" i="37"/>
  <c r="M97" i="37"/>
  <c r="N97" i="37"/>
  <c r="L98" i="37"/>
  <c r="M98" i="37"/>
  <c r="N98" i="37"/>
  <c r="L99" i="37"/>
  <c r="M99" i="37"/>
  <c r="N99" i="37"/>
  <c r="L100" i="37"/>
  <c r="M100" i="37"/>
  <c r="N100" i="37"/>
  <c r="L101" i="37"/>
  <c r="M101" i="37"/>
  <c r="N101" i="37"/>
  <c r="L102" i="37"/>
  <c r="M102" i="37"/>
  <c r="N102" i="37"/>
  <c r="L103" i="37"/>
  <c r="M103" i="37"/>
  <c r="N103" i="37"/>
  <c r="L104" i="37"/>
  <c r="M104" i="37"/>
  <c r="N104" i="37"/>
  <c r="L105" i="37"/>
  <c r="M105" i="37"/>
  <c r="N105" i="37"/>
  <c r="L106" i="37"/>
  <c r="M106" i="37"/>
  <c r="N106" i="37"/>
  <c r="L107" i="37"/>
  <c r="M107" i="37"/>
  <c r="N107" i="37"/>
  <c r="L108" i="37"/>
  <c r="M108" i="37"/>
  <c r="N108" i="37"/>
  <c r="L109" i="37"/>
  <c r="M109" i="37"/>
  <c r="N109" i="37"/>
  <c r="L110" i="37"/>
  <c r="M110" i="37"/>
  <c r="N110" i="37"/>
  <c r="L111" i="37"/>
  <c r="M111" i="37"/>
  <c r="N111" i="37"/>
  <c r="L112" i="37"/>
  <c r="M112" i="37"/>
  <c r="N112" i="37"/>
  <c r="L113" i="37"/>
  <c r="M113" i="37"/>
  <c r="N113" i="37"/>
  <c r="L114" i="37"/>
  <c r="M114" i="37"/>
  <c r="N114" i="37"/>
  <c r="L115" i="37"/>
  <c r="M115" i="37"/>
  <c r="N115" i="37"/>
  <c r="M8" i="37"/>
  <c r="N8" i="37"/>
  <c r="L8" i="37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41" i="25"/>
  <c r="E5" i="25"/>
  <c r="AD14" i="12"/>
  <c r="AD17" i="12"/>
  <c r="R21" i="12"/>
  <c r="P21" i="12"/>
  <c r="Q21" i="12"/>
  <c r="BF24" i="12"/>
  <c r="BG24" i="12"/>
  <c r="BG26" i="12" s="1"/>
  <c r="BH24" i="12"/>
  <c r="BH26" i="12" s="1"/>
  <c r="BF26" i="12"/>
  <c r="BL25" i="12"/>
  <c r="BK25" i="12"/>
  <c r="BJ25" i="12"/>
  <c r="BL23" i="12"/>
  <c r="BK23" i="12"/>
  <c r="BJ23" i="12"/>
  <c r="BL21" i="12"/>
  <c r="BK21" i="12"/>
  <c r="BJ21" i="12"/>
  <c r="BJ17" i="12"/>
  <c r="BK17" i="12"/>
  <c r="BL17" i="12"/>
  <c r="AP24" i="12"/>
  <c r="AP26" i="12" s="1"/>
  <c r="AQ24" i="12"/>
  <c r="AR24" i="12"/>
  <c r="AR26" i="12" s="1"/>
  <c r="AS24" i="12"/>
  <c r="AS26" i="12" s="1"/>
  <c r="AT24" i="12"/>
  <c r="AU24" i="12"/>
  <c r="AU26" i="12" s="1"/>
  <c r="AQ26" i="12"/>
  <c r="AT26" i="12"/>
  <c r="Q19" i="12"/>
  <c r="Q20" i="12" s="1"/>
  <c r="R19" i="12"/>
  <c r="R20" i="12" s="1"/>
  <c r="R24" i="12" s="1"/>
  <c r="P19" i="12"/>
  <c r="P20" i="12" s="1"/>
  <c r="F12" i="20"/>
  <c r="V22" i="15"/>
  <c r="V20" i="15"/>
  <c r="K69" i="10"/>
  <c r="I45" i="10"/>
  <c r="I28" i="20"/>
  <c r="N9" i="8"/>
  <c r="M9" i="8" s="1"/>
  <c r="L9" i="8" s="1"/>
  <c r="M27" i="8"/>
  <c r="M28" i="8" s="1"/>
  <c r="E32" i="32" s="1"/>
  <c r="N28" i="8"/>
  <c r="E33" i="32" s="1"/>
  <c r="K47" i="32"/>
  <c r="K51" i="32" s="1"/>
  <c r="L47" i="32"/>
  <c r="L51" i="32" s="1"/>
  <c r="X19" i="15"/>
  <c r="AX20" i="12" s="1"/>
  <c r="W19" i="15"/>
  <c r="U19" i="15"/>
  <c r="F42" i="25"/>
  <c r="E42" i="25" s="1"/>
  <c r="D42" i="25"/>
  <c r="G9" i="34"/>
  <c r="G10" i="34"/>
  <c r="G11" i="34"/>
  <c r="G12" i="34"/>
  <c r="G13" i="34"/>
  <c r="G14" i="34"/>
  <c r="G15" i="34"/>
  <c r="G16" i="34"/>
  <c r="G8" i="34"/>
  <c r="AA15" i="11"/>
  <c r="AB15" i="11"/>
  <c r="AK66" i="16"/>
  <c r="AK81" i="16" s="1"/>
  <c r="AB17" i="11"/>
  <c r="AB9" i="11"/>
  <c r="AJ117" i="16"/>
  <c r="AK117" i="16"/>
  <c r="AK113" i="16"/>
  <c r="AJ113" i="16" s="1"/>
  <c r="AA18" i="11" s="1"/>
  <c r="AK101" i="16"/>
  <c r="AB11" i="11" s="1"/>
  <c r="AK40" i="16"/>
  <c r="AJ40" i="16" s="1"/>
  <c r="AK80" i="16"/>
  <c r="AJ80" i="16" s="1"/>
  <c r="AK46" i="16"/>
  <c r="AJ118" i="16"/>
  <c r="AJ116" i="16"/>
  <c r="AJ115" i="16"/>
  <c r="AJ114" i="16"/>
  <c r="AJ112" i="16"/>
  <c r="AJ111" i="16"/>
  <c r="AJ109" i="16"/>
  <c r="AJ108" i="16"/>
  <c r="AJ106" i="16"/>
  <c r="AJ105" i="16"/>
  <c r="AJ104" i="16"/>
  <c r="AJ103" i="16"/>
  <c r="AJ102" i="16"/>
  <c r="AJ101" i="16"/>
  <c r="AJ100" i="16"/>
  <c r="AJ99" i="16"/>
  <c r="AJ98" i="16"/>
  <c r="AJ97" i="16"/>
  <c r="AJ96" i="16"/>
  <c r="AJ95" i="16"/>
  <c r="AJ94" i="16"/>
  <c r="AJ93" i="16"/>
  <c r="AJ92" i="16"/>
  <c r="AJ91" i="16"/>
  <c r="AJ90" i="16"/>
  <c r="AJ89" i="16"/>
  <c r="AJ88" i="16"/>
  <c r="AJ87" i="16"/>
  <c r="AJ86" i="16"/>
  <c r="AJ85" i="16"/>
  <c r="AJ84" i="16"/>
  <c r="AJ83" i="16"/>
  <c r="AJ82" i="16"/>
  <c r="AJ79" i="16"/>
  <c r="AJ78" i="16"/>
  <c r="AJ77" i="16"/>
  <c r="AJ76" i="16"/>
  <c r="AJ75" i="16"/>
  <c r="AJ74" i="16"/>
  <c r="AJ73" i="16"/>
  <c r="AJ72" i="16"/>
  <c r="AJ71" i="16"/>
  <c r="AJ70" i="16"/>
  <c r="AJ69" i="16"/>
  <c r="AJ68" i="16"/>
  <c r="AJ67" i="16"/>
  <c r="AJ65" i="16"/>
  <c r="AJ64" i="16"/>
  <c r="AJ63" i="16"/>
  <c r="AJ62" i="16"/>
  <c r="AJ61" i="16"/>
  <c r="AJ59" i="16"/>
  <c r="AJ58" i="16"/>
  <c r="AJ57" i="16"/>
  <c r="AJ56" i="16"/>
  <c r="AJ55" i="16"/>
  <c r="AJ54" i="16"/>
  <c r="AJ53" i="16"/>
  <c r="AJ52" i="16"/>
  <c r="AJ51" i="16"/>
  <c r="AJ50" i="16"/>
  <c r="AJ49" i="16"/>
  <c r="AJ48" i="16"/>
  <c r="AJ47" i="16"/>
  <c r="AJ46" i="16"/>
  <c r="AJ45" i="16"/>
  <c r="AJ44" i="16"/>
  <c r="AJ43" i="16"/>
  <c r="AJ42" i="16"/>
  <c r="AJ41" i="16"/>
  <c r="AJ39" i="16"/>
  <c r="AJ38" i="16"/>
  <c r="AJ37" i="16"/>
  <c r="AJ36" i="16"/>
  <c r="AJ35" i="16"/>
  <c r="AJ34" i="16"/>
  <c r="AJ33" i="16"/>
  <c r="AJ32" i="16"/>
  <c r="AJ31" i="16"/>
  <c r="AJ30" i="16"/>
  <c r="AJ29" i="16"/>
  <c r="AJ28" i="16"/>
  <c r="AJ27" i="16"/>
  <c r="AJ25" i="16"/>
  <c r="AA9" i="11" s="1"/>
  <c r="AJ22" i="16"/>
  <c r="AJ21" i="16"/>
  <c r="AJ8" i="16"/>
  <c r="AJ9" i="16"/>
  <c r="AJ10" i="16"/>
  <c r="AJ11" i="16"/>
  <c r="AJ12" i="16"/>
  <c r="AJ13" i="16"/>
  <c r="AJ14" i="16"/>
  <c r="AJ15" i="16"/>
  <c r="AJ16" i="16"/>
  <c r="AJ17" i="16"/>
  <c r="AJ18" i="16"/>
  <c r="AJ19" i="16"/>
  <c r="AJ7" i="16"/>
  <c r="AK23" i="16"/>
  <c r="AK20" i="16"/>
  <c r="J19" i="11"/>
  <c r="K19" i="11"/>
  <c r="R17" i="11"/>
  <c r="AF17" i="11" s="1"/>
  <c r="AB19" i="12" s="1"/>
  <c r="R15" i="11"/>
  <c r="R14" i="11"/>
  <c r="AB96" i="2"/>
  <c r="AB97" i="2"/>
  <c r="AB98" i="2"/>
  <c r="AB99" i="2"/>
  <c r="AB100" i="2"/>
  <c r="AB101" i="2"/>
  <c r="AB102" i="2"/>
  <c r="R11" i="11"/>
  <c r="J13" i="11"/>
  <c r="J20" i="11" s="1"/>
  <c r="K13" i="11"/>
  <c r="R9" i="11"/>
  <c r="AF9" i="11" s="1"/>
  <c r="BH10" i="12" s="1"/>
  <c r="AB115" i="2"/>
  <c r="AA115" i="2" s="1"/>
  <c r="AB113" i="2"/>
  <c r="AA113" i="2" s="1"/>
  <c r="P17" i="11" s="1"/>
  <c r="AB112" i="2"/>
  <c r="AA112" i="2" s="1"/>
  <c r="P15" i="11" s="1"/>
  <c r="AB111" i="2"/>
  <c r="AB95" i="2"/>
  <c r="AA95" i="2" s="1"/>
  <c r="AC103" i="2"/>
  <c r="AB77" i="2"/>
  <c r="AA77" i="2" s="1"/>
  <c r="AB76" i="2"/>
  <c r="AA76" i="2"/>
  <c r="AB75" i="2"/>
  <c r="AB74" i="2"/>
  <c r="AB73" i="2"/>
  <c r="AA73" i="2" s="1"/>
  <c r="AB72" i="2"/>
  <c r="AA72" i="2"/>
  <c r="AA63" i="2"/>
  <c r="AB62" i="2"/>
  <c r="AB61" i="2"/>
  <c r="AB60" i="2"/>
  <c r="AB59" i="2"/>
  <c r="AA59" i="2"/>
  <c r="AB58" i="2"/>
  <c r="AA58" i="2"/>
  <c r="AB57" i="2"/>
  <c r="AA57" i="2" s="1"/>
  <c r="AB56" i="2"/>
  <c r="AB55" i="2"/>
  <c r="AB54" i="2"/>
  <c r="AB53" i="2"/>
  <c r="AB52" i="2"/>
  <c r="AB51" i="2"/>
  <c r="AB50" i="2"/>
  <c r="AA50" i="2"/>
  <c r="AB83" i="2"/>
  <c r="AC83" i="2"/>
  <c r="AC69" i="2"/>
  <c r="AB43" i="2"/>
  <c r="AB44" i="2"/>
  <c r="AB45" i="2"/>
  <c r="AA45" i="2" s="1"/>
  <c r="AB42" i="2"/>
  <c r="AB49" i="2" s="1"/>
  <c r="AC49" i="2"/>
  <c r="AB29" i="2"/>
  <c r="AB30" i="2"/>
  <c r="AB31" i="2"/>
  <c r="AB32" i="2"/>
  <c r="AB33" i="2"/>
  <c r="AB34" i="2"/>
  <c r="AA34" i="2" s="1"/>
  <c r="AA28" i="2"/>
  <c r="AB28" i="2"/>
  <c r="AC41" i="2"/>
  <c r="AB26" i="2"/>
  <c r="Q9" i="11" s="1"/>
  <c r="AE9" i="11" s="1"/>
  <c r="BG10" i="12" s="1"/>
  <c r="AC25" i="2"/>
  <c r="R8" i="11" s="1"/>
  <c r="AC24" i="2"/>
  <c r="AB23" i="2"/>
  <c r="AA23" i="2" s="1"/>
  <c r="AB22" i="2"/>
  <c r="AA22" i="2" s="1"/>
  <c r="AB21" i="2"/>
  <c r="AB8" i="2"/>
  <c r="AB9" i="2"/>
  <c r="AB10" i="2"/>
  <c r="AB11" i="2"/>
  <c r="AB12" i="2"/>
  <c r="AB13" i="2"/>
  <c r="AA13" i="2" s="1"/>
  <c r="AB14" i="2"/>
  <c r="AA14" i="2" s="1"/>
  <c r="AB15" i="2"/>
  <c r="AA15" i="2" s="1"/>
  <c r="AB16" i="2"/>
  <c r="AA16" i="2" s="1"/>
  <c r="AB17" i="2"/>
  <c r="AB18" i="2"/>
  <c r="AB19" i="2"/>
  <c r="AA19" i="2" s="1"/>
  <c r="AB7" i="2"/>
  <c r="AA7" i="2" s="1"/>
  <c r="AC20" i="2"/>
  <c r="AF16" i="11"/>
  <c r="AE16" i="11"/>
  <c r="AD16" i="11"/>
  <c r="AF14" i="11"/>
  <c r="AB10" i="12" s="1"/>
  <c r="AB11" i="12" s="1"/>
  <c r="AE12" i="11"/>
  <c r="AF12" i="11"/>
  <c r="AD12" i="11"/>
  <c r="L70" i="10"/>
  <c r="K70" i="10" s="1"/>
  <c r="L68" i="10"/>
  <c r="L69" i="10"/>
  <c r="L73" i="10"/>
  <c r="L71" i="10" s="1"/>
  <c r="K68" i="10"/>
  <c r="J68" i="10" s="1"/>
  <c r="L42" i="10"/>
  <c r="L20" i="10"/>
  <c r="K20" i="10" s="1"/>
  <c r="J20" i="10" s="1"/>
  <c r="K41" i="10"/>
  <c r="J41" i="10" s="1"/>
  <c r="L40" i="10"/>
  <c r="K40" i="10" s="1"/>
  <c r="J40" i="10" s="1"/>
  <c r="I33" i="10"/>
  <c r="K39" i="10"/>
  <c r="J39" i="10" s="1"/>
  <c r="L9" i="10"/>
  <c r="K9" i="10" s="1"/>
  <c r="K10" i="10"/>
  <c r="J10" i="10" s="1"/>
  <c r="K11" i="10"/>
  <c r="J11" i="10" s="1"/>
  <c r="K12" i="10"/>
  <c r="J12" i="10" s="1"/>
  <c r="K13" i="10"/>
  <c r="J13" i="10" s="1"/>
  <c r="K14" i="10"/>
  <c r="J14" i="10" s="1"/>
  <c r="K15" i="10"/>
  <c r="J15" i="10" s="1"/>
  <c r="K16" i="10"/>
  <c r="J16" i="10" s="1"/>
  <c r="K17" i="10"/>
  <c r="K19" i="10"/>
  <c r="J19" i="10" s="1"/>
  <c r="K21" i="10"/>
  <c r="J21" i="10" s="1"/>
  <c r="K22" i="10"/>
  <c r="J22" i="10" s="1"/>
  <c r="K23" i="10"/>
  <c r="J23" i="10" s="1"/>
  <c r="K24" i="10"/>
  <c r="J24" i="10" s="1"/>
  <c r="K25" i="10"/>
  <c r="J25" i="10" s="1"/>
  <c r="K26" i="10"/>
  <c r="J26" i="10" s="1"/>
  <c r="K27" i="10"/>
  <c r="J27" i="10" s="1"/>
  <c r="K28" i="10"/>
  <c r="J28" i="10" s="1"/>
  <c r="K29" i="10"/>
  <c r="J29" i="10" s="1"/>
  <c r="K30" i="10"/>
  <c r="J30" i="10" s="1"/>
  <c r="K31" i="10"/>
  <c r="J31" i="10" s="1"/>
  <c r="K32" i="10"/>
  <c r="J32" i="10" s="1"/>
  <c r="K34" i="10"/>
  <c r="J34" i="10" s="1"/>
  <c r="K35" i="10"/>
  <c r="J35" i="10" s="1"/>
  <c r="K36" i="10"/>
  <c r="J36" i="10" s="1"/>
  <c r="K37" i="10"/>
  <c r="J37" i="10" s="1"/>
  <c r="K38" i="10"/>
  <c r="J38" i="10" s="1"/>
  <c r="K46" i="10"/>
  <c r="J46" i="10" s="1"/>
  <c r="K47" i="10"/>
  <c r="J47" i="10" s="1"/>
  <c r="K48" i="10"/>
  <c r="J48" i="10" s="1"/>
  <c r="K49" i="10"/>
  <c r="J49" i="10" s="1"/>
  <c r="K50" i="10"/>
  <c r="K51" i="10"/>
  <c r="J51" i="10" s="1"/>
  <c r="K52" i="10"/>
  <c r="J52" i="10" s="1"/>
  <c r="K53" i="10"/>
  <c r="J53" i="10" s="1"/>
  <c r="K54" i="10"/>
  <c r="J54" i="10" s="1"/>
  <c r="K55" i="10"/>
  <c r="J55" i="10" s="1"/>
  <c r="K56" i="10"/>
  <c r="J56" i="10" s="1"/>
  <c r="K57" i="10"/>
  <c r="J57" i="10" s="1"/>
  <c r="K58" i="10"/>
  <c r="J58" i="10" s="1"/>
  <c r="K59" i="10"/>
  <c r="J59" i="10" s="1"/>
  <c r="K60" i="10"/>
  <c r="J60" i="10" s="1"/>
  <c r="K61" i="10"/>
  <c r="J61" i="10" s="1"/>
  <c r="K62" i="10"/>
  <c r="J62" i="10" s="1"/>
  <c r="K63" i="10"/>
  <c r="J63" i="10" s="1"/>
  <c r="K64" i="10"/>
  <c r="J64" i="10" s="1"/>
  <c r="K65" i="10"/>
  <c r="J65" i="10" s="1"/>
  <c r="K66" i="10"/>
  <c r="J66" i="10" s="1"/>
  <c r="K67" i="10"/>
  <c r="J67" i="10" s="1"/>
  <c r="K72" i="10"/>
  <c r="J72" i="10" s="1"/>
  <c r="K73" i="10"/>
  <c r="J73" i="10" s="1"/>
  <c r="K74" i="10"/>
  <c r="J74" i="10" s="1"/>
  <c r="K75" i="10"/>
  <c r="J75" i="10" s="1"/>
  <c r="K77" i="10"/>
  <c r="J77" i="10" s="1"/>
  <c r="M23" i="9"/>
  <c r="L23" i="9" s="1"/>
  <c r="L21" i="9"/>
  <c r="K21" i="9" s="1"/>
  <c r="L22" i="9"/>
  <c r="K22" i="9" s="1"/>
  <c r="L24" i="9"/>
  <c r="K24" i="9" s="1"/>
  <c r="L25" i="9"/>
  <c r="K25" i="9" s="1"/>
  <c r="L26" i="9"/>
  <c r="K26" i="9" s="1"/>
  <c r="L27" i="9"/>
  <c r="K27" i="9" s="1"/>
  <c r="L28" i="9"/>
  <c r="K28" i="9" s="1"/>
  <c r="L29" i="9"/>
  <c r="K29" i="9" s="1"/>
  <c r="L30" i="9"/>
  <c r="K30" i="9" s="1"/>
  <c r="L31" i="9"/>
  <c r="K31" i="9" s="1"/>
  <c r="L32" i="9"/>
  <c r="K32" i="9" s="1"/>
  <c r="L33" i="9"/>
  <c r="K33" i="9" s="1"/>
  <c r="L34" i="9"/>
  <c r="K34" i="9" s="1"/>
  <c r="L35" i="9"/>
  <c r="K35" i="9" s="1"/>
  <c r="L37" i="9"/>
  <c r="K37" i="9" s="1"/>
  <c r="L38" i="9"/>
  <c r="K38" i="9" s="1"/>
  <c r="L39" i="9"/>
  <c r="K39" i="9" s="1"/>
  <c r="L40" i="9"/>
  <c r="K40" i="9" s="1"/>
  <c r="L41" i="9"/>
  <c r="K41" i="9" s="1"/>
  <c r="L42" i="9"/>
  <c r="K42" i="9" s="1"/>
  <c r="L19" i="9"/>
  <c r="L20" i="9"/>
  <c r="K20" i="9" s="1"/>
  <c r="J7" i="9"/>
  <c r="M10" i="9"/>
  <c r="K10" i="9" s="1"/>
  <c r="K9" i="9"/>
  <c r="L9" i="9"/>
  <c r="K8" i="9"/>
  <c r="K7" i="9" s="1"/>
  <c r="L8" i="9"/>
  <c r="M11" i="9"/>
  <c r="J11" i="9"/>
  <c r="L17" i="9"/>
  <c r="K17" i="9" s="1"/>
  <c r="L16" i="9"/>
  <c r="K16" i="9" s="1"/>
  <c r="L15" i="9"/>
  <c r="K15" i="9" s="1"/>
  <c r="L13" i="9"/>
  <c r="K13" i="9" s="1"/>
  <c r="L14" i="9"/>
  <c r="K14" i="9" s="1"/>
  <c r="L12" i="9"/>
  <c r="N18" i="8"/>
  <c r="M18" i="8" s="1"/>
  <c r="L18" i="8" s="1"/>
  <c r="K12" i="8"/>
  <c r="M25" i="8"/>
  <c r="L25" i="8" s="1"/>
  <c r="M24" i="8"/>
  <c r="L24" i="8" s="1"/>
  <c r="M23" i="8"/>
  <c r="L23" i="8"/>
  <c r="M22" i="8"/>
  <c r="L22" i="8" s="1"/>
  <c r="M21" i="8"/>
  <c r="L21" i="8" s="1"/>
  <c r="M19" i="8"/>
  <c r="L19" i="8" s="1"/>
  <c r="M17" i="8"/>
  <c r="L17" i="8" s="1"/>
  <c r="M16" i="8"/>
  <c r="L16" i="8"/>
  <c r="M15" i="8"/>
  <c r="L15" i="8"/>
  <c r="M14" i="8"/>
  <c r="L14" i="8"/>
  <c r="M13" i="8"/>
  <c r="L13" i="8" s="1"/>
  <c r="M10" i="8"/>
  <c r="L10" i="8" s="1"/>
  <c r="M11" i="8"/>
  <c r="L11" i="8" s="1"/>
  <c r="M54" i="20"/>
  <c r="M57" i="20" s="1"/>
  <c r="M49" i="20"/>
  <c r="M34" i="20"/>
  <c r="M45" i="20" s="1"/>
  <c r="AS8" i="20"/>
  <c r="E29" i="32"/>
  <c r="E28" i="32"/>
  <c r="E27" i="32"/>
  <c r="D29" i="32"/>
  <c r="D28" i="32"/>
  <c r="J15" i="24"/>
  <c r="K14" i="24"/>
  <c r="K15" i="24"/>
  <c r="J11" i="24"/>
  <c r="K11" i="24"/>
  <c r="L11" i="24"/>
  <c r="L13" i="24" s="1"/>
  <c r="Z8" i="23"/>
  <c r="Z9" i="23"/>
  <c r="Z10" i="23"/>
  <c r="Z11" i="23"/>
  <c r="Z12" i="23"/>
  <c r="Z13" i="23"/>
  <c r="Z14" i="23"/>
  <c r="Y14" i="23" s="1"/>
  <c r="Z15" i="23"/>
  <c r="Y15" i="23" s="1"/>
  <c r="Z16" i="23"/>
  <c r="Z18" i="23"/>
  <c r="Y18" i="23" s="1"/>
  <c r="Z19" i="23"/>
  <c r="Z20" i="23"/>
  <c r="Y20" i="23" s="1"/>
  <c r="Z21" i="23"/>
  <c r="Z22" i="23"/>
  <c r="Y22" i="23" s="1"/>
  <c r="Z23" i="23"/>
  <c r="Y23" i="23" s="1"/>
  <c r="Z24" i="23"/>
  <c r="Z25" i="23"/>
  <c r="Z26" i="23"/>
  <c r="Z27" i="23"/>
  <c r="Y27" i="23" s="1"/>
  <c r="Z28" i="23"/>
  <c r="Y28" i="23" s="1"/>
  <c r="Z29" i="23"/>
  <c r="Y29" i="23" s="1"/>
  <c r="Z30" i="23"/>
  <c r="Y30" i="23" s="1"/>
  <c r="Z31" i="23"/>
  <c r="Y31" i="23" s="1"/>
  <c r="Z32" i="23"/>
  <c r="Z33" i="23"/>
  <c r="Y33" i="23" s="1"/>
  <c r="Z34" i="23"/>
  <c r="Y34" i="23" s="1"/>
  <c r="Z35" i="23"/>
  <c r="Y35" i="23" s="1"/>
  <c r="Z36" i="23"/>
  <c r="Y36" i="23" s="1"/>
  <c r="Z37" i="23"/>
  <c r="Y37" i="23" s="1"/>
  <c r="Z38" i="23"/>
  <c r="Y38" i="23" s="1"/>
  <c r="Z39" i="23"/>
  <c r="Y39" i="23" s="1"/>
  <c r="Z40" i="23"/>
  <c r="Z41" i="23"/>
  <c r="Y41" i="23" s="1"/>
  <c r="Z42" i="23"/>
  <c r="Y42" i="23" s="1"/>
  <c r="Z43" i="23"/>
  <c r="Y43" i="23" s="1"/>
  <c r="Z44" i="23"/>
  <c r="Y44" i="23" s="1"/>
  <c r="Z45" i="23"/>
  <c r="Y45" i="23" s="1"/>
  <c r="Z46" i="23"/>
  <c r="Y46" i="23" s="1"/>
  <c r="Z47" i="23"/>
  <c r="Y47" i="23" s="1"/>
  <c r="Z48" i="23"/>
  <c r="Z49" i="23"/>
  <c r="Y49" i="23" s="1"/>
  <c r="Z50" i="23"/>
  <c r="Y50" i="23" s="1"/>
  <c r="Z51" i="23"/>
  <c r="Y51" i="23" s="1"/>
  <c r="Z53" i="23"/>
  <c r="Z54" i="23"/>
  <c r="Y54" i="23" s="1"/>
  <c r="Z55" i="23"/>
  <c r="Y55" i="23" s="1"/>
  <c r="Z56" i="23"/>
  <c r="Z57" i="23"/>
  <c r="Z58" i="23"/>
  <c r="Y58" i="23" s="1"/>
  <c r="Z59" i="23"/>
  <c r="Y59" i="23" s="1"/>
  <c r="Z60" i="23"/>
  <c r="Y60" i="23" s="1"/>
  <c r="Z61" i="23"/>
  <c r="Y61" i="23" s="1"/>
  <c r="Z62" i="23"/>
  <c r="Y62" i="23" s="1"/>
  <c r="Z63" i="23"/>
  <c r="Y63" i="23" s="1"/>
  <c r="Z64" i="23"/>
  <c r="Z7" i="23"/>
  <c r="U17" i="23"/>
  <c r="V17" i="23"/>
  <c r="U26" i="23"/>
  <c r="V26" i="23"/>
  <c r="U52" i="23"/>
  <c r="V52" i="23"/>
  <c r="U65" i="23"/>
  <c r="V65" i="23"/>
  <c r="G17" i="23"/>
  <c r="H17" i="23"/>
  <c r="I17" i="23"/>
  <c r="K17" i="23"/>
  <c r="L17" i="23"/>
  <c r="M17" i="23"/>
  <c r="N17" i="23"/>
  <c r="O17" i="23"/>
  <c r="Q17" i="23"/>
  <c r="T17" i="23"/>
  <c r="N65" i="23"/>
  <c r="G65" i="23"/>
  <c r="H65" i="23"/>
  <c r="K65" i="23"/>
  <c r="L65" i="23"/>
  <c r="M65" i="23"/>
  <c r="Q65" i="23"/>
  <c r="T65" i="23"/>
  <c r="H52" i="23"/>
  <c r="N52" i="23"/>
  <c r="O52" i="23"/>
  <c r="T52" i="23"/>
  <c r="G26" i="23"/>
  <c r="H26" i="23"/>
  <c r="I26" i="23"/>
  <c r="K26" i="23"/>
  <c r="L26" i="23"/>
  <c r="M26" i="23"/>
  <c r="N26" i="23"/>
  <c r="O26" i="23"/>
  <c r="Q26" i="23"/>
  <c r="T26" i="23"/>
  <c r="Y8" i="23"/>
  <c r="Y9" i="23"/>
  <c r="Y10" i="23"/>
  <c r="Y11" i="23"/>
  <c r="Y12" i="23"/>
  <c r="Y13" i="23"/>
  <c r="Y16" i="23"/>
  <c r="Y19" i="23"/>
  <c r="Y21" i="23"/>
  <c r="Y24" i="23"/>
  <c r="Y25" i="23"/>
  <c r="Y32" i="23"/>
  <c r="Y40" i="23"/>
  <c r="Y48" i="23"/>
  <c r="Y53" i="23"/>
  <c r="Y56" i="23"/>
  <c r="Y57" i="23"/>
  <c r="Y64" i="23"/>
  <c r="Y7" i="23"/>
  <c r="G66" i="22"/>
  <c r="I66" i="22"/>
  <c r="K66" i="22"/>
  <c r="L66" i="22"/>
  <c r="M66" i="22"/>
  <c r="O66" i="22"/>
  <c r="P66" i="22"/>
  <c r="Q66" i="22"/>
  <c r="R66" i="22"/>
  <c r="U66" i="22"/>
  <c r="X66" i="22"/>
  <c r="Y66" i="22"/>
  <c r="Z66" i="22"/>
  <c r="G56" i="22"/>
  <c r="H56" i="22"/>
  <c r="I56" i="22"/>
  <c r="J56" i="22"/>
  <c r="K56" i="22"/>
  <c r="L56" i="22"/>
  <c r="M56" i="22"/>
  <c r="N56" i="22"/>
  <c r="O56" i="22"/>
  <c r="P56" i="22"/>
  <c r="Q56" i="22"/>
  <c r="R56" i="22"/>
  <c r="S56" i="22"/>
  <c r="U56" i="22"/>
  <c r="X56" i="22"/>
  <c r="Y56" i="22"/>
  <c r="Z56" i="22"/>
  <c r="G29" i="22"/>
  <c r="H29" i="22"/>
  <c r="I29" i="22"/>
  <c r="K29" i="22"/>
  <c r="L29" i="22"/>
  <c r="M29" i="22"/>
  <c r="O29" i="22"/>
  <c r="P29" i="22"/>
  <c r="Q29" i="22"/>
  <c r="R29" i="22"/>
  <c r="S29" i="22"/>
  <c r="U29" i="22"/>
  <c r="X29" i="22"/>
  <c r="Y29" i="22"/>
  <c r="Z29" i="22"/>
  <c r="F29" i="22"/>
  <c r="M67" i="22"/>
  <c r="M68" i="22" s="1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U13" i="22"/>
  <c r="X13" i="22"/>
  <c r="Y13" i="22"/>
  <c r="Z13" i="22"/>
  <c r="G20" i="22"/>
  <c r="H20" i="22"/>
  <c r="I20" i="22"/>
  <c r="K20" i="22"/>
  <c r="L20" i="22"/>
  <c r="M20" i="22"/>
  <c r="O20" i="22"/>
  <c r="P20" i="22"/>
  <c r="Q20" i="22"/>
  <c r="R20" i="22"/>
  <c r="S20" i="22"/>
  <c r="U20" i="22"/>
  <c r="X20" i="22"/>
  <c r="Y20" i="22"/>
  <c r="Z20" i="22"/>
  <c r="G53" i="22"/>
  <c r="H53" i="22"/>
  <c r="L53" i="22"/>
  <c r="M53" i="22"/>
  <c r="R53" i="22"/>
  <c r="S53" i="22"/>
  <c r="X53" i="22"/>
  <c r="Y53" i="22"/>
  <c r="Z53" i="22"/>
  <c r="AD9" i="22"/>
  <c r="AC9" i="22" s="1"/>
  <c r="AD10" i="22"/>
  <c r="AC10" i="22" s="1"/>
  <c r="AD11" i="22"/>
  <c r="AC11" i="22" s="1"/>
  <c r="AD12" i="22"/>
  <c r="AC12" i="22" s="1"/>
  <c r="AD14" i="22"/>
  <c r="AC14" i="22" s="1"/>
  <c r="D20" i="32" s="1"/>
  <c r="AD15" i="22"/>
  <c r="AC15" i="22" s="1"/>
  <c r="AD16" i="22"/>
  <c r="AC16" i="22" s="1"/>
  <c r="AD17" i="22"/>
  <c r="AC17" i="22" s="1"/>
  <c r="AD18" i="22"/>
  <c r="AC18" i="22" s="1"/>
  <c r="AD19" i="22"/>
  <c r="AC19" i="22" s="1"/>
  <c r="AD21" i="22"/>
  <c r="AC21" i="22" s="1"/>
  <c r="AD22" i="22"/>
  <c r="AC22" i="22" s="1"/>
  <c r="AD23" i="22"/>
  <c r="AC23" i="22" s="1"/>
  <c r="AD24" i="22"/>
  <c r="AC24" i="22" s="1"/>
  <c r="AD25" i="22"/>
  <c r="AC25" i="22" s="1"/>
  <c r="AD26" i="22"/>
  <c r="AC26" i="22" s="1"/>
  <c r="AD27" i="22"/>
  <c r="AC27" i="22" s="1"/>
  <c r="AD28" i="22"/>
  <c r="AC28" i="22" s="1"/>
  <c r="AD30" i="22"/>
  <c r="AC30" i="22" s="1"/>
  <c r="AD31" i="22"/>
  <c r="AC31" i="22" s="1"/>
  <c r="AD32" i="22"/>
  <c r="AC32" i="22" s="1"/>
  <c r="AD33" i="22"/>
  <c r="AC33" i="22" s="1"/>
  <c r="AD34" i="22"/>
  <c r="AC34" i="22" s="1"/>
  <c r="AC35" i="22"/>
  <c r="AD35" i="22"/>
  <c r="AD36" i="22"/>
  <c r="AC36" i="22" s="1"/>
  <c r="AD37" i="22"/>
  <c r="AC37" i="22" s="1"/>
  <c r="AD38" i="22"/>
  <c r="AC38" i="22" s="1"/>
  <c r="AD39" i="22"/>
  <c r="AC39" i="22" s="1"/>
  <c r="AD40" i="22"/>
  <c r="AC40" i="22" s="1"/>
  <c r="AD41" i="22"/>
  <c r="AC41" i="22" s="1"/>
  <c r="AD42" i="22"/>
  <c r="AC42" i="22" s="1"/>
  <c r="AD43" i="22"/>
  <c r="AC43" i="22" s="1"/>
  <c r="AD44" i="22"/>
  <c r="AC44" i="22" s="1"/>
  <c r="AD45" i="22"/>
  <c r="AC45" i="22" s="1"/>
  <c r="AD46" i="22"/>
  <c r="AC46" i="22" s="1"/>
  <c r="AD47" i="22"/>
  <c r="AC47" i="22" s="1"/>
  <c r="AD48" i="22"/>
  <c r="AC48" i="22" s="1"/>
  <c r="AD49" i="22"/>
  <c r="AC49" i="22" s="1"/>
  <c r="AD50" i="22"/>
  <c r="AC50" i="22" s="1"/>
  <c r="AD51" i="22"/>
  <c r="AC51" i="22" s="1"/>
  <c r="AD52" i="22"/>
  <c r="AC52" i="22" s="1"/>
  <c r="AD54" i="22"/>
  <c r="AC54" i="22" s="1"/>
  <c r="AD55" i="22"/>
  <c r="AC55" i="22" s="1"/>
  <c r="AD57" i="22"/>
  <c r="AC57" i="22" s="1"/>
  <c r="AD58" i="22"/>
  <c r="AC58" i="22" s="1"/>
  <c r="AD59" i="22"/>
  <c r="AC59" i="22" s="1"/>
  <c r="AD60" i="22"/>
  <c r="AC60" i="22" s="1"/>
  <c r="AD61" i="22"/>
  <c r="AC61" i="22" s="1"/>
  <c r="AD62" i="22"/>
  <c r="AC62" i="22" s="1"/>
  <c r="AD63" i="22"/>
  <c r="AC63" i="22" s="1"/>
  <c r="AD64" i="22"/>
  <c r="AC64" i="22" s="1"/>
  <c r="AD65" i="22"/>
  <c r="AC65" i="22" s="1"/>
  <c r="AD8" i="22"/>
  <c r="AC8" i="22" s="1"/>
  <c r="H68" i="21"/>
  <c r="I55" i="21"/>
  <c r="J55" i="21"/>
  <c r="K55" i="21"/>
  <c r="L55" i="21"/>
  <c r="M55" i="21"/>
  <c r="N55" i="21"/>
  <c r="O55" i="21"/>
  <c r="Q55" i="21"/>
  <c r="T55" i="21"/>
  <c r="W16" i="21"/>
  <c r="W17" i="21"/>
  <c r="W18" i="21"/>
  <c r="W21" i="21"/>
  <c r="W24" i="21"/>
  <c r="W25" i="21"/>
  <c r="W26" i="21"/>
  <c r="W29" i="21"/>
  <c r="W39" i="21"/>
  <c r="W44" i="21"/>
  <c r="W45" i="21"/>
  <c r="W52" i="21"/>
  <c r="W53" i="21"/>
  <c r="W56" i="21"/>
  <c r="W61" i="21"/>
  <c r="W63" i="21"/>
  <c r="W64" i="21"/>
  <c r="W65" i="21"/>
  <c r="W66" i="21"/>
  <c r="W67" i="21"/>
  <c r="X15" i="21"/>
  <c r="W15" i="21" s="1"/>
  <c r="X16" i="21"/>
  <c r="X17" i="21"/>
  <c r="X18" i="21"/>
  <c r="X19" i="21"/>
  <c r="W19" i="21" s="1"/>
  <c r="X20" i="21"/>
  <c r="W20" i="21" s="1"/>
  <c r="X21" i="21"/>
  <c r="X22" i="21"/>
  <c r="W22" i="21" s="1"/>
  <c r="X23" i="21"/>
  <c r="W23" i="21" s="1"/>
  <c r="X24" i="21"/>
  <c r="X25" i="21"/>
  <c r="X26" i="21"/>
  <c r="X27" i="21"/>
  <c r="W27" i="21" s="1"/>
  <c r="X28" i="21"/>
  <c r="W28" i="21" s="1"/>
  <c r="X29" i="21"/>
  <c r="X30" i="21"/>
  <c r="W30" i="21" s="1"/>
  <c r="X31" i="21"/>
  <c r="W31" i="21" s="1"/>
  <c r="X32" i="21"/>
  <c r="W32" i="21" s="1"/>
  <c r="X33" i="21"/>
  <c r="W33" i="21" s="1"/>
  <c r="X34" i="21"/>
  <c r="W34" i="21" s="1"/>
  <c r="X35" i="21"/>
  <c r="W35" i="21" s="1"/>
  <c r="X36" i="21"/>
  <c r="W36" i="21" s="1"/>
  <c r="X37" i="21"/>
  <c r="W37" i="21" s="1"/>
  <c r="X38" i="21"/>
  <c r="W38" i="21" s="1"/>
  <c r="X39" i="21"/>
  <c r="X40" i="21"/>
  <c r="W40" i="21" s="1"/>
  <c r="X41" i="21"/>
  <c r="W41" i="21" s="1"/>
  <c r="X42" i="21"/>
  <c r="W42" i="21" s="1"/>
  <c r="X43" i="21"/>
  <c r="W43" i="21" s="1"/>
  <c r="X44" i="21"/>
  <c r="X45" i="21"/>
  <c r="X46" i="21"/>
  <c r="W46" i="21" s="1"/>
  <c r="X47" i="21"/>
  <c r="W47" i="21" s="1"/>
  <c r="X48" i="21"/>
  <c r="W48" i="21" s="1"/>
  <c r="X49" i="21"/>
  <c r="W49" i="21" s="1"/>
  <c r="X50" i="21"/>
  <c r="W50" i="21" s="1"/>
  <c r="X51" i="21"/>
  <c r="W51" i="21" s="1"/>
  <c r="X52" i="21"/>
  <c r="X53" i="21"/>
  <c r="X54" i="21"/>
  <c r="W54" i="21" s="1"/>
  <c r="X56" i="21"/>
  <c r="X57" i="21"/>
  <c r="W57" i="21" s="1"/>
  <c r="X58" i="21"/>
  <c r="W58" i="21" s="1"/>
  <c r="X59" i="21"/>
  <c r="W59" i="21" s="1"/>
  <c r="X60" i="21"/>
  <c r="W60" i="21" s="1"/>
  <c r="X61" i="21"/>
  <c r="X62" i="21"/>
  <c r="W62" i="21" s="1"/>
  <c r="X14" i="21"/>
  <c r="W14" i="21" s="1"/>
  <c r="F68" i="21"/>
  <c r="G68" i="21"/>
  <c r="K68" i="21"/>
  <c r="K69" i="21" s="1"/>
  <c r="L68" i="21"/>
  <c r="M68" i="21"/>
  <c r="N68" i="21"/>
  <c r="T68" i="21"/>
  <c r="G55" i="21"/>
  <c r="H55" i="21"/>
  <c r="C13" i="32"/>
  <c r="C12" i="32"/>
  <c r="I57" i="20"/>
  <c r="L57" i="20"/>
  <c r="L58" i="20" s="1"/>
  <c r="L59" i="20" s="1"/>
  <c r="P57" i="20"/>
  <c r="Q57" i="20"/>
  <c r="T57" i="20"/>
  <c r="U57" i="20"/>
  <c r="V57" i="20"/>
  <c r="W57" i="20"/>
  <c r="Y57" i="20"/>
  <c r="Y58" i="20" s="1"/>
  <c r="Y59" i="20" s="1"/>
  <c r="Z57" i="20"/>
  <c r="AA57" i="20"/>
  <c r="AB57" i="20"/>
  <c r="AC57" i="20"/>
  <c r="AC58" i="20" s="1"/>
  <c r="AC59" i="20" s="1"/>
  <c r="AD57" i="20"/>
  <c r="AE57" i="20"/>
  <c r="AG57" i="20"/>
  <c r="AG58" i="20" s="1"/>
  <c r="AG59" i="20" s="1"/>
  <c r="AH57" i="20"/>
  <c r="AI57" i="20"/>
  <c r="AO57" i="20"/>
  <c r="H45" i="20"/>
  <c r="I45" i="20"/>
  <c r="J45" i="20"/>
  <c r="L45" i="20"/>
  <c r="N45" i="20"/>
  <c r="P45" i="20"/>
  <c r="Q45" i="20"/>
  <c r="R45" i="20"/>
  <c r="T45" i="20"/>
  <c r="U45" i="20"/>
  <c r="V45" i="20"/>
  <c r="W45" i="20"/>
  <c r="X45" i="20"/>
  <c r="Y45" i="20"/>
  <c r="Z45" i="20"/>
  <c r="AA45" i="20"/>
  <c r="AB45" i="20"/>
  <c r="AC45" i="20"/>
  <c r="AD45" i="20"/>
  <c r="AE45" i="20"/>
  <c r="AF45" i="20"/>
  <c r="AG45" i="20"/>
  <c r="AH45" i="20"/>
  <c r="AI45" i="20"/>
  <c r="AJ45" i="20"/>
  <c r="AO45" i="20"/>
  <c r="Y16" i="20"/>
  <c r="Z16" i="20"/>
  <c r="AA16" i="20"/>
  <c r="AB16" i="20"/>
  <c r="AC16" i="20"/>
  <c r="AD16" i="20"/>
  <c r="AE16" i="20"/>
  <c r="AF16" i="20"/>
  <c r="AG16" i="20"/>
  <c r="AH16" i="20"/>
  <c r="AI16" i="20"/>
  <c r="AJ16" i="20"/>
  <c r="AL16" i="20"/>
  <c r="AO16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A58" i="20" s="1"/>
  <c r="AA59" i="20" s="1"/>
  <c r="AB21" i="20"/>
  <c r="AC21" i="20"/>
  <c r="AD21" i="20"/>
  <c r="AE21" i="20"/>
  <c r="AF21" i="20"/>
  <c r="AG21" i="20"/>
  <c r="AH21" i="20"/>
  <c r="AI21" i="20"/>
  <c r="AJ21" i="20"/>
  <c r="AL21" i="20"/>
  <c r="AO21" i="20"/>
  <c r="AS9" i="20"/>
  <c r="AS10" i="20"/>
  <c r="AR10" i="20" s="1"/>
  <c r="AS11" i="20"/>
  <c r="AR11" i="20" s="1"/>
  <c r="AS12" i="20"/>
  <c r="AR12" i="20" s="1"/>
  <c r="AS13" i="20"/>
  <c r="AR13" i="20" s="1"/>
  <c r="AS14" i="20"/>
  <c r="AR14" i="20" s="1"/>
  <c r="AR15" i="20"/>
  <c r="AS15" i="20"/>
  <c r="AS17" i="20"/>
  <c r="AR17" i="20" s="1"/>
  <c r="AS18" i="20"/>
  <c r="AR18" i="20" s="1"/>
  <c r="AR19" i="20"/>
  <c r="AS19" i="20"/>
  <c r="AS20" i="20"/>
  <c r="AR20" i="20" s="1"/>
  <c r="AS22" i="20"/>
  <c r="AR22" i="20" s="1"/>
  <c r="AR23" i="20"/>
  <c r="AS23" i="20"/>
  <c r="AS24" i="20"/>
  <c r="AR24" i="20" s="1"/>
  <c r="AS25" i="20"/>
  <c r="AR25" i="20" s="1"/>
  <c r="AS26" i="20"/>
  <c r="AR26" i="20" s="1"/>
  <c r="AS27" i="20"/>
  <c r="AR27" i="20" s="1"/>
  <c r="AS28" i="20"/>
  <c r="AS29" i="20"/>
  <c r="AR29" i="20" s="1"/>
  <c r="AS30" i="20"/>
  <c r="AR30" i="20" s="1"/>
  <c r="AS31" i="20"/>
  <c r="AR31" i="20" s="1"/>
  <c r="AS32" i="20"/>
  <c r="AR32" i="20" s="1"/>
  <c r="AS33" i="20"/>
  <c r="AR33" i="20" s="1"/>
  <c r="AS35" i="20"/>
  <c r="AR35" i="20" s="1"/>
  <c r="AS36" i="20"/>
  <c r="AR36" i="20" s="1"/>
  <c r="AS37" i="20"/>
  <c r="AR37" i="20" s="1"/>
  <c r="AS38" i="20"/>
  <c r="AR38" i="20" s="1"/>
  <c r="AS39" i="20"/>
  <c r="AR39" i="20" s="1"/>
  <c r="AS40" i="20"/>
  <c r="AR40" i="20" s="1"/>
  <c r="AS41" i="20"/>
  <c r="AR41" i="20" s="1"/>
  <c r="AS42" i="20"/>
  <c r="AR42" i="20" s="1"/>
  <c r="AR43" i="20"/>
  <c r="AS43" i="20"/>
  <c r="AS44" i="20"/>
  <c r="AR44" i="20" s="1"/>
  <c r="AS46" i="20"/>
  <c r="AR46" i="20" s="1"/>
  <c r="AR47" i="20"/>
  <c r="AS47" i="20"/>
  <c r="AS48" i="20"/>
  <c r="AR48" i="20" s="1"/>
  <c r="AS49" i="20"/>
  <c r="AR49" i="20" s="1"/>
  <c r="AS50" i="20"/>
  <c r="AR50" i="20" s="1"/>
  <c r="AS51" i="20"/>
  <c r="AR51" i="20" s="1"/>
  <c r="AS52" i="20"/>
  <c r="AR52" i="20" s="1"/>
  <c r="AS53" i="20"/>
  <c r="AR53" i="20" s="1"/>
  <c r="AS55" i="20"/>
  <c r="AR55" i="20" s="1"/>
  <c r="AS56" i="20"/>
  <c r="AR56" i="20" s="1"/>
  <c r="AR8" i="20"/>
  <c r="H16" i="20"/>
  <c r="I16" i="20"/>
  <c r="J16" i="20"/>
  <c r="L16" i="20"/>
  <c r="M16" i="20"/>
  <c r="N16" i="20"/>
  <c r="P16" i="20"/>
  <c r="Q16" i="20"/>
  <c r="R16" i="20"/>
  <c r="T16" i="20"/>
  <c r="U16" i="20"/>
  <c r="V16" i="20"/>
  <c r="W16" i="20"/>
  <c r="K7" i="19"/>
  <c r="K8" i="19"/>
  <c r="K9" i="19"/>
  <c r="K10" i="19"/>
  <c r="K11" i="19"/>
  <c r="K12" i="19"/>
  <c r="K13" i="19"/>
  <c r="K15" i="19"/>
  <c r="K16" i="19"/>
  <c r="K17" i="19"/>
  <c r="K21" i="19"/>
  <c r="K22" i="19"/>
  <c r="K23" i="19"/>
  <c r="K24" i="19"/>
  <c r="K25" i="19"/>
  <c r="K26" i="19"/>
  <c r="K28" i="19"/>
  <c r="K29" i="19"/>
  <c r="K30" i="19"/>
  <c r="K31" i="19"/>
  <c r="K32" i="19"/>
  <c r="K34" i="19"/>
  <c r="K35" i="19"/>
  <c r="K36" i="19"/>
  <c r="K37" i="19"/>
  <c r="K38" i="19"/>
  <c r="K39" i="19"/>
  <c r="K40" i="19"/>
  <c r="K41" i="19"/>
  <c r="K43" i="19"/>
  <c r="K44" i="19"/>
  <c r="K45" i="19"/>
  <c r="K46" i="19"/>
  <c r="K47" i="19"/>
  <c r="K48" i="19"/>
  <c r="K49" i="19"/>
  <c r="K51" i="19"/>
  <c r="K52" i="19"/>
  <c r="K55" i="19"/>
  <c r="K56" i="19"/>
  <c r="K57" i="19"/>
  <c r="K58" i="19"/>
  <c r="K60" i="19"/>
  <c r="K61" i="19"/>
  <c r="K62" i="19"/>
  <c r="K63" i="19"/>
  <c r="K64" i="19"/>
  <c r="K65" i="19"/>
  <c r="K6" i="19"/>
  <c r="M50" i="19"/>
  <c r="L50" i="19"/>
  <c r="M59" i="19"/>
  <c r="L59" i="19"/>
  <c r="M27" i="19"/>
  <c r="D9" i="32"/>
  <c r="D8" i="32"/>
  <c r="H66" i="19"/>
  <c r="J66" i="19"/>
  <c r="M66" i="19"/>
  <c r="H59" i="19"/>
  <c r="J59" i="19"/>
  <c r="L66" i="19"/>
  <c r="H53" i="19"/>
  <c r="J53" i="19"/>
  <c r="L53" i="19"/>
  <c r="M53" i="19"/>
  <c r="H33" i="19"/>
  <c r="J33" i="19"/>
  <c r="L33" i="19"/>
  <c r="M33" i="19"/>
  <c r="H27" i="19"/>
  <c r="J27" i="19"/>
  <c r="L27" i="19"/>
  <c r="H20" i="19"/>
  <c r="J20" i="19"/>
  <c r="H19" i="19"/>
  <c r="H18" i="19"/>
  <c r="J18" i="19"/>
  <c r="J19" i="19" s="1"/>
  <c r="L18" i="19"/>
  <c r="L19" i="19" s="1"/>
  <c r="M18" i="19"/>
  <c r="H14" i="19"/>
  <c r="J14" i="19"/>
  <c r="L14" i="19"/>
  <c r="M14" i="19"/>
  <c r="J50" i="32"/>
  <c r="K50" i="32"/>
  <c r="U13" i="15" s="1"/>
  <c r="L50" i="32"/>
  <c r="J51" i="32"/>
  <c r="J52" i="32"/>
  <c r="K52" i="32"/>
  <c r="W13" i="15" s="1"/>
  <c r="AW14" i="12" s="1"/>
  <c r="BK14" i="12" s="1"/>
  <c r="L52" i="32"/>
  <c r="J53" i="32"/>
  <c r="K53" i="32"/>
  <c r="X13" i="15" s="1"/>
  <c r="AX14" i="12" s="1"/>
  <c r="BL14" i="12" s="1"/>
  <c r="L53" i="32"/>
  <c r="J18" i="15"/>
  <c r="K15" i="15"/>
  <c r="Q16" i="12" s="1"/>
  <c r="AE16" i="12" s="1"/>
  <c r="L15" i="15"/>
  <c r="R16" i="12" s="1"/>
  <c r="M26" i="13"/>
  <c r="M25" i="13"/>
  <c r="N27" i="13"/>
  <c r="O27" i="13"/>
  <c r="L27" i="13"/>
  <c r="M22" i="13"/>
  <c r="M23" i="13"/>
  <c r="M21" i="13"/>
  <c r="M20" i="13"/>
  <c r="M18" i="13"/>
  <c r="M9" i="13"/>
  <c r="M12" i="13"/>
  <c r="M17" i="13"/>
  <c r="N17" i="13"/>
  <c r="O17" i="13"/>
  <c r="N15" i="13"/>
  <c r="O15" i="13"/>
  <c r="N6" i="13"/>
  <c r="O6" i="13"/>
  <c r="K20" i="14"/>
  <c r="K17" i="14" s="1"/>
  <c r="K19" i="14"/>
  <c r="K15" i="14"/>
  <c r="K14" i="14"/>
  <c r="L14" i="14"/>
  <c r="M14" i="14"/>
  <c r="K13" i="14"/>
  <c r="K12" i="14"/>
  <c r="K11" i="14" s="1"/>
  <c r="K16" i="14" s="1"/>
  <c r="K9" i="14"/>
  <c r="K10" i="14"/>
  <c r="K8" i="14"/>
  <c r="K7" i="14"/>
  <c r="L7" i="14"/>
  <c r="M7" i="14"/>
  <c r="L11" i="14"/>
  <c r="L16" i="14" s="1"/>
  <c r="L21" i="14" s="1"/>
  <c r="K12" i="15" s="1"/>
  <c r="Q13" i="12" s="1"/>
  <c r="AE13" i="12" s="1"/>
  <c r="M11" i="14"/>
  <c r="L17" i="14"/>
  <c r="M17" i="14"/>
  <c r="R10" i="12"/>
  <c r="K11" i="15"/>
  <c r="Q12" i="12" s="1"/>
  <c r="AE12" i="12" s="1"/>
  <c r="L11" i="15"/>
  <c r="R12" i="12" s="1"/>
  <c r="AF12" i="12" s="1"/>
  <c r="M64" i="4"/>
  <c r="M66" i="4"/>
  <c r="I67" i="4"/>
  <c r="K67" i="4"/>
  <c r="N67" i="4"/>
  <c r="O67" i="4"/>
  <c r="H67" i="4"/>
  <c r="M54" i="4"/>
  <c r="M55" i="4"/>
  <c r="M56" i="4"/>
  <c r="M57" i="4"/>
  <c r="M58" i="4"/>
  <c r="M59" i="4"/>
  <c r="M60" i="4"/>
  <c r="M53" i="4"/>
  <c r="K9" i="15"/>
  <c r="Q10" i="12" s="1"/>
  <c r="L8" i="15"/>
  <c r="L10" i="15" s="1"/>
  <c r="I61" i="4"/>
  <c r="N61" i="4"/>
  <c r="O61" i="4"/>
  <c r="L9" i="15" s="1"/>
  <c r="H61" i="4"/>
  <c r="M26" i="4"/>
  <c r="M27" i="4"/>
  <c r="M28" i="4"/>
  <c r="M29" i="4"/>
  <c r="M30" i="4"/>
  <c r="M32" i="4"/>
  <c r="M33" i="4"/>
  <c r="M36" i="4"/>
  <c r="M37" i="4"/>
  <c r="M40" i="4"/>
  <c r="M42" i="4"/>
  <c r="M44" i="4"/>
  <c r="M45" i="4"/>
  <c r="M46" i="4"/>
  <c r="M48" i="4"/>
  <c r="M49" i="4"/>
  <c r="M50" i="4"/>
  <c r="M51" i="4"/>
  <c r="M25" i="4"/>
  <c r="I52" i="4"/>
  <c r="K52" i="4"/>
  <c r="N52" i="4"/>
  <c r="K8" i="15" s="1"/>
  <c r="O52" i="4"/>
  <c r="J19" i="15"/>
  <c r="J23" i="15" s="1"/>
  <c r="J25" i="15" s="1"/>
  <c r="K19" i="15"/>
  <c r="K23" i="15" s="1"/>
  <c r="K25" i="15" s="1"/>
  <c r="L19" i="15"/>
  <c r="L23" i="15" s="1"/>
  <c r="L25" i="15" s="1"/>
  <c r="J24" i="12"/>
  <c r="K24" i="12"/>
  <c r="L24" i="12"/>
  <c r="M24" i="12"/>
  <c r="AB20" i="12"/>
  <c r="M20" i="12"/>
  <c r="N20" i="12"/>
  <c r="O20" i="12"/>
  <c r="AD21" i="12"/>
  <c r="AE21" i="12"/>
  <c r="AF21" i="12"/>
  <c r="AD23" i="12"/>
  <c r="AE23" i="12"/>
  <c r="AF23" i="12"/>
  <c r="AD25" i="12"/>
  <c r="AE25" i="12"/>
  <c r="AF25" i="12"/>
  <c r="AF10" i="12"/>
  <c r="AF14" i="12"/>
  <c r="AF17" i="12"/>
  <c r="AE14" i="12"/>
  <c r="AE17" i="12"/>
  <c r="K10" i="15" l="1"/>
  <c r="Q9" i="12"/>
  <c r="AE9" i="12" s="1"/>
  <c r="AR28" i="20"/>
  <c r="M67" i="4"/>
  <c r="J11" i="15" s="1"/>
  <c r="P12" i="12" s="1"/>
  <c r="AD12" i="12" s="1"/>
  <c r="AC84" i="2"/>
  <c r="R10" i="11" s="1"/>
  <c r="AA11" i="11"/>
  <c r="AD58" i="20"/>
  <c r="AD59" i="20" s="1"/>
  <c r="V58" i="20"/>
  <c r="V59" i="20" s="1"/>
  <c r="X55" i="21"/>
  <c r="W55" i="21" s="1"/>
  <c r="R67" i="22"/>
  <c r="R68" i="22" s="1"/>
  <c r="Y67" i="22"/>
  <c r="Y68" i="22" s="1"/>
  <c r="N12" i="8"/>
  <c r="AA41" i="2"/>
  <c r="AF11" i="11"/>
  <c r="BH15" i="12" s="1"/>
  <c r="Q17" i="11"/>
  <c r="L45" i="10"/>
  <c r="U58" i="20"/>
  <c r="U59" i="20" s="1"/>
  <c r="AC29" i="22"/>
  <c r="N8" i="8"/>
  <c r="AB24" i="2"/>
  <c r="AB103" i="2"/>
  <c r="Q11" i="11" s="1"/>
  <c r="AE11" i="11" s="1"/>
  <c r="BG15" i="12" s="1"/>
  <c r="K20" i="11"/>
  <c r="K45" i="10"/>
  <c r="R9" i="12"/>
  <c r="AE58" i="20"/>
  <c r="AE59" i="20" s="1"/>
  <c r="AB58" i="20"/>
  <c r="AB59" i="20" s="1"/>
  <c r="T58" i="20"/>
  <c r="T59" i="20" s="1"/>
  <c r="AC27" i="2"/>
  <c r="AJ66" i="16"/>
  <c r="AJ81" i="16" s="1"/>
  <c r="AA17" i="11"/>
  <c r="AA19" i="11" s="1"/>
  <c r="N24" i="13"/>
  <c r="G69" i="21"/>
  <c r="Z52" i="23"/>
  <c r="AA42" i="2"/>
  <c r="AA49" i="2" s="1"/>
  <c r="AB18" i="11"/>
  <c r="AB19" i="11" s="1"/>
  <c r="Z17" i="23"/>
  <c r="Y17" i="23" s="1"/>
  <c r="M16" i="14"/>
  <c r="M19" i="19"/>
  <c r="C9" i="32" s="1"/>
  <c r="AR9" i="20"/>
  <c r="D13" i="32"/>
  <c r="D53" i="32" s="1"/>
  <c r="X9" i="15" s="1"/>
  <c r="AX10" i="12" s="1"/>
  <c r="BL10" i="12" s="1"/>
  <c r="AS21" i="20"/>
  <c r="AR21" i="20" s="1"/>
  <c r="P58" i="20"/>
  <c r="P59" i="20" s="1"/>
  <c r="D21" i="32"/>
  <c r="Z65" i="23"/>
  <c r="L16" i="24"/>
  <c r="C29" i="32"/>
  <c r="K13" i="24"/>
  <c r="AA111" i="2"/>
  <c r="P14" i="11" s="1"/>
  <c r="AD14" i="11" s="1"/>
  <c r="Z10" i="12" s="1"/>
  <c r="Z11" i="12" s="1"/>
  <c r="Q14" i="11"/>
  <c r="AE14" i="11" s="1"/>
  <c r="AA10" i="12" s="1"/>
  <c r="Q15" i="11"/>
  <c r="AE15" i="11" s="1"/>
  <c r="AA15" i="12" s="1"/>
  <c r="AK24" i="16"/>
  <c r="AJ23" i="16"/>
  <c r="M61" i="4"/>
  <c r="J9" i="15" s="1"/>
  <c r="P10" i="12" s="1"/>
  <c r="AD56" i="22"/>
  <c r="AC56" i="22" s="1"/>
  <c r="V66" i="23"/>
  <c r="L27" i="8"/>
  <c r="L28" i="8" s="1"/>
  <c r="E31" i="32" s="1"/>
  <c r="I58" i="20"/>
  <c r="I59" i="20" s="1"/>
  <c r="AH58" i="20"/>
  <c r="AH59" i="20" s="1"/>
  <c r="Z58" i="20"/>
  <c r="Z59" i="20" s="1"/>
  <c r="M69" i="21"/>
  <c r="U66" i="23"/>
  <c r="AC109" i="2"/>
  <c r="AC116" i="2" s="1"/>
  <c r="AF15" i="11"/>
  <c r="AB15" i="12" s="1"/>
  <c r="AB18" i="12" s="1"/>
  <c r="V13" i="15"/>
  <c r="AV14" i="12" s="1"/>
  <c r="BJ14" i="12" s="1"/>
  <c r="V19" i="15"/>
  <c r="AV20" i="12" s="1"/>
  <c r="BJ20" i="12" s="1"/>
  <c r="AW20" i="12"/>
  <c r="AF19" i="12"/>
  <c r="BL20" i="12"/>
  <c r="Q24" i="12"/>
  <c r="J69" i="10"/>
  <c r="J45" i="10" s="1"/>
  <c r="AB10" i="11"/>
  <c r="AJ20" i="16"/>
  <c r="AJ24" i="16" s="1"/>
  <c r="R13" i="11"/>
  <c r="AB69" i="2"/>
  <c r="AB84" i="2" s="1"/>
  <c r="Q10" i="11" s="1"/>
  <c r="AB41" i="2"/>
  <c r="AB20" i="2"/>
  <c r="AB25" i="2" s="1"/>
  <c r="J70" i="10"/>
  <c r="L18" i="10"/>
  <c r="K18" i="10" s="1"/>
  <c r="L78" i="10"/>
  <c r="I45" i="32" s="1"/>
  <c r="I53" i="32" s="1"/>
  <c r="K71" i="10"/>
  <c r="L33" i="10"/>
  <c r="K42" i="10"/>
  <c r="J42" i="10" s="1"/>
  <c r="J33" i="10" s="1"/>
  <c r="K33" i="10"/>
  <c r="M7" i="9"/>
  <c r="K23" i="9"/>
  <c r="L18" i="9"/>
  <c r="M18" i="9"/>
  <c r="M43" i="9" s="1"/>
  <c r="G37" i="32" s="1"/>
  <c r="G53" i="32" s="1"/>
  <c r="X12" i="15" s="1"/>
  <c r="AX13" i="12" s="1"/>
  <c r="BL13" i="12" s="1"/>
  <c r="L10" i="9"/>
  <c r="L7" i="9" s="1"/>
  <c r="L11" i="9"/>
  <c r="K12" i="9"/>
  <c r="K11" i="9" s="1"/>
  <c r="M12" i="8"/>
  <c r="N26" i="8"/>
  <c r="F33" i="32" s="1"/>
  <c r="F53" i="32" s="1"/>
  <c r="X11" i="15" s="1"/>
  <c r="AX12" i="12" s="1"/>
  <c r="BL12" i="12" s="1"/>
  <c r="L12" i="8"/>
  <c r="M8" i="8"/>
  <c r="M26" i="8" s="1"/>
  <c r="F32" i="32" s="1"/>
  <c r="F52" i="32" s="1"/>
  <c r="W11" i="15" s="1"/>
  <c r="L8" i="8"/>
  <c r="L26" i="8" s="1"/>
  <c r="F31" i="32" s="1"/>
  <c r="F51" i="32" s="1"/>
  <c r="AS54" i="20"/>
  <c r="AR54" i="20" s="1"/>
  <c r="AS34" i="20"/>
  <c r="AR34" i="20" s="1"/>
  <c r="C8" i="32"/>
  <c r="C53" i="32"/>
  <c r="X8" i="15" s="1"/>
  <c r="AX9" i="12" s="1"/>
  <c r="N66" i="23"/>
  <c r="Y26" i="23"/>
  <c r="H66" i="23"/>
  <c r="T66" i="23"/>
  <c r="Y52" i="23"/>
  <c r="Y65" i="23"/>
  <c r="AD29" i="22"/>
  <c r="X67" i="22"/>
  <c r="X68" i="22" s="1"/>
  <c r="L67" i="22"/>
  <c r="L68" i="22" s="1"/>
  <c r="Z67" i="22"/>
  <c r="Z68" i="22" s="1"/>
  <c r="AD66" i="22"/>
  <c r="AC66" i="22" s="1"/>
  <c r="G67" i="22"/>
  <c r="G68" i="22" s="1"/>
  <c r="AD13" i="22"/>
  <c r="C21" i="32" s="1"/>
  <c r="AC13" i="22"/>
  <c r="C20" i="32" s="1"/>
  <c r="AD53" i="22"/>
  <c r="AC53" i="22" s="1"/>
  <c r="AD20" i="22"/>
  <c r="N69" i="21"/>
  <c r="L69" i="21"/>
  <c r="T69" i="21"/>
  <c r="X68" i="21"/>
  <c r="X69" i="21" s="1"/>
  <c r="E17" i="32" s="1"/>
  <c r="H69" i="21"/>
  <c r="W68" i="21"/>
  <c r="W69" i="21" s="1"/>
  <c r="E16" i="32" s="1"/>
  <c r="AO58" i="20"/>
  <c r="AO59" i="20" s="1"/>
  <c r="AI58" i="20"/>
  <c r="AI59" i="20" s="1"/>
  <c r="AS45" i="20"/>
  <c r="AR45" i="20" s="1"/>
  <c r="W58" i="20"/>
  <c r="W59" i="20" s="1"/>
  <c r="AS57" i="20"/>
  <c r="AR57" i="20" s="1"/>
  <c r="Q58" i="20"/>
  <c r="Q59" i="20" s="1"/>
  <c r="M58" i="20"/>
  <c r="M59" i="20" s="1"/>
  <c r="AS16" i="20"/>
  <c r="AR16" i="20" s="1"/>
  <c r="M67" i="19"/>
  <c r="L67" i="19"/>
  <c r="AF16" i="12"/>
  <c r="M27" i="13"/>
  <c r="J15" i="15" s="1"/>
  <c r="P16" i="12" s="1"/>
  <c r="AD16" i="12" s="1"/>
  <c r="O24" i="13"/>
  <c r="Q6" i="13"/>
  <c r="K21" i="14"/>
  <c r="J12" i="15" s="1"/>
  <c r="P13" i="12" s="1"/>
  <c r="AD13" i="12" s="1"/>
  <c r="M21" i="14"/>
  <c r="L12" i="15" s="1"/>
  <c r="R13" i="12" s="1"/>
  <c r="AF13" i="12" s="1"/>
  <c r="AF20" i="12"/>
  <c r="R26" i="12"/>
  <c r="Q26" i="12"/>
  <c r="P24" i="12"/>
  <c r="AA10" i="11" l="1"/>
  <c r="AA11" i="12"/>
  <c r="AA18" i="12" s="1"/>
  <c r="AE10" i="12"/>
  <c r="R15" i="12"/>
  <c r="AF15" i="12" s="1"/>
  <c r="L14" i="15"/>
  <c r="L17" i="15" s="1"/>
  <c r="L26" i="15" s="1"/>
  <c r="Y66" i="23"/>
  <c r="E24" i="32" s="1"/>
  <c r="AK26" i="16"/>
  <c r="AK107" i="16" s="1"/>
  <c r="AB8" i="11"/>
  <c r="AF8" i="11" s="1"/>
  <c r="BH9" i="12" s="1"/>
  <c r="Z66" i="23"/>
  <c r="E25" i="32" s="1"/>
  <c r="K14" i="15"/>
  <c r="K17" i="15" s="1"/>
  <c r="K26" i="15" s="1"/>
  <c r="Q15" i="12"/>
  <c r="AE15" i="12" s="1"/>
  <c r="BL9" i="12"/>
  <c r="AJ26" i="16"/>
  <c r="AJ107" i="16" s="1"/>
  <c r="AA8" i="11"/>
  <c r="D12" i="32"/>
  <c r="D52" i="32" s="1"/>
  <c r="W9" i="15" s="1"/>
  <c r="AW10" i="12" s="1"/>
  <c r="BK10" i="12" s="1"/>
  <c r="R11" i="12"/>
  <c r="AF9" i="12"/>
  <c r="K78" i="10"/>
  <c r="I44" i="32" s="1"/>
  <c r="I52" i="32" s="1"/>
  <c r="W15" i="15" s="1"/>
  <c r="AW16" i="12" s="1"/>
  <c r="BK16" i="12" s="1"/>
  <c r="AE17" i="11"/>
  <c r="AA19" i="12" s="1"/>
  <c r="C28" i="32"/>
  <c r="C52" i="32" s="1"/>
  <c r="W8" i="15" s="1"/>
  <c r="M68" i="19"/>
  <c r="E9" i="32"/>
  <c r="N9" i="32" s="1"/>
  <c r="O9" i="32" s="1"/>
  <c r="Q11" i="12"/>
  <c r="Q8" i="11"/>
  <c r="AB27" i="2"/>
  <c r="AC114" i="2"/>
  <c r="AB116" i="2"/>
  <c r="K16" i="24"/>
  <c r="AD10" i="12"/>
  <c r="AW12" i="12"/>
  <c r="BK12" i="12" s="1"/>
  <c r="BK20" i="12"/>
  <c r="AE11" i="12"/>
  <c r="X15" i="15"/>
  <c r="AX16" i="12" s="1"/>
  <c r="BL16" i="12" s="1"/>
  <c r="AE10" i="11"/>
  <c r="AB109" i="2"/>
  <c r="AB13" i="11"/>
  <c r="AB20" i="11" s="1"/>
  <c r="AF10" i="11"/>
  <c r="L44" i="10"/>
  <c r="L43" i="9"/>
  <c r="G36" i="32" s="1"/>
  <c r="G52" i="32" s="1"/>
  <c r="W12" i="15" s="1"/>
  <c r="L68" i="19"/>
  <c r="E8" i="32"/>
  <c r="AC20" i="22"/>
  <c r="AC67" i="22" s="1"/>
  <c r="AD67" i="22"/>
  <c r="AS58" i="20"/>
  <c r="AR58" i="20" s="1"/>
  <c r="E12" i="32" s="1"/>
  <c r="AS59" i="20"/>
  <c r="AR59" i="20" s="1"/>
  <c r="P26" i="12"/>
  <c r="AB114" i="2" l="1"/>
  <c r="R18" i="12"/>
  <c r="R27" i="12" s="1"/>
  <c r="AF11" i="12"/>
  <c r="AF18" i="12" s="1"/>
  <c r="R18" i="11"/>
  <c r="AC117" i="2"/>
  <c r="AC68" i="22"/>
  <c r="E20" i="32"/>
  <c r="E52" i="32" s="1"/>
  <c r="W10" i="15" s="1"/>
  <c r="BG11" i="12"/>
  <c r="AE8" i="11"/>
  <c r="BG9" i="12" s="1"/>
  <c r="BG18" i="12" s="1"/>
  <c r="BG27" i="12" s="1"/>
  <c r="K44" i="10"/>
  <c r="H40" i="32" s="1"/>
  <c r="H52" i="32" s="1"/>
  <c r="W14" i="15" s="1"/>
  <c r="AW15" i="12" s="1"/>
  <c r="BK15" i="12" s="1"/>
  <c r="H41" i="32"/>
  <c r="H53" i="32" s="1"/>
  <c r="X14" i="15" s="1"/>
  <c r="AX15" i="12" s="1"/>
  <c r="BL15" i="12" s="1"/>
  <c r="AE18" i="12"/>
  <c r="AA20" i="12"/>
  <c r="AE19" i="12"/>
  <c r="Q13" i="11"/>
  <c r="AA13" i="11"/>
  <c r="AA20" i="11" s="1"/>
  <c r="AF13" i="11"/>
  <c r="BH11" i="12"/>
  <c r="BH18" i="12"/>
  <c r="BH27" i="12" s="1"/>
  <c r="AD68" i="22"/>
  <c r="E21" i="32"/>
  <c r="Q18" i="12"/>
  <c r="Q27" i="12" s="1"/>
  <c r="AW9" i="12"/>
  <c r="AW13" i="12"/>
  <c r="BK13" i="12" s="1"/>
  <c r="E13" i="32"/>
  <c r="N8" i="32"/>
  <c r="O8" i="32" s="1"/>
  <c r="G54" i="19"/>
  <c r="K54" i="19" s="1"/>
  <c r="G42" i="19"/>
  <c r="K42" i="19" s="1"/>
  <c r="AF18" i="11" l="1"/>
  <c r="R19" i="11"/>
  <c r="R20" i="11" s="1"/>
  <c r="AE117" i="2"/>
  <c r="AC118" i="2"/>
  <c r="AB117" i="2"/>
  <c r="AB118" i="2" s="1"/>
  <c r="Q18" i="11"/>
  <c r="AE20" i="12"/>
  <c r="AE13" i="11"/>
  <c r="AW11" i="12"/>
  <c r="BK11" i="12" s="1"/>
  <c r="BK9" i="12"/>
  <c r="BK18" i="12" s="1"/>
  <c r="AW18" i="12"/>
  <c r="W17" i="15"/>
  <c r="E53" i="32"/>
  <c r="X10" i="15" s="1"/>
  <c r="AP10" i="20"/>
  <c r="AQ10" i="20" s="1"/>
  <c r="AP11" i="20"/>
  <c r="AQ11" i="20" s="1"/>
  <c r="AP12" i="20"/>
  <c r="AQ12" i="20" s="1"/>
  <c r="AP13" i="20"/>
  <c r="AQ13" i="20" s="1"/>
  <c r="AP14" i="20"/>
  <c r="AQ14" i="20" s="1"/>
  <c r="AP15" i="20"/>
  <c r="AQ15" i="20" s="1"/>
  <c r="AP17" i="20"/>
  <c r="AQ17" i="20" s="1"/>
  <c r="AP18" i="20"/>
  <c r="AQ18" i="20" s="1"/>
  <c r="AP19" i="20"/>
  <c r="AQ19" i="20" s="1"/>
  <c r="AP20" i="20"/>
  <c r="AQ20" i="20" s="1"/>
  <c r="AP22" i="20"/>
  <c r="AQ22" i="20" s="1"/>
  <c r="AP23" i="20"/>
  <c r="AQ23" i="20" s="1"/>
  <c r="AP24" i="20"/>
  <c r="AQ24" i="20" s="1"/>
  <c r="AP25" i="20"/>
  <c r="AQ25" i="20" s="1"/>
  <c r="AP26" i="20"/>
  <c r="AQ26" i="20" s="1"/>
  <c r="AP27" i="20"/>
  <c r="AQ27" i="20" s="1"/>
  <c r="AP28" i="20"/>
  <c r="AQ28" i="20" s="1"/>
  <c r="AP29" i="20"/>
  <c r="AQ29" i="20" s="1"/>
  <c r="AP30" i="20"/>
  <c r="AQ30" i="20" s="1"/>
  <c r="AP31" i="20"/>
  <c r="AQ31" i="20" s="1"/>
  <c r="AP32" i="20"/>
  <c r="AQ32" i="20" s="1"/>
  <c r="AP33" i="20"/>
  <c r="AQ33" i="20" s="1"/>
  <c r="AP34" i="20"/>
  <c r="AQ34" i="20" s="1"/>
  <c r="AP35" i="20"/>
  <c r="AQ35" i="20" s="1"/>
  <c r="AP36" i="20"/>
  <c r="AQ36" i="20" s="1"/>
  <c r="AP37" i="20"/>
  <c r="AQ37" i="20" s="1"/>
  <c r="AP38" i="20"/>
  <c r="AQ38" i="20" s="1"/>
  <c r="AP39" i="20"/>
  <c r="AQ39" i="20" s="1"/>
  <c r="AP40" i="20"/>
  <c r="AQ40" i="20" s="1"/>
  <c r="AP41" i="20"/>
  <c r="AQ41" i="20" s="1"/>
  <c r="AP42" i="20"/>
  <c r="AQ42" i="20" s="1"/>
  <c r="AP43" i="20"/>
  <c r="AQ43" i="20" s="1"/>
  <c r="AP44" i="20"/>
  <c r="AQ44" i="20" s="1"/>
  <c r="AP46" i="20"/>
  <c r="AQ46" i="20" s="1"/>
  <c r="AP47" i="20"/>
  <c r="AQ47" i="20" s="1"/>
  <c r="AP48" i="20"/>
  <c r="AQ48" i="20" s="1"/>
  <c r="AP50" i="20"/>
  <c r="AQ50" i="20" s="1"/>
  <c r="AP51" i="20"/>
  <c r="AQ51" i="20" s="1"/>
  <c r="AP52" i="20"/>
  <c r="AQ52" i="20" s="1"/>
  <c r="AP53" i="20"/>
  <c r="AQ53" i="20" s="1"/>
  <c r="AP54" i="20"/>
  <c r="AQ54" i="20" s="1"/>
  <c r="AP55" i="20"/>
  <c r="AQ55" i="20" s="1"/>
  <c r="AP56" i="20"/>
  <c r="AQ56" i="20" s="1"/>
  <c r="AP8" i="20"/>
  <c r="AQ8" i="20" s="1"/>
  <c r="C11" i="32" s="1"/>
  <c r="AJ49" i="20"/>
  <c r="AJ57" i="20" s="1"/>
  <c r="AJ58" i="20" s="1"/>
  <c r="AJ59" i="20" s="1"/>
  <c r="AF49" i="20"/>
  <c r="AF57" i="20" s="1"/>
  <c r="AF58" i="20" s="1"/>
  <c r="AF59" i="20" s="1"/>
  <c r="X49" i="20"/>
  <c r="X57" i="20" s="1"/>
  <c r="X16" i="20"/>
  <c r="R49" i="20"/>
  <c r="R57" i="20" s="1"/>
  <c r="R58" i="20" s="1"/>
  <c r="R59" i="20" s="1"/>
  <c r="N49" i="20"/>
  <c r="N57" i="20" s="1"/>
  <c r="N58" i="20" s="1"/>
  <c r="N59" i="20" s="1"/>
  <c r="J49" i="20"/>
  <c r="J57" i="20" s="1"/>
  <c r="J58" i="20" s="1"/>
  <c r="J59" i="20" s="1"/>
  <c r="F45" i="20"/>
  <c r="F49" i="20" s="1"/>
  <c r="F21" i="20"/>
  <c r="AP21" i="20" s="1"/>
  <c r="AQ21" i="20" s="1"/>
  <c r="F16" i="20"/>
  <c r="G59" i="19"/>
  <c r="G53" i="19"/>
  <c r="K53" i="19" s="1"/>
  <c r="G50" i="19"/>
  <c r="K50" i="19" s="1"/>
  <c r="G33" i="19"/>
  <c r="K33" i="19" s="1"/>
  <c r="G27" i="19"/>
  <c r="K27" i="19" s="1"/>
  <c r="G20" i="19"/>
  <c r="G18" i="19"/>
  <c r="K18" i="19" s="1"/>
  <c r="G14" i="19"/>
  <c r="K14" i="19" s="1"/>
  <c r="U15" i="21"/>
  <c r="V15" i="21" s="1"/>
  <c r="U16" i="21"/>
  <c r="V16" i="21" s="1"/>
  <c r="U17" i="21"/>
  <c r="V17" i="21" s="1"/>
  <c r="U18" i="21"/>
  <c r="V18" i="21" s="1"/>
  <c r="U19" i="21"/>
  <c r="V19" i="21" s="1"/>
  <c r="U20" i="21"/>
  <c r="V20" i="21" s="1"/>
  <c r="U21" i="21"/>
  <c r="V21" i="21" s="1"/>
  <c r="U22" i="21"/>
  <c r="V22" i="21" s="1"/>
  <c r="U23" i="21"/>
  <c r="V23" i="21" s="1"/>
  <c r="U24" i="21"/>
  <c r="V24" i="21" s="1"/>
  <c r="U25" i="21"/>
  <c r="V25" i="21" s="1"/>
  <c r="U26" i="21"/>
  <c r="V26" i="21" s="1"/>
  <c r="U27" i="21"/>
  <c r="V27" i="21" s="1"/>
  <c r="U28" i="21"/>
  <c r="V28" i="21" s="1"/>
  <c r="U29" i="21"/>
  <c r="V29" i="21" s="1"/>
  <c r="U30" i="21"/>
  <c r="V30" i="21" s="1"/>
  <c r="U31" i="21"/>
  <c r="V31" i="21" s="1"/>
  <c r="U32" i="21"/>
  <c r="V32" i="21" s="1"/>
  <c r="U33" i="21"/>
  <c r="V33" i="21" s="1"/>
  <c r="U34" i="21"/>
  <c r="V34" i="21" s="1"/>
  <c r="U35" i="21"/>
  <c r="V35" i="21" s="1"/>
  <c r="U37" i="21"/>
  <c r="V37" i="21" s="1"/>
  <c r="U38" i="21"/>
  <c r="V38" i="21" s="1"/>
  <c r="U39" i="21"/>
  <c r="V39" i="21" s="1"/>
  <c r="U40" i="21"/>
  <c r="V40" i="21" s="1"/>
  <c r="U41" i="21"/>
  <c r="V41" i="21" s="1"/>
  <c r="U42" i="21"/>
  <c r="V42" i="21" s="1"/>
  <c r="U43" i="21"/>
  <c r="V43" i="21" s="1"/>
  <c r="U44" i="21"/>
  <c r="V44" i="21" s="1"/>
  <c r="U45" i="21"/>
  <c r="V45" i="21" s="1"/>
  <c r="U46" i="21"/>
  <c r="V46" i="21" s="1"/>
  <c r="U47" i="21"/>
  <c r="V47" i="21" s="1"/>
  <c r="U48" i="21"/>
  <c r="V48" i="21" s="1"/>
  <c r="U49" i="21"/>
  <c r="V49" i="21" s="1"/>
  <c r="U50" i="21"/>
  <c r="V50" i="21" s="1"/>
  <c r="U51" i="21"/>
  <c r="V51" i="21" s="1"/>
  <c r="U52" i="21"/>
  <c r="V52" i="21" s="1"/>
  <c r="U53" i="21"/>
  <c r="V53" i="21" s="1"/>
  <c r="U54" i="21"/>
  <c r="V54" i="21" s="1"/>
  <c r="U56" i="21"/>
  <c r="V56" i="21" s="1"/>
  <c r="U57" i="21"/>
  <c r="V57" i="21" s="1"/>
  <c r="U58" i="21"/>
  <c r="V58" i="21" s="1"/>
  <c r="U60" i="21"/>
  <c r="V60" i="21" s="1"/>
  <c r="U62" i="21"/>
  <c r="V62" i="21" s="1"/>
  <c r="U63" i="21"/>
  <c r="V63" i="21" s="1"/>
  <c r="U64" i="21"/>
  <c r="V64" i="21" s="1"/>
  <c r="U65" i="21"/>
  <c r="V65" i="21" s="1"/>
  <c r="U66" i="21"/>
  <c r="V66" i="21" s="1"/>
  <c r="U67" i="21"/>
  <c r="V67" i="21" s="1"/>
  <c r="U14" i="21"/>
  <c r="V14" i="21" s="1"/>
  <c r="O61" i="21"/>
  <c r="O59" i="21" s="1"/>
  <c r="O68" i="21" s="1"/>
  <c r="O69" i="21" s="1"/>
  <c r="E36" i="21"/>
  <c r="U36" i="21" s="1"/>
  <c r="V36" i="21" s="1"/>
  <c r="F8" i="22"/>
  <c r="H38" i="4"/>
  <c r="S66" i="16"/>
  <c r="S23" i="16"/>
  <c r="S20" i="16"/>
  <c r="I80" i="16"/>
  <c r="I66" i="16"/>
  <c r="I46" i="16"/>
  <c r="I40" i="16"/>
  <c r="Z49" i="2"/>
  <c r="Z41" i="2"/>
  <c r="K8" i="8"/>
  <c r="K26" i="8" s="1"/>
  <c r="F30" i="32" s="1"/>
  <c r="W8" i="23"/>
  <c r="X8" i="23" s="1"/>
  <c r="W9" i="23"/>
  <c r="X9" i="23" s="1"/>
  <c r="W10" i="23"/>
  <c r="X10" i="23" s="1"/>
  <c r="W11" i="23"/>
  <c r="X11" i="23" s="1"/>
  <c r="W12" i="23"/>
  <c r="X12" i="23" s="1"/>
  <c r="W13" i="23"/>
  <c r="X13" i="23" s="1"/>
  <c r="W14" i="23"/>
  <c r="X14" i="23" s="1"/>
  <c r="W15" i="23"/>
  <c r="X15" i="23" s="1"/>
  <c r="W16" i="23"/>
  <c r="X16" i="23" s="1"/>
  <c r="W18" i="23"/>
  <c r="X18" i="23" s="1"/>
  <c r="W19" i="23"/>
  <c r="X19" i="23" s="1"/>
  <c r="W20" i="23"/>
  <c r="X20" i="23" s="1"/>
  <c r="W21" i="23"/>
  <c r="X21" i="23" s="1"/>
  <c r="W22" i="23"/>
  <c r="X22" i="23" s="1"/>
  <c r="W23" i="23"/>
  <c r="X23" i="23" s="1"/>
  <c r="W24" i="23"/>
  <c r="X24" i="23" s="1"/>
  <c r="W25" i="23"/>
  <c r="X25" i="23" s="1"/>
  <c r="W27" i="23"/>
  <c r="X27" i="23" s="1"/>
  <c r="W28" i="23"/>
  <c r="X28" i="23" s="1"/>
  <c r="W29" i="23"/>
  <c r="X29" i="23" s="1"/>
  <c r="W30" i="23"/>
  <c r="X30" i="23" s="1"/>
  <c r="W31" i="23"/>
  <c r="X31" i="23" s="1"/>
  <c r="W32" i="23"/>
  <c r="X32" i="23" s="1"/>
  <c r="W33" i="23"/>
  <c r="X33" i="23" s="1"/>
  <c r="W34" i="23"/>
  <c r="X34" i="23" s="1"/>
  <c r="W35" i="23"/>
  <c r="X35" i="23" s="1"/>
  <c r="W36" i="23"/>
  <c r="X36" i="23" s="1"/>
  <c r="W37" i="23"/>
  <c r="X37" i="23" s="1"/>
  <c r="W38" i="23"/>
  <c r="X38" i="23" s="1"/>
  <c r="W40" i="23"/>
  <c r="X40" i="23" s="1"/>
  <c r="W41" i="23"/>
  <c r="X41" i="23" s="1"/>
  <c r="W42" i="23"/>
  <c r="X42" i="23" s="1"/>
  <c r="W43" i="23"/>
  <c r="X43" i="23" s="1"/>
  <c r="W44" i="23"/>
  <c r="X44" i="23" s="1"/>
  <c r="W45" i="23"/>
  <c r="X45" i="23" s="1"/>
  <c r="W46" i="23"/>
  <c r="X46" i="23" s="1"/>
  <c r="W47" i="23"/>
  <c r="X47" i="23" s="1"/>
  <c r="W48" i="23"/>
  <c r="X48" i="23" s="1"/>
  <c r="W49" i="23"/>
  <c r="X49" i="23" s="1"/>
  <c r="W50" i="23"/>
  <c r="X50" i="23" s="1"/>
  <c r="W51" i="23"/>
  <c r="X51" i="23" s="1"/>
  <c r="W53" i="23"/>
  <c r="X53" i="23" s="1"/>
  <c r="W54" i="23"/>
  <c r="X54" i="23" s="1"/>
  <c r="W57" i="23"/>
  <c r="X57" i="23" s="1"/>
  <c r="W58" i="23"/>
  <c r="X58" i="23" s="1"/>
  <c r="W59" i="23"/>
  <c r="X59" i="23" s="1"/>
  <c r="W60" i="23"/>
  <c r="X60" i="23" s="1"/>
  <c r="W61" i="23"/>
  <c r="X61" i="23" s="1"/>
  <c r="W62" i="23"/>
  <c r="X62" i="23" s="1"/>
  <c r="W63" i="23"/>
  <c r="X63" i="23" s="1"/>
  <c r="W64" i="23"/>
  <c r="X64" i="23" s="1"/>
  <c r="W7" i="23"/>
  <c r="X7" i="23" s="1"/>
  <c r="AA9" i="22"/>
  <c r="AB9" i="22" s="1"/>
  <c r="AA10" i="22"/>
  <c r="AB10" i="22" s="1"/>
  <c r="AA11" i="22"/>
  <c r="AB11" i="22" s="1"/>
  <c r="AA12" i="22"/>
  <c r="AB12" i="22" s="1"/>
  <c r="AA16" i="22"/>
  <c r="AB16" i="22" s="1"/>
  <c r="AA18" i="22"/>
  <c r="AB18" i="22" s="1"/>
  <c r="AA19" i="22"/>
  <c r="AB19" i="22" s="1"/>
  <c r="AA21" i="22"/>
  <c r="AA22" i="22"/>
  <c r="AB22" i="22" s="1"/>
  <c r="AA23" i="22"/>
  <c r="AB23" i="22" s="1"/>
  <c r="AA24" i="22"/>
  <c r="AB24" i="22" s="1"/>
  <c r="AA25" i="22"/>
  <c r="AB25" i="22" s="1"/>
  <c r="AA26" i="22"/>
  <c r="AB26" i="22" s="1"/>
  <c r="AA27" i="22"/>
  <c r="AB27" i="22" s="1"/>
  <c r="AA28" i="22"/>
  <c r="AB28" i="22" s="1"/>
  <c r="AA30" i="22"/>
  <c r="AB30" i="22" s="1"/>
  <c r="AA31" i="22"/>
  <c r="AB31" i="22" s="1"/>
  <c r="AA32" i="22"/>
  <c r="AB32" i="22" s="1"/>
  <c r="AA33" i="22"/>
  <c r="AB33" i="22" s="1"/>
  <c r="AA34" i="22"/>
  <c r="AB34" i="22" s="1"/>
  <c r="AA35" i="22"/>
  <c r="AB35" i="22" s="1"/>
  <c r="AA36" i="22"/>
  <c r="AB36" i="22" s="1"/>
  <c r="AA37" i="22"/>
  <c r="AB37" i="22" s="1"/>
  <c r="AA39" i="22"/>
  <c r="AB39" i="22" s="1"/>
  <c r="AA40" i="22"/>
  <c r="AB40" i="22" s="1"/>
  <c r="AA41" i="22"/>
  <c r="AB41" i="22" s="1"/>
  <c r="AA43" i="22"/>
  <c r="AB43" i="22" s="1"/>
  <c r="AA44" i="22"/>
  <c r="AB44" i="22" s="1"/>
  <c r="AA45" i="22"/>
  <c r="AB45" i="22" s="1"/>
  <c r="AA46" i="22"/>
  <c r="AB46" i="22" s="1"/>
  <c r="AA47" i="22"/>
  <c r="AB47" i="22" s="1"/>
  <c r="AA48" i="22"/>
  <c r="AB48" i="22" s="1"/>
  <c r="AA49" i="22"/>
  <c r="AB49" i="22" s="1"/>
  <c r="AA50" i="22"/>
  <c r="AB50" i="22" s="1"/>
  <c r="AA51" i="22"/>
  <c r="AB51" i="22" s="1"/>
  <c r="AA52" i="22"/>
  <c r="AB52" i="22" s="1"/>
  <c r="AA54" i="22"/>
  <c r="AB54" i="22" s="1"/>
  <c r="AA55" i="22"/>
  <c r="AB55" i="22" s="1"/>
  <c r="AA58" i="22"/>
  <c r="AB58" i="22" s="1"/>
  <c r="AA60" i="22"/>
  <c r="AB60" i="22" s="1"/>
  <c r="AA61" i="22"/>
  <c r="AB61" i="22" s="1"/>
  <c r="AA62" i="22"/>
  <c r="AB62" i="22" s="1"/>
  <c r="AA63" i="22"/>
  <c r="AB63" i="22" s="1"/>
  <c r="AA64" i="22"/>
  <c r="AB64" i="22" s="1"/>
  <c r="AA65" i="22"/>
  <c r="AB65" i="22" s="1"/>
  <c r="H59" i="22"/>
  <c r="J11" i="14"/>
  <c r="J7" i="14"/>
  <c r="J19" i="9"/>
  <c r="J45" i="19"/>
  <c r="J50" i="19" s="1"/>
  <c r="J67" i="19" s="1"/>
  <c r="J68" i="19" s="1"/>
  <c r="I17" i="10"/>
  <c r="J17" i="10" s="1"/>
  <c r="F56" i="22"/>
  <c r="F38" i="22"/>
  <c r="AA38" i="22" s="1"/>
  <c r="AB38" i="22" s="1"/>
  <c r="F42" i="22"/>
  <c r="F17" i="22"/>
  <c r="AA17" i="22" s="1"/>
  <c r="AB17" i="22" s="1"/>
  <c r="F15" i="22"/>
  <c r="AA15" i="22" s="1"/>
  <c r="AB15" i="22" s="1"/>
  <c r="X9" i="20"/>
  <c r="AP9" i="20" s="1"/>
  <c r="AQ9" i="20" s="1"/>
  <c r="D11" i="32" s="1"/>
  <c r="AE18" i="11" l="1"/>
  <c r="Q19" i="11"/>
  <c r="Q20" i="11" s="1"/>
  <c r="G66" i="19"/>
  <c r="K66" i="19" s="1"/>
  <c r="K59" i="19"/>
  <c r="X58" i="20"/>
  <c r="X59" i="20" s="1"/>
  <c r="D6" i="32"/>
  <c r="K20" i="19"/>
  <c r="D7" i="32" s="1"/>
  <c r="F14" i="22"/>
  <c r="AA14" i="22" s="1"/>
  <c r="AB14" i="22" s="1"/>
  <c r="D19" i="32" s="1"/>
  <c r="F13" i="22"/>
  <c r="AB21" i="22"/>
  <c r="AB29" i="22" s="1"/>
  <c r="AA29" i="22"/>
  <c r="AB22" i="12"/>
  <c r="M49" i="32"/>
  <c r="AF19" i="11"/>
  <c r="N30" i="32"/>
  <c r="O30" i="32" s="1"/>
  <c r="F50" i="32"/>
  <c r="U11" i="15" s="1"/>
  <c r="V11" i="15" s="1"/>
  <c r="AV12" i="12" s="1"/>
  <c r="BJ12" i="12" s="1"/>
  <c r="X17" i="15"/>
  <c r="AX11" i="12"/>
  <c r="J18" i="9"/>
  <c r="J43" i="9" s="1"/>
  <c r="K19" i="9"/>
  <c r="AA8" i="22"/>
  <c r="E55" i="21"/>
  <c r="E61" i="21" s="1"/>
  <c r="E59" i="21" s="1"/>
  <c r="E68" i="21" s="1"/>
  <c r="E69" i="21" s="1"/>
  <c r="AP16" i="20"/>
  <c r="AQ16" i="20" s="1"/>
  <c r="M38" i="4"/>
  <c r="AA56" i="22"/>
  <c r="AB56" i="22" s="1"/>
  <c r="U55" i="21"/>
  <c r="V55" i="21" s="1"/>
  <c r="G67" i="19"/>
  <c r="S24" i="16"/>
  <c r="G19" i="19"/>
  <c r="I81" i="16"/>
  <c r="S57" i="22"/>
  <c r="F53" i="22"/>
  <c r="AA42" i="22"/>
  <c r="AB42" i="22" s="1"/>
  <c r="I59" i="21"/>
  <c r="I68" i="21" s="1"/>
  <c r="I69" i="21" s="1"/>
  <c r="F20" i="22"/>
  <c r="AA20" i="22" s="1"/>
  <c r="AB20" i="22" s="1"/>
  <c r="AP49" i="20"/>
  <c r="AQ49" i="20" s="1"/>
  <c r="H57" i="22"/>
  <c r="H66" i="22" s="1"/>
  <c r="H67" i="22" s="1"/>
  <c r="H68" i="22" s="1"/>
  <c r="AP45" i="20"/>
  <c r="AQ45" i="20" s="1"/>
  <c r="F57" i="20"/>
  <c r="I18" i="10"/>
  <c r="H18" i="10"/>
  <c r="I71" i="10"/>
  <c r="J26" i="8"/>
  <c r="BI25" i="12"/>
  <c r="BI21" i="12"/>
  <c r="BI19" i="12"/>
  <c r="X113" i="16"/>
  <c r="X117" i="16" s="1"/>
  <c r="N113" i="16"/>
  <c r="N117" i="16" s="1"/>
  <c r="I113" i="16"/>
  <c r="I117" i="16" s="1"/>
  <c r="L115" i="16"/>
  <c r="M115" i="16" s="1"/>
  <c r="O115" i="16"/>
  <c r="Q115" i="16"/>
  <c r="U115" i="16"/>
  <c r="V115" i="16" s="1"/>
  <c r="W115" i="16" s="1"/>
  <c r="AE7" i="16"/>
  <c r="AE20" i="16" s="1"/>
  <c r="AE23" i="16"/>
  <c r="AE25" i="16"/>
  <c r="AE40" i="16"/>
  <c r="AE46" i="16"/>
  <c r="AE60" i="16"/>
  <c r="AE66" i="16" s="1"/>
  <c r="AE70" i="16"/>
  <c r="AE80" i="16" s="1"/>
  <c r="AE101" i="16"/>
  <c r="AE117" i="16"/>
  <c r="AB8" i="22" l="1"/>
  <c r="AA13" i="22"/>
  <c r="AF22" i="12"/>
  <c r="AB24" i="12"/>
  <c r="J71" i="10"/>
  <c r="J78" i="10" s="1"/>
  <c r="I43" i="32" s="1"/>
  <c r="I51" i="32" s="1"/>
  <c r="I78" i="10"/>
  <c r="E6" i="32"/>
  <c r="K67" i="19"/>
  <c r="E7" i="32" s="1"/>
  <c r="S66" i="22"/>
  <c r="S67" i="22" s="1"/>
  <c r="S68" i="22" s="1"/>
  <c r="C6" i="32"/>
  <c r="N6" i="32" s="1"/>
  <c r="K19" i="19"/>
  <c r="C7" i="32" s="1"/>
  <c r="X21" i="15"/>
  <c r="M53" i="32"/>
  <c r="AE19" i="11"/>
  <c r="AA22" i="12"/>
  <c r="M48" i="32"/>
  <c r="BL11" i="12"/>
  <c r="BL18" i="12" s="1"/>
  <c r="AX18" i="12"/>
  <c r="J18" i="10"/>
  <c r="I44" i="10"/>
  <c r="AB13" i="22"/>
  <c r="C19" i="32" s="1"/>
  <c r="U59" i="21"/>
  <c r="G68" i="19"/>
  <c r="K68" i="19" s="1"/>
  <c r="F57" i="22"/>
  <c r="F66" i="22" s="1"/>
  <c r="F67" i="22" s="1"/>
  <c r="F68" i="22" s="1"/>
  <c r="I61" i="21"/>
  <c r="U61" i="21" s="1"/>
  <c r="V61" i="21" s="1"/>
  <c r="AE81" i="16"/>
  <c r="AE107" i="16" s="1"/>
  <c r="AA53" i="22"/>
  <c r="AB53" i="22" s="1"/>
  <c r="AP57" i="20"/>
  <c r="AQ57" i="20" s="1"/>
  <c r="F58" i="20"/>
  <c r="AE24" i="16"/>
  <c r="S100" i="16"/>
  <c r="AH60" i="16"/>
  <c r="AI60" i="16" s="1"/>
  <c r="S41" i="16"/>
  <c r="AH36" i="16"/>
  <c r="AI36" i="16" s="1"/>
  <c r="S32" i="16"/>
  <c r="I7" i="16"/>
  <c r="N7" i="16"/>
  <c r="N20" i="16" s="1"/>
  <c r="X7" i="16"/>
  <c r="AX22" i="12" l="1"/>
  <c r="X23" i="15"/>
  <c r="X25" i="15" s="1"/>
  <c r="X26" i="15" s="1"/>
  <c r="N7" i="32"/>
  <c r="O7" i="32" s="1"/>
  <c r="AB26" i="12"/>
  <c r="AB27" i="12" s="1"/>
  <c r="AF24" i="12"/>
  <c r="AF26" i="12" s="1"/>
  <c r="AF27" i="12" s="1"/>
  <c r="W21" i="15"/>
  <c r="M52" i="32"/>
  <c r="AE22" i="12"/>
  <c r="AA24" i="12"/>
  <c r="U68" i="21"/>
  <c r="U69" i="21" s="1"/>
  <c r="V59" i="21"/>
  <c r="V68" i="21" s="1"/>
  <c r="V69" i="21" s="1"/>
  <c r="E15" i="32" s="1"/>
  <c r="O6" i="32"/>
  <c r="F59" i="22"/>
  <c r="AA59" i="22" s="1"/>
  <c r="AB59" i="22" s="1"/>
  <c r="AA57" i="22"/>
  <c r="AB57" i="22" s="1"/>
  <c r="AP58" i="20"/>
  <c r="AH7" i="16"/>
  <c r="AI7" i="16" s="1"/>
  <c r="I20" i="16"/>
  <c r="AA66" i="22"/>
  <c r="F59" i="20"/>
  <c r="Y114" i="2"/>
  <c r="Y117" i="2" s="1"/>
  <c r="Y103" i="2"/>
  <c r="Y83" i="2"/>
  <c r="Y69" i="2"/>
  <c r="Y49" i="2"/>
  <c r="Y41" i="2"/>
  <c r="Y20" i="2"/>
  <c r="Y24" i="2"/>
  <c r="AC16" i="11"/>
  <c r="S16" i="12" s="1"/>
  <c r="AG101" i="16"/>
  <c r="AG80" i="16"/>
  <c r="AG66" i="16"/>
  <c r="AG46" i="16"/>
  <c r="AG40" i="16"/>
  <c r="AG23" i="16"/>
  <c r="AG20" i="16"/>
  <c r="AH108" i="16"/>
  <c r="AI108" i="16" s="1"/>
  <c r="AH109" i="16"/>
  <c r="AI109" i="16" s="1"/>
  <c r="AH110" i="16"/>
  <c r="AI110" i="16" s="1"/>
  <c r="Z15" i="11" s="1"/>
  <c r="AH111" i="16"/>
  <c r="AI111" i="16" s="1"/>
  <c r="AH112" i="16"/>
  <c r="AH114" i="16"/>
  <c r="AI114" i="16" s="1"/>
  <c r="AH115" i="16"/>
  <c r="AI115" i="16" s="1"/>
  <c r="S106" i="16"/>
  <c r="AH106" i="16" s="1"/>
  <c r="S101" i="16"/>
  <c r="AH101" i="16" s="1"/>
  <c r="AI101" i="16" s="1"/>
  <c r="S46" i="16"/>
  <c r="AH46" i="16" s="1"/>
  <c r="AI46" i="16" s="1"/>
  <c r="S40" i="16"/>
  <c r="T40" i="16"/>
  <c r="T46" i="16"/>
  <c r="AH27" i="16"/>
  <c r="AI27" i="16" s="1"/>
  <c r="AH28" i="16"/>
  <c r="AI28" i="16" s="1"/>
  <c r="AH29" i="16"/>
  <c r="AI29" i="16" s="1"/>
  <c r="AH30" i="16"/>
  <c r="AI30" i="16" s="1"/>
  <c r="AH31" i="16"/>
  <c r="AI31" i="16" s="1"/>
  <c r="AH32" i="16"/>
  <c r="AI32" i="16" s="1"/>
  <c r="AH33" i="16"/>
  <c r="AI33" i="16" s="1"/>
  <c r="AH34" i="16"/>
  <c r="AI34" i="16" s="1"/>
  <c r="AH35" i="16"/>
  <c r="AI35" i="16" s="1"/>
  <c r="AH37" i="16"/>
  <c r="AI37" i="16" s="1"/>
  <c r="AH38" i="16"/>
  <c r="AI38" i="16" s="1"/>
  <c r="AH39" i="16"/>
  <c r="AI39" i="16" s="1"/>
  <c r="AH41" i="16"/>
  <c r="AI41" i="16" s="1"/>
  <c r="AH42" i="16"/>
  <c r="AI42" i="16" s="1"/>
  <c r="AH43" i="16"/>
  <c r="AI43" i="16" s="1"/>
  <c r="AH44" i="16"/>
  <c r="AI44" i="16" s="1"/>
  <c r="AH45" i="16"/>
  <c r="AI45" i="16" s="1"/>
  <c r="AH47" i="16"/>
  <c r="AI47" i="16" s="1"/>
  <c r="AH48" i="16"/>
  <c r="AI48" i="16" s="1"/>
  <c r="AH49" i="16"/>
  <c r="AI49" i="16" s="1"/>
  <c r="AH50" i="16"/>
  <c r="AI50" i="16" s="1"/>
  <c r="AH51" i="16"/>
  <c r="AI51" i="16" s="1"/>
  <c r="AH52" i="16"/>
  <c r="AI52" i="16" s="1"/>
  <c r="AH53" i="16"/>
  <c r="AI53" i="16" s="1"/>
  <c r="AH54" i="16"/>
  <c r="AI54" i="16" s="1"/>
  <c r="AH55" i="16"/>
  <c r="AI55" i="16" s="1"/>
  <c r="AH56" i="16"/>
  <c r="AI56" i="16" s="1"/>
  <c r="AH57" i="16"/>
  <c r="AI57" i="16" s="1"/>
  <c r="AH58" i="16"/>
  <c r="AI58" i="16" s="1"/>
  <c r="AH59" i="16"/>
  <c r="AI59" i="16" s="1"/>
  <c r="AH61" i="16"/>
  <c r="AI61" i="16" s="1"/>
  <c r="AH62" i="16"/>
  <c r="AI62" i="16" s="1"/>
  <c r="AH63" i="16"/>
  <c r="AI63" i="16" s="1"/>
  <c r="AH64" i="16"/>
  <c r="AI64" i="16" s="1"/>
  <c r="AH65" i="16"/>
  <c r="AI65" i="16" s="1"/>
  <c r="AH67" i="16"/>
  <c r="AI67" i="16" s="1"/>
  <c r="AH68" i="16"/>
  <c r="AI68" i="16" s="1"/>
  <c r="AH69" i="16"/>
  <c r="AI69" i="16" s="1"/>
  <c r="AH71" i="16"/>
  <c r="AI71" i="16" s="1"/>
  <c r="AH72" i="16"/>
  <c r="AI72" i="16" s="1"/>
  <c r="AH73" i="16"/>
  <c r="AI73" i="16" s="1"/>
  <c r="AH74" i="16"/>
  <c r="AI74" i="16" s="1"/>
  <c r="AH75" i="16"/>
  <c r="AI75" i="16" s="1"/>
  <c r="AH76" i="16"/>
  <c r="AI76" i="16" s="1"/>
  <c r="AH77" i="16"/>
  <c r="AI77" i="16" s="1"/>
  <c r="AH78" i="16"/>
  <c r="AI78" i="16" s="1"/>
  <c r="AH79" i="16"/>
  <c r="AI79" i="16" s="1"/>
  <c r="AH82" i="16"/>
  <c r="AI82" i="16" s="1"/>
  <c r="AH83" i="16"/>
  <c r="AI83" i="16" s="1"/>
  <c r="AH84" i="16"/>
  <c r="AI84" i="16" s="1"/>
  <c r="AH85" i="16"/>
  <c r="AI85" i="16" s="1"/>
  <c r="AH86" i="16"/>
  <c r="AI86" i="16" s="1"/>
  <c r="AH87" i="16"/>
  <c r="AI87" i="16" s="1"/>
  <c r="AH88" i="16"/>
  <c r="AI88" i="16" s="1"/>
  <c r="AH89" i="16"/>
  <c r="AI89" i="16" s="1"/>
  <c r="AH90" i="16"/>
  <c r="AI90" i="16" s="1"/>
  <c r="AH91" i="16"/>
  <c r="AI91" i="16" s="1"/>
  <c r="AH92" i="16"/>
  <c r="AI92" i="16" s="1"/>
  <c r="AH93" i="16"/>
  <c r="AI93" i="16" s="1"/>
  <c r="AH94" i="16"/>
  <c r="AI94" i="16" s="1"/>
  <c r="AH95" i="16"/>
  <c r="AI95" i="16" s="1"/>
  <c r="AH96" i="16"/>
  <c r="AI96" i="16" s="1"/>
  <c r="AH97" i="16"/>
  <c r="AI97" i="16" s="1"/>
  <c r="AH98" i="16"/>
  <c r="AI98" i="16" s="1"/>
  <c r="AH99" i="16"/>
  <c r="AI99" i="16" s="1"/>
  <c r="AH100" i="16"/>
  <c r="AI100" i="16" s="1"/>
  <c r="AH102" i="16"/>
  <c r="AI102" i="16" s="1"/>
  <c r="AH103" i="16"/>
  <c r="AI103" i="16" s="1"/>
  <c r="AH104" i="16"/>
  <c r="AI104" i="16" s="1"/>
  <c r="AH105" i="16"/>
  <c r="AI105" i="16" s="1"/>
  <c r="I23" i="16"/>
  <c r="X23" i="16"/>
  <c r="X20" i="16"/>
  <c r="N23" i="16"/>
  <c r="AH8" i="16"/>
  <c r="AI8" i="16" s="1"/>
  <c r="AH9" i="16"/>
  <c r="AI9" i="16" s="1"/>
  <c r="AH10" i="16"/>
  <c r="AI10" i="16" s="1"/>
  <c r="AH11" i="16"/>
  <c r="AI11" i="16" s="1"/>
  <c r="AH12" i="16"/>
  <c r="AI12" i="16" s="1"/>
  <c r="AH13" i="16"/>
  <c r="AI13" i="16" s="1"/>
  <c r="AH14" i="16"/>
  <c r="AI14" i="16" s="1"/>
  <c r="AH15" i="16"/>
  <c r="AI15" i="16" s="1"/>
  <c r="AH16" i="16"/>
  <c r="AI16" i="16" s="1"/>
  <c r="AH17" i="16"/>
  <c r="AI17" i="16" s="1"/>
  <c r="AH18" i="16"/>
  <c r="AI18" i="16" s="1"/>
  <c r="AH19" i="16"/>
  <c r="AI19" i="16" s="1"/>
  <c r="AH21" i="16"/>
  <c r="AI21" i="16" s="1"/>
  <c r="AI23" i="16" s="1"/>
  <c r="AH22" i="16"/>
  <c r="AI22" i="16" s="1"/>
  <c r="C24" i="27"/>
  <c r="C19" i="27"/>
  <c r="C14" i="27"/>
  <c r="C11" i="27"/>
  <c r="C12" i="27"/>
  <c r="C10" i="27"/>
  <c r="D9" i="27"/>
  <c r="D28" i="27" s="1"/>
  <c r="E9" i="27"/>
  <c r="E28" i="27" s="1"/>
  <c r="F9" i="27"/>
  <c r="F28" i="27" s="1"/>
  <c r="G9" i="27"/>
  <c r="G28" i="27" s="1"/>
  <c r="H9" i="27"/>
  <c r="H28" i="27" s="1"/>
  <c r="I9" i="27"/>
  <c r="I28" i="27" s="1"/>
  <c r="AY24" i="12"/>
  <c r="AY26" i="12" s="1"/>
  <c r="AO23" i="12"/>
  <c r="BI23" i="12" s="1"/>
  <c r="AN17" i="12"/>
  <c r="E14" i="12"/>
  <c r="F14" i="12"/>
  <c r="G14" i="12"/>
  <c r="H14" i="12"/>
  <c r="I14" i="12"/>
  <c r="AC14" i="12" s="1"/>
  <c r="F16" i="12"/>
  <c r="H16" i="12"/>
  <c r="I16" i="12"/>
  <c r="F17" i="12"/>
  <c r="H17" i="12"/>
  <c r="I17" i="12"/>
  <c r="AC17" i="12" s="1"/>
  <c r="E17" i="12"/>
  <c r="E16" i="12"/>
  <c r="I19" i="12"/>
  <c r="I20" i="12" s="1"/>
  <c r="I21" i="12"/>
  <c r="AC21" i="12" s="1"/>
  <c r="I22" i="12"/>
  <c r="I23" i="12"/>
  <c r="AC23" i="12" s="1"/>
  <c r="I25" i="12"/>
  <c r="AC25" i="12" s="1"/>
  <c r="I19" i="15"/>
  <c r="I23" i="15" s="1"/>
  <c r="I24" i="12" s="1"/>
  <c r="F23" i="15"/>
  <c r="S12" i="11" l="1"/>
  <c r="AI106" i="16"/>
  <c r="AW22" i="12"/>
  <c r="W23" i="15"/>
  <c r="W25" i="15" s="1"/>
  <c r="W26" i="15" s="1"/>
  <c r="AH20" i="16"/>
  <c r="S17" i="11"/>
  <c r="AI112" i="16"/>
  <c r="Z17" i="11" s="1"/>
  <c r="AD17" i="11" s="1"/>
  <c r="Z19" i="12" s="1"/>
  <c r="AA26" i="12"/>
  <c r="AA27" i="12" s="1"/>
  <c r="AE24" i="12"/>
  <c r="AE26" i="12" s="1"/>
  <c r="AE27" i="12" s="1"/>
  <c r="Z11" i="11"/>
  <c r="AI66" i="16"/>
  <c r="AD15" i="11"/>
  <c r="BL22" i="12"/>
  <c r="AX24" i="12"/>
  <c r="AQ58" i="20"/>
  <c r="E11" i="32" s="1"/>
  <c r="E10" i="32"/>
  <c r="AI20" i="16"/>
  <c r="AI24" i="16" s="1"/>
  <c r="Z8" i="11" s="1"/>
  <c r="I24" i="16"/>
  <c r="AB66" i="22"/>
  <c r="AB67" i="22" s="1"/>
  <c r="AA67" i="22"/>
  <c r="AA68" i="22" s="1"/>
  <c r="AC16" i="12"/>
  <c r="AH40" i="16"/>
  <c r="AI40" i="16" s="1"/>
  <c r="AP59" i="20"/>
  <c r="AQ59" i="20" s="1"/>
  <c r="AC12" i="11"/>
  <c r="AY16" i="12" s="1"/>
  <c r="Y84" i="2"/>
  <c r="AG24" i="16"/>
  <c r="AG26" i="16" s="1"/>
  <c r="AG81" i="16"/>
  <c r="AH66" i="16"/>
  <c r="S70" i="16"/>
  <c r="S15" i="11"/>
  <c r="X24" i="16"/>
  <c r="I25" i="15"/>
  <c r="Y25" i="2"/>
  <c r="Y27" i="2" s="1"/>
  <c r="I26" i="12"/>
  <c r="N24" i="16"/>
  <c r="N25" i="16" s="1"/>
  <c r="AH23" i="16"/>
  <c r="L16" i="13"/>
  <c r="M16" i="13" s="1"/>
  <c r="L8" i="13"/>
  <c r="M8" i="13" s="1"/>
  <c r="L10" i="13"/>
  <c r="M10" i="13" s="1"/>
  <c r="L11" i="13"/>
  <c r="M11" i="13" s="1"/>
  <c r="L7" i="13"/>
  <c r="M7" i="13" s="1"/>
  <c r="M6" i="13" s="1"/>
  <c r="K6" i="13"/>
  <c r="J14" i="14"/>
  <c r="J16" i="14" s="1"/>
  <c r="I11" i="14"/>
  <c r="I16" i="14" s="1"/>
  <c r="I21" i="14" s="1"/>
  <c r="C9" i="29" s="1"/>
  <c r="K15" i="13"/>
  <c r="K17" i="13"/>
  <c r="L17" i="13"/>
  <c r="AX26" i="12" l="1"/>
  <c r="AX27" i="12" s="1"/>
  <c r="BL24" i="12"/>
  <c r="BL26" i="12" s="1"/>
  <c r="BL27" i="12" s="1"/>
  <c r="AB68" i="22"/>
  <c r="E19" i="32"/>
  <c r="Z15" i="12"/>
  <c r="Z18" i="12" s="1"/>
  <c r="Z20" i="12"/>
  <c r="AD19" i="12"/>
  <c r="BK22" i="12"/>
  <c r="AW24" i="12"/>
  <c r="M15" i="13"/>
  <c r="M19" i="13"/>
  <c r="M24" i="13" s="1"/>
  <c r="L6" i="13"/>
  <c r="AG107" i="16"/>
  <c r="L15" i="13"/>
  <c r="L19" i="13"/>
  <c r="K24" i="13"/>
  <c r="X25" i="16"/>
  <c r="X26" i="16" s="1"/>
  <c r="X107" i="16" s="1"/>
  <c r="S80" i="16"/>
  <c r="S81" i="16" s="1"/>
  <c r="AH70" i="16"/>
  <c r="AI70" i="16" s="1"/>
  <c r="I25" i="16"/>
  <c r="S25" i="16"/>
  <c r="S26" i="16" s="1"/>
  <c r="AH24" i="16"/>
  <c r="Y109" i="2"/>
  <c r="O55" i="23"/>
  <c r="I39" i="23"/>
  <c r="I52" i="23" s="1"/>
  <c r="E39" i="23"/>
  <c r="E52" i="23" s="1"/>
  <c r="E26" i="23"/>
  <c r="W26" i="23" s="1"/>
  <c r="X26" i="23" s="1"/>
  <c r="E17" i="23"/>
  <c r="Z102" i="2"/>
  <c r="G41" i="4"/>
  <c r="J41" i="4" s="1"/>
  <c r="L41" i="4" s="1"/>
  <c r="H41" i="4"/>
  <c r="H39" i="4"/>
  <c r="I11" i="15"/>
  <c r="I12" i="12" s="1"/>
  <c r="AC12" i="12" s="1"/>
  <c r="B9" i="26" s="1"/>
  <c r="N9" i="26" s="1"/>
  <c r="H43" i="4"/>
  <c r="M43" i="4" s="1"/>
  <c r="H35" i="4"/>
  <c r="M35" i="4" s="1"/>
  <c r="H34" i="4"/>
  <c r="M34" i="4" s="1"/>
  <c r="H31" i="4"/>
  <c r="M31" i="4" s="1"/>
  <c r="H15" i="4"/>
  <c r="P15" i="12" l="1"/>
  <c r="AD15" i="12" s="1"/>
  <c r="J14" i="15"/>
  <c r="BK24" i="12"/>
  <c r="BK26" i="12" s="1"/>
  <c r="BK27" i="12" s="1"/>
  <c r="AW26" i="12"/>
  <c r="AW27" i="12" s="1"/>
  <c r="Z103" i="2"/>
  <c r="AA102" i="2"/>
  <c r="AA103" i="2" s="1"/>
  <c r="AD20" i="12"/>
  <c r="S107" i="16"/>
  <c r="M39" i="4"/>
  <c r="M41" i="4"/>
  <c r="H47" i="4"/>
  <c r="W39" i="23"/>
  <c r="X39" i="23" s="1"/>
  <c r="W52" i="23"/>
  <c r="X52" i="23" s="1"/>
  <c r="X118" i="16"/>
  <c r="E56" i="23"/>
  <c r="E65" i="23" s="1"/>
  <c r="E66" i="23" s="1"/>
  <c r="W17" i="23"/>
  <c r="X17" i="23" s="1"/>
  <c r="O56" i="23"/>
  <c r="O65" i="23" s="1"/>
  <c r="O66" i="23" s="1"/>
  <c r="W55" i="23"/>
  <c r="X55" i="23" s="1"/>
  <c r="I26" i="16"/>
  <c r="I107" i="16" s="1"/>
  <c r="I9" i="15"/>
  <c r="I10" i="12" s="1"/>
  <c r="AH81" i="16"/>
  <c r="AH25" i="16"/>
  <c r="AI25" i="16" s="1"/>
  <c r="P11" i="11" l="1"/>
  <c r="AD11" i="11" s="1"/>
  <c r="BF15" i="12" s="1"/>
  <c r="AI26" i="16"/>
  <c r="Z9" i="11"/>
  <c r="H52" i="4"/>
  <c r="I8" i="15" s="1"/>
  <c r="I9" i="12" s="1"/>
  <c r="AC9" i="12" s="1"/>
  <c r="M47" i="4"/>
  <c r="M52" i="4" s="1"/>
  <c r="J8" i="15" s="1"/>
  <c r="I118" i="16"/>
  <c r="I56" i="23"/>
  <c r="I65" i="23" s="1"/>
  <c r="I66" i="23" s="1"/>
  <c r="J17" i="14"/>
  <c r="J21" i="14" s="1"/>
  <c r="L5" i="13"/>
  <c r="AO17" i="12"/>
  <c r="BI17" i="12" s="1"/>
  <c r="AO14" i="12"/>
  <c r="BI14" i="12" s="1"/>
  <c r="I42" i="32"/>
  <c r="H38" i="32"/>
  <c r="J10" i="15" l="1"/>
  <c r="J17" i="15" s="1"/>
  <c r="J26" i="15" s="1"/>
  <c r="P9" i="12"/>
  <c r="N42" i="32"/>
  <c r="O42" i="32" s="1"/>
  <c r="I50" i="32"/>
  <c r="U15" i="15" s="1"/>
  <c r="N38" i="32"/>
  <c r="O38" i="32" s="1"/>
  <c r="H50" i="32"/>
  <c r="U14" i="15" s="1"/>
  <c r="V14" i="15" s="1"/>
  <c r="AV15" i="12" s="1"/>
  <c r="BJ15" i="12" s="1"/>
  <c r="AO20" i="12"/>
  <c r="I10" i="15"/>
  <c r="W65" i="23"/>
  <c r="X65" i="23" s="1"/>
  <c r="W66" i="23"/>
  <c r="X66" i="23" s="1"/>
  <c r="E23" i="32" s="1"/>
  <c r="E51" i="32" s="1"/>
  <c r="L24" i="13"/>
  <c r="I14" i="15" s="1"/>
  <c r="I15" i="12" s="1"/>
  <c r="W56" i="23"/>
  <c r="X56" i="23" s="1"/>
  <c r="I12" i="15"/>
  <c r="N49" i="32"/>
  <c r="Q55" i="23"/>
  <c r="Q39" i="23"/>
  <c r="Q52" i="23" s="1"/>
  <c r="I11" i="24"/>
  <c r="I13" i="24" s="1"/>
  <c r="Z8" i="2"/>
  <c r="AA8" i="2" s="1"/>
  <c r="Z9" i="2"/>
  <c r="AA9" i="2" s="1"/>
  <c r="Z10" i="2"/>
  <c r="AA10" i="2" s="1"/>
  <c r="Z11" i="2"/>
  <c r="AA11" i="2" s="1"/>
  <c r="Z12" i="2"/>
  <c r="AA12" i="2" s="1"/>
  <c r="Z17" i="2"/>
  <c r="AA17" i="2" s="1"/>
  <c r="Z18" i="2"/>
  <c r="AA18" i="2" s="1"/>
  <c r="Z21" i="2"/>
  <c r="Z29" i="2"/>
  <c r="AA29" i="2" s="1"/>
  <c r="Z30" i="2"/>
  <c r="AA30" i="2" s="1"/>
  <c r="Z31" i="2"/>
  <c r="AA31" i="2" s="1"/>
  <c r="Z32" i="2"/>
  <c r="AA32" i="2" s="1"/>
  <c r="Z33" i="2"/>
  <c r="AA33" i="2" s="1"/>
  <c r="Z35" i="2"/>
  <c r="Z36" i="2"/>
  <c r="Z37" i="2"/>
  <c r="Z38" i="2"/>
  <c r="Z39" i="2"/>
  <c r="Z40" i="2"/>
  <c r="Z43" i="2"/>
  <c r="AA43" i="2" s="1"/>
  <c r="Z44" i="2"/>
  <c r="AA44" i="2" s="1"/>
  <c r="Z46" i="2"/>
  <c r="Z47" i="2"/>
  <c r="Z48" i="2"/>
  <c r="Z51" i="2"/>
  <c r="AA51" i="2" s="1"/>
  <c r="Z52" i="2"/>
  <c r="AA52" i="2" s="1"/>
  <c r="Z53" i="2"/>
  <c r="AA53" i="2" s="1"/>
  <c r="Z54" i="2"/>
  <c r="AA54" i="2" s="1"/>
  <c r="Z55" i="2"/>
  <c r="AA55" i="2" s="1"/>
  <c r="Z56" i="2"/>
  <c r="AA56" i="2" s="1"/>
  <c r="AA69" i="2" s="1"/>
  <c r="Z60" i="2"/>
  <c r="AA60" i="2" s="1"/>
  <c r="Z61" i="2"/>
  <c r="AA61" i="2" s="1"/>
  <c r="Z62" i="2"/>
  <c r="AA62" i="2" s="1"/>
  <c r="Z64" i="2"/>
  <c r="Z65" i="2"/>
  <c r="Z66" i="2"/>
  <c r="Z67" i="2"/>
  <c r="Z68" i="2"/>
  <c r="Z70" i="2"/>
  <c r="Z71" i="2"/>
  <c r="Z74" i="2"/>
  <c r="AA74" i="2" s="1"/>
  <c r="AA83" i="2" s="1"/>
  <c r="Z75" i="2"/>
  <c r="AA75" i="2" s="1"/>
  <c r="Z78" i="2"/>
  <c r="Z79" i="2"/>
  <c r="Z80" i="2"/>
  <c r="Z81" i="2"/>
  <c r="Z82" i="2"/>
  <c r="Z85" i="2"/>
  <c r="Z86" i="2"/>
  <c r="Z87" i="2"/>
  <c r="Z88" i="2"/>
  <c r="Z89" i="2"/>
  <c r="Z90" i="2"/>
  <c r="Z91" i="2"/>
  <c r="Z92" i="2"/>
  <c r="Z93" i="2"/>
  <c r="Z94" i="2"/>
  <c r="Z96" i="2"/>
  <c r="AA96" i="2" s="1"/>
  <c r="Z97" i="2"/>
  <c r="AA97" i="2" s="1"/>
  <c r="Z98" i="2"/>
  <c r="AA98" i="2" s="1"/>
  <c r="Z99" i="2"/>
  <c r="AA99" i="2" s="1"/>
  <c r="Z100" i="2"/>
  <c r="AA100" i="2" s="1"/>
  <c r="Z101" i="2"/>
  <c r="AA101" i="2" s="1"/>
  <c r="Z110" i="2"/>
  <c r="I14" i="11"/>
  <c r="AC14" i="11" s="1"/>
  <c r="S10" i="12" s="1"/>
  <c r="I17" i="11"/>
  <c r="AC17" i="11" s="1"/>
  <c r="S19" i="12" s="1"/>
  <c r="AC19" i="12" s="1"/>
  <c r="AC20" i="12" s="1"/>
  <c r="AA84" i="2" l="1"/>
  <c r="AD9" i="12"/>
  <c r="P11" i="12"/>
  <c r="AA20" i="2"/>
  <c r="AA25" i="2" s="1"/>
  <c r="Z24" i="2"/>
  <c r="Z26" i="2" s="1"/>
  <c r="AA21" i="2"/>
  <c r="AA24" i="2" s="1"/>
  <c r="I14" i="24"/>
  <c r="J14" i="24" s="1"/>
  <c r="D27" i="32" s="1"/>
  <c r="D51" i="32" s="1"/>
  <c r="J13" i="24"/>
  <c r="AO16" i="12"/>
  <c r="BI16" i="12" s="1"/>
  <c r="V15" i="15"/>
  <c r="AV16" i="12" s="1"/>
  <c r="BJ16" i="12" s="1"/>
  <c r="AO15" i="12"/>
  <c r="Q66" i="23"/>
  <c r="I11" i="12"/>
  <c r="I17" i="15"/>
  <c r="I26" i="15" s="1"/>
  <c r="BI20" i="12"/>
  <c r="B21" i="26"/>
  <c r="Z69" i="2"/>
  <c r="G16" i="26"/>
  <c r="N16" i="26" s="1"/>
  <c r="Z20" i="2"/>
  <c r="Z25" i="2" s="1"/>
  <c r="Z83" i="2"/>
  <c r="Z84" i="2" s="1"/>
  <c r="S11" i="12"/>
  <c r="AC11" i="12" s="1"/>
  <c r="AC10" i="12"/>
  <c r="C17" i="26"/>
  <c r="N17" i="26" s="1"/>
  <c r="G34" i="32"/>
  <c r="I13" i="12"/>
  <c r="S20" i="12"/>
  <c r="B10" i="26" s="1"/>
  <c r="I11" i="11"/>
  <c r="H37" i="9"/>
  <c r="G37" i="9"/>
  <c r="J16" i="24" l="1"/>
  <c r="C27" i="32"/>
  <c r="C51" i="32" s="1"/>
  <c r="I9" i="11"/>
  <c r="AA26" i="2"/>
  <c r="P9" i="11" s="1"/>
  <c r="AD9" i="11" s="1"/>
  <c r="BF10" i="12" s="1"/>
  <c r="Z27" i="2"/>
  <c r="AD11" i="12"/>
  <c r="AD18" i="12" s="1"/>
  <c r="P18" i="12"/>
  <c r="P27" i="12" s="1"/>
  <c r="AA27" i="2"/>
  <c r="P8" i="11"/>
  <c r="I16" i="24"/>
  <c r="O26" i="32" s="1"/>
  <c r="P10" i="11"/>
  <c r="AA109" i="2"/>
  <c r="C18" i="26"/>
  <c r="Z109" i="2"/>
  <c r="Z116" i="2" s="1"/>
  <c r="AA116" i="2" s="1"/>
  <c r="AA114" i="2" s="1"/>
  <c r="N34" i="32"/>
  <c r="O34" i="32" s="1"/>
  <c r="G50" i="32"/>
  <c r="U12" i="15" s="1"/>
  <c r="V12" i="15" s="1"/>
  <c r="AV13" i="12" s="1"/>
  <c r="BJ13" i="12" s="1"/>
  <c r="AC13" i="12"/>
  <c r="B8" i="26"/>
  <c r="I18" i="12"/>
  <c r="F28" i="10"/>
  <c r="AA117" i="2" l="1"/>
  <c r="P18" i="11"/>
  <c r="AA118" i="2"/>
  <c r="AD8" i="11"/>
  <c r="BF9" i="12" s="1"/>
  <c r="P13" i="11"/>
  <c r="AO13" i="12"/>
  <c r="BI13" i="12" s="1"/>
  <c r="I27" i="12"/>
  <c r="AL52" i="20"/>
  <c r="P19" i="11" l="1"/>
  <c r="P20" i="11"/>
  <c r="B20" i="26"/>
  <c r="H65" i="19"/>
  <c r="G23" i="9"/>
  <c r="G18" i="9" s="1"/>
  <c r="L11" i="12"/>
  <c r="AI9" i="12"/>
  <c r="AJ9" i="12"/>
  <c r="AI10" i="12"/>
  <c r="AJ10" i="12"/>
  <c r="AI11" i="12"/>
  <c r="AJ11" i="12"/>
  <c r="AI12" i="12"/>
  <c r="AJ12" i="12"/>
  <c r="AI13" i="12"/>
  <c r="AJ13" i="12"/>
  <c r="AI15" i="12"/>
  <c r="AJ15" i="12"/>
  <c r="AI16" i="12"/>
  <c r="AJ16" i="12"/>
  <c r="AI17" i="12"/>
  <c r="AJ17" i="12"/>
  <c r="F19" i="12"/>
  <c r="W19" i="12" s="1"/>
  <c r="W20" i="12" s="1"/>
  <c r="F20" i="12"/>
  <c r="F21" i="12"/>
  <c r="W21" i="12" s="1"/>
  <c r="H21" i="12"/>
  <c r="Y21" i="12" s="1"/>
  <c r="F22" i="12"/>
  <c r="G22" i="12"/>
  <c r="H22" i="12"/>
  <c r="F23" i="12"/>
  <c r="W23" i="12" s="1"/>
  <c r="G23" i="12"/>
  <c r="X23" i="12" s="1"/>
  <c r="H23" i="12"/>
  <c r="Y23" i="12" s="1"/>
  <c r="F25" i="12"/>
  <c r="W25" i="12" s="1"/>
  <c r="G25" i="12"/>
  <c r="X25" i="12" s="1"/>
  <c r="H25" i="12"/>
  <c r="Y25" i="12" s="1"/>
  <c r="E21" i="12"/>
  <c r="V21" i="12" s="1"/>
  <c r="E22" i="12"/>
  <c r="E23" i="12"/>
  <c r="V23" i="12" s="1"/>
  <c r="E25" i="12"/>
  <c r="V25" i="12" s="1"/>
  <c r="V17" i="12"/>
  <c r="W17" i="12"/>
  <c r="Y17" i="12"/>
  <c r="AL22" i="20"/>
  <c r="AL45" i="20" s="1"/>
  <c r="F9" i="15"/>
  <c r="F10" i="12" s="1"/>
  <c r="F38" i="10" l="1"/>
  <c r="G38" i="10" s="1"/>
  <c r="F77" i="10"/>
  <c r="G77" i="10" s="1"/>
  <c r="F72" i="10"/>
  <c r="F45" i="10" s="1"/>
  <c r="F43" i="10"/>
  <c r="F29" i="10"/>
  <c r="H42" i="19"/>
  <c r="H50" i="19" s="1"/>
  <c r="H67" i="19" s="1"/>
  <c r="H68" i="19" s="1"/>
  <c r="AL49" i="20"/>
  <c r="AL57" i="20" s="1"/>
  <c r="AL58" i="20" s="1"/>
  <c r="AL59" i="20" s="1"/>
  <c r="Q59" i="21"/>
  <c r="Q68" i="21" s="1"/>
  <c r="Q69" i="21" s="1"/>
  <c r="H45" i="10"/>
  <c r="G67" i="10"/>
  <c r="G71" i="10"/>
  <c r="G75" i="10"/>
  <c r="G35" i="10"/>
  <c r="H35" i="9"/>
  <c r="H34" i="9"/>
  <c r="T19" i="15"/>
  <c r="J17" i="13"/>
  <c r="F11" i="15"/>
  <c r="F12" i="12" s="1"/>
  <c r="W12" i="12" s="1"/>
  <c r="H11" i="15"/>
  <c r="H12" i="12" s="1"/>
  <c r="Y12" i="12" s="1"/>
  <c r="G67" i="4"/>
  <c r="K57" i="4"/>
  <c r="H77" i="10"/>
  <c r="V12" i="11"/>
  <c r="W12" i="11"/>
  <c r="Y12" i="11"/>
  <c r="F15" i="11"/>
  <c r="F14" i="11"/>
  <c r="G14" i="11" s="1"/>
  <c r="F9" i="11"/>
  <c r="AA46" i="16"/>
  <c r="AB46" i="16"/>
  <c r="AA40" i="16"/>
  <c r="AB40" i="16"/>
  <c r="AC102" i="16"/>
  <c r="AC103" i="16"/>
  <c r="AC104" i="16"/>
  <c r="AC105" i="16"/>
  <c r="AC108" i="16"/>
  <c r="U116" i="2"/>
  <c r="V116" i="2" s="1"/>
  <c r="V112" i="2"/>
  <c r="U23" i="2"/>
  <c r="V23" i="2" s="1"/>
  <c r="U7" i="2"/>
  <c r="V7" i="2" s="1"/>
  <c r="W116" i="2"/>
  <c r="W114" i="2" s="1"/>
  <c r="W117" i="2" s="1"/>
  <c r="H114" i="2"/>
  <c r="I114" i="2"/>
  <c r="J114" i="2"/>
  <c r="K114" i="2"/>
  <c r="K117" i="2" s="1"/>
  <c r="L114" i="2"/>
  <c r="L117" i="2" s="1"/>
  <c r="M114" i="2"/>
  <c r="N114" i="2"/>
  <c r="N117" i="2" s="1"/>
  <c r="O114" i="2"/>
  <c r="O117" i="2" s="1"/>
  <c r="P114" i="2"/>
  <c r="Q114" i="2"/>
  <c r="Q117" i="2" s="1"/>
  <c r="R114" i="2"/>
  <c r="R117" i="2" s="1"/>
  <c r="S114" i="2"/>
  <c r="S117" i="2" s="1"/>
  <c r="T114" i="2"/>
  <c r="T117" i="2" s="1"/>
  <c r="W103" i="2"/>
  <c r="W104" i="2"/>
  <c r="W105" i="2"/>
  <c r="W106" i="2"/>
  <c r="W107" i="2"/>
  <c r="W108" i="2"/>
  <c r="W83" i="2"/>
  <c r="W69" i="2"/>
  <c r="W49" i="2"/>
  <c r="W41" i="2"/>
  <c r="L24" i="2"/>
  <c r="N24" i="2"/>
  <c r="O24" i="2"/>
  <c r="Q24" i="2"/>
  <c r="R24" i="2"/>
  <c r="S24" i="2"/>
  <c r="T24" i="2"/>
  <c r="W24" i="2"/>
  <c r="W25" i="2" s="1"/>
  <c r="W27" i="2" s="1"/>
  <c r="U10" i="2"/>
  <c r="V10" i="2" s="1"/>
  <c r="U19" i="2"/>
  <c r="V19" i="2" s="1"/>
  <c r="U44" i="2"/>
  <c r="V44" i="2" s="1"/>
  <c r="U51" i="2"/>
  <c r="V51" i="2" s="1"/>
  <c r="U52" i="2"/>
  <c r="V52" i="2" s="1"/>
  <c r="U53" i="2"/>
  <c r="V53" i="2" s="1"/>
  <c r="U61" i="2"/>
  <c r="V61" i="2" s="1"/>
  <c r="U68" i="2"/>
  <c r="V68" i="2" s="1"/>
  <c r="U70" i="2"/>
  <c r="V70" i="2" s="1"/>
  <c r="U76" i="2"/>
  <c r="V76" i="2" s="1"/>
  <c r="U78" i="2"/>
  <c r="V78" i="2" s="1"/>
  <c r="U80" i="2"/>
  <c r="V80" i="2" s="1"/>
  <c r="U96" i="2"/>
  <c r="V96" i="2" s="1"/>
  <c r="U110" i="2"/>
  <c r="V110" i="2" s="1"/>
  <c r="U115" i="2"/>
  <c r="V115" i="2" s="1"/>
  <c r="K61" i="4" l="1"/>
  <c r="H9" i="15" s="1"/>
  <c r="H10" i="12" s="1"/>
  <c r="F78" i="10"/>
  <c r="N43" i="32" s="1"/>
  <c r="G72" i="10"/>
  <c r="AB81" i="16"/>
  <c r="AA81" i="16"/>
  <c r="F33" i="10"/>
  <c r="U114" i="2"/>
  <c r="F18" i="11" s="1"/>
  <c r="W84" i="2"/>
  <c r="W109" i="2" s="1"/>
  <c r="W118" i="2" s="1"/>
  <c r="H14" i="11" l="1"/>
  <c r="H9" i="11"/>
  <c r="Y80" i="16"/>
  <c r="AF70" i="16"/>
  <c r="T80" i="16"/>
  <c r="J46" i="16"/>
  <c r="O46" i="16"/>
  <c r="Y46" i="16"/>
  <c r="J40" i="16"/>
  <c r="O40" i="16"/>
  <c r="Y40" i="16"/>
  <c r="F69" i="16"/>
  <c r="H69" i="16"/>
  <c r="J69" i="16"/>
  <c r="K69" i="16"/>
  <c r="M69" i="16"/>
  <c r="O69" i="16"/>
  <c r="P69" i="16"/>
  <c r="R69" i="16"/>
  <c r="T69" i="16"/>
  <c r="U69" i="16"/>
  <c r="W69" i="16"/>
  <c r="Y69" i="16"/>
  <c r="J80" i="16"/>
  <c r="O80" i="16"/>
  <c r="H56" i="16"/>
  <c r="J56" i="16"/>
  <c r="J66" i="16" s="1"/>
  <c r="K56" i="16"/>
  <c r="M56" i="16"/>
  <c r="O56" i="16"/>
  <c r="O66" i="16" s="1"/>
  <c r="P56" i="16"/>
  <c r="R56" i="16"/>
  <c r="T56" i="16"/>
  <c r="T66" i="16" s="1"/>
  <c r="U56" i="16"/>
  <c r="W56" i="16"/>
  <c r="Y56" i="16"/>
  <c r="Y66" i="16" s="1"/>
  <c r="F23" i="16"/>
  <c r="H23" i="16"/>
  <c r="J23" i="16"/>
  <c r="K23" i="16"/>
  <c r="M23" i="16"/>
  <c r="O23" i="16"/>
  <c r="P23" i="16"/>
  <c r="R23" i="16"/>
  <c r="T23" i="16"/>
  <c r="U23" i="16"/>
  <c r="W23" i="16"/>
  <c r="Y23" i="16"/>
  <c r="AD102" i="16"/>
  <c r="AD103" i="16"/>
  <c r="AD104" i="16"/>
  <c r="AD105" i="16"/>
  <c r="AD108" i="16"/>
  <c r="H20" i="16"/>
  <c r="H24" i="16" s="1"/>
  <c r="H26" i="16" s="1"/>
  <c r="J20" i="16"/>
  <c r="K20" i="16"/>
  <c r="M20" i="16"/>
  <c r="M24" i="16" s="1"/>
  <c r="M26" i="16" s="1"/>
  <c r="O20" i="16"/>
  <c r="P20" i="16"/>
  <c r="R20" i="16"/>
  <c r="R24" i="16" s="1"/>
  <c r="R26" i="16" s="1"/>
  <c r="T20" i="16"/>
  <c r="T24" i="16" s="1"/>
  <c r="T26" i="16" s="1"/>
  <c r="U20" i="16"/>
  <c r="W20" i="16"/>
  <c r="Y20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1" i="16"/>
  <c r="AF22" i="16"/>
  <c r="AF25" i="16"/>
  <c r="AF27" i="16"/>
  <c r="AF28" i="16"/>
  <c r="AF29" i="16"/>
  <c r="AF30" i="16"/>
  <c r="AF31" i="16"/>
  <c r="AF32" i="16"/>
  <c r="AF33" i="16"/>
  <c r="AF34" i="16"/>
  <c r="AF35" i="16"/>
  <c r="AF37" i="16"/>
  <c r="AF38" i="16"/>
  <c r="AF39" i="16"/>
  <c r="AF41" i="16"/>
  <c r="AF42" i="16"/>
  <c r="AF43" i="16"/>
  <c r="AF44" i="16"/>
  <c r="AF45" i="16"/>
  <c r="AF47" i="16"/>
  <c r="AF48" i="16"/>
  <c r="AF49" i="16"/>
  <c r="AF50" i="16"/>
  <c r="AF51" i="16"/>
  <c r="AF52" i="16"/>
  <c r="AF53" i="16"/>
  <c r="AF54" i="16"/>
  <c r="AF55" i="16"/>
  <c r="AF57" i="16"/>
  <c r="AF58" i="16"/>
  <c r="AF59" i="16"/>
  <c r="AF60" i="16"/>
  <c r="AF61" i="16"/>
  <c r="AF62" i="16"/>
  <c r="AF63" i="16"/>
  <c r="AF64" i="16"/>
  <c r="AF65" i="16"/>
  <c r="AF67" i="16"/>
  <c r="AF68" i="16"/>
  <c r="AF71" i="16"/>
  <c r="AF72" i="16"/>
  <c r="AF73" i="16"/>
  <c r="AF74" i="16"/>
  <c r="AF75" i="16"/>
  <c r="AF76" i="16"/>
  <c r="AF77" i="16"/>
  <c r="AF78" i="16"/>
  <c r="AF79" i="16"/>
  <c r="AF82" i="16"/>
  <c r="AF83" i="16"/>
  <c r="AF84" i="16"/>
  <c r="AF85" i="16"/>
  <c r="AF86" i="16"/>
  <c r="AF88" i="16"/>
  <c r="AF89" i="16"/>
  <c r="AF90" i="16"/>
  <c r="AF91" i="16"/>
  <c r="AF92" i="16"/>
  <c r="AF93" i="16"/>
  <c r="AF94" i="16"/>
  <c r="AF95" i="16"/>
  <c r="AF96" i="16"/>
  <c r="AF97" i="16"/>
  <c r="AF98" i="16"/>
  <c r="AF99" i="16"/>
  <c r="AF100" i="16"/>
  <c r="AF102" i="16"/>
  <c r="AF103" i="16"/>
  <c r="AF104" i="16"/>
  <c r="AF105" i="16"/>
  <c r="AF108" i="16"/>
  <c r="AF109" i="16"/>
  <c r="AF110" i="16"/>
  <c r="AF111" i="16"/>
  <c r="AF112" i="16"/>
  <c r="AF116" i="16"/>
  <c r="AF7" i="16"/>
  <c r="Z7" i="16"/>
  <c r="AC7" i="16" s="1"/>
  <c r="F87" i="16"/>
  <c r="G87" i="16"/>
  <c r="G101" i="16" s="1"/>
  <c r="H87" i="16"/>
  <c r="H101" i="16" s="1"/>
  <c r="J87" i="16"/>
  <c r="J101" i="16" s="1"/>
  <c r="K87" i="16"/>
  <c r="L87" i="16"/>
  <c r="L101" i="16" s="1"/>
  <c r="M87" i="16"/>
  <c r="M101" i="16" s="1"/>
  <c r="O87" i="16"/>
  <c r="O101" i="16" s="1"/>
  <c r="P87" i="16"/>
  <c r="P101" i="16" s="1"/>
  <c r="Q87" i="16"/>
  <c r="Q101" i="16" s="1"/>
  <c r="R87" i="16"/>
  <c r="R101" i="16" s="1"/>
  <c r="T101" i="16"/>
  <c r="U87" i="16"/>
  <c r="V87" i="16"/>
  <c r="V101" i="16" s="1"/>
  <c r="W87" i="16"/>
  <c r="W101" i="16" s="1"/>
  <c r="Y87" i="16"/>
  <c r="Y101" i="16" s="1"/>
  <c r="AA87" i="16"/>
  <c r="AA101" i="16" s="1"/>
  <c r="AB87" i="16"/>
  <c r="AB101" i="16" s="1"/>
  <c r="G106" i="16"/>
  <c r="H106" i="16"/>
  <c r="J106" i="16"/>
  <c r="K106" i="16"/>
  <c r="L106" i="16"/>
  <c r="M106" i="16"/>
  <c r="O106" i="16"/>
  <c r="P106" i="16"/>
  <c r="Q106" i="16"/>
  <c r="R106" i="16"/>
  <c r="T106" i="16"/>
  <c r="U106" i="16"/>
  <c r="V106" i="16"/>
  <c r="W106" i="16"/>
  <c r="Y106" i="16"/>
  <c r="Z106" i="16"/>
  <c r="AC106" i="16" s="1"/>
  <c r="AA106" i="16"/>
  <c r="AB106" i="16"/>
  <c r="H113" i="16"/>
  <c r="H117" i="16" s="1"/>
  <c r="AA113" i="16"/>
  <c r="AA117" i="16" s="1"/>
  <c r="AB113" i="16"/>
  <c r="AB117" i="16" s="1"/>
  <c r="X112" i="2"/>
  <c r="I15" i="11" s="1"/>
  <c r="AC15" i="11" s="1"/>
  <c r="X103" i="2"/>
  <c r="H11" i="11" s="1"/>
  <c r="X41" i="2"/>
  <c r="X83" i="2"/>
  <c r="L72" i="2"/>
  <c r="N72" i="2"/>
  <c r="O72" i="2"/>
  <c r="Q72" i="2"/>
  <c r="R72" i="2"/>
  <c r="S72" i="2"/>
  <c r="T72" i="2"/>
  <c r="X72" i="2"/>
  <c r="X69" i="2"/>
  <c r="X49" i="2"/>
  <c r="X24" i="2"/>
  <c r="X20" i="2"/>
  <c r="L20" i="2"/>
  <c r="L25" i="2" s="1"/>
  <c r="L27" i="2" s="1"/>
  <c r="N20" i="2"/>
  <c r="N25" i="2" s="1"/>
  <c r="N27" i="2" s="1"/>
  <c r="O20" i="2"/>
  <c r="O25" i="2" s="1"/>
  <c r="O27" i="2" s="1"/>
  <c r="Q20" i="2"/>
  <c r="Q25" i="2" s="1"/>
  <c r="Q27" i="2" s="1"/>
  <c r="R20" i="2"/>
  <c r="R25" i="2" s="1"/>
  <c r="R27" i="2" s="1"/>
  <c r="S20" i="2"/>
  <c r="S25" i="2" s="1"/>
  <c r="S27" i="2" s="1"/>
  <c r="T20" i="2"/>
  <c r="T25" i="2" s="1"/>
  <c r="T27" i="2" s="1"/>
  <c r="O9" i="11" l="1"/>
  <c r="Y9" i="11" s="1"/>
  <c r="O15" i="11"/>
  <c r="W24" i="16"/>
  <c r="W26" i="16" s="1"/>
  <c r="AD106" i="16"/>
  <c r="AB107" i="16"/>
  <c r="AB118" i="16" s="1"/>
  <c r="AB20" i="16"/>
  <c r="H15" i="11"/>
  <c r="AF106" i="16"/>
  <c r="AA107" i="16"/>
  <c r="AA118" i="16" s="1"/>
  <c r="Y24" i="16"/>
  <c r="Y26" i="16" s="1"/>
  <c r="O24" i="16"/>
  <c r="O26" i="16" s="1"/>
  <c r="AB23" i="16"/>
  <c r="AD7" i="16"/>
  <c r="Z23" i="16"/>
  <c r="AD23" i="16" s="1"/>
  <c r="U24" i="16"/>
  <c r="U26" i="16" s="1"/>
  <c r="K24" i="16"/>
  <c r="K26" i="16" s="1"/>
  <c r="P24" i="16"/>
  <c r="P26" i="16" s="1"/>
  <c r="AF46" i="16"/>
  <c r="AF23" i="16"/>
  <c r="AF56" i="16"/>
  <c r="AF87" i="16"/>
  <c r="AF101" i="16"/>
  <c r="S11" i="11" s="1"/>
  <c r="AC11" i="11" s="1"/>
  <c r="AF80" i="16"/>
  <c r="AF69" i="16"/>
  <c r="Y81" i="16"/>
  <c r="AF66" i="16"/>
  <c r="T81" i="16"/>
  <c r="T107" i="16" s="1"/>
  <c r="O81" i="16"/>
  <c r="AF40" i="16"/>
  <c r="J81" i="16"/>
  <c r="AF20" i="16"/>
  <c r="J24" i="16"/>
  <c r="J26" i="16" s="1"/>
  <c r="X25" i="2"/>
  <c r="X84" i="2"/>
  <c r="S8" i="23"/>
  <c r="S9" i="23"/>
  <c r="S10" i="23"/>
  <c r="S11" i="23"/>
  <c r="S12" i="23"/>
  <c r="S13" i="23"/>
  <c r="S14" i="23"/>
  <c r="S15" i="23"/>
  <c r="S16" i="23"/>
  <c r="S18" i="23"/>
  <c r="S19" i="23"/>
  <c r="S20" i="23"/>
  <c r="S21" i="23"/>
  <c r="S22" i="23"/>
  <c r="S23" i="23"/>
  <c r="S24" i="23"/>
  <c r="S25" i="23"/>
  <c r="S27" i="23"/>
  <c r="S28" i="23"/>
  <c r="S29" i="23"/>
  <c r="S30" i="23"/>
  <c r="S31" i="23"/>
  <c r="S32" i="23"/>
  <c r="S33" i="23"/>
  <c r="S34" i="23"/>
  <c r="S35" i="23"/>
  <c r="S36" i="23"/>
  <c r="S37" i="23"/>
  <c r="S38" i="23"/>
  <c r="S40" i="23"/>
  <c r="S41" i="23"/>
  <c r="S42" i="23"/>
  <c r="S43" i="23"/>
  <c r="S44" i="23"/>
  <c r="S45" i="23"/>
  <c r="S46" i="23"/>
  <c r="S47" i="23"/>
  <c r="S48" i="23"/>
  <c r="S49" i="23"/>
  <c r="S50" i="23"/>
  <c r="S51" i="23"/>
  <c r="S53" i="23"/>
  <c r="S54" i="23"/>
  <c r="S56" i="23"/>
  <c r="S57" i="23"/>
  <c r="S58" i="23"/>
  <c r="S59" i="23"/>
  <c r="S60" i="23"/>
  <c r="S61" i="23"/>
  <c r="S62" i="23"/>
  <c r="S63" i="23"/>
  <c r="S64" i="23"/>
  <c r="S7" i="23"/>
  <c r="S26" i="23" l="1"/>
  <c r="S17" i="23"/>
  <c r="S65" i="23"/>
  <c r="AF26" i="16"/>
  <c r="I8" i="11"/>
  <c r="S55" i="23"/>
  <c r="S39" i="23"/>
  <c r="S52" i="23" s="1"/>
  <c r="AY15" i="12"/>
  <c r="BI15" i="12" s="1"/>
  <c r="S15" i="12"/>
  <c r="I10" i="11"/>
  <c r="O107" i="16"/>
  <c r="Y107" i="16"/>
  <c r="O11" i="11"/>
  <c r="Y11" i="11" s="1"/>
  <c r="X27" i="2"/>
  <c r="H8" i="11"/>
  <c r="X109" i="2"/>
  <c r="H10" i="11"/>
  <c r="AF81" i="16"/>
  <c r="S10" i="11" s="1"/>
  <c r="J107" i="16"/>
  <c r="AF24" i="16"/>
  <c r="S8" i="11" s="1"/>
  <c r="S66" i="23" l="1"/>
  <c r="AC10" i="11"/>
  <c r="S18" i="12"/>
  <c r="AC18" i="12" s="1"/>
  <c r="AC15" i="12"/>
  <c r="AC8" i="11"/>
  <c r="E22" i="32"/>
  <c r="N22" i="32" s="1"/>
  <c r="O22" i="32" s="1"/>
  <c r="I13" i="11"/>
  <c r="AU15" i="12"/>
  <c r="O10" i="11"/>
  <c r="Y10" i="11" s="1"/>
  <c r="AF107" i="16"/>
  <c r="O8" i="11"/>
  <c r="G12" i="9"/>
  <c r="Y8" i="11" l="1"/>
  <c r="Y13" i="11" s="1"/>
  <c r="O13" i="11"/>
  <c r="AY11" i="12"/>
  <c r="AY9" i="12"/>
  <c r="I23" i="9"/>
  <c r="I19" i="9"/>
  <c r="I18" i="9" l="1"/>
  <c r="E49" i="20"/>
  <c r="AN49" i="20" s="1"/>
  <c r="H54" i="20"/>
  <c r="G39" i="23"/>
  <c r="G52" i="23" s="1"/>
  <c r="G66" i="23" s="1"/>
  <c r="D65" i="23"/>
  <c r="P28" i="23"/>
  <c r="R28" i="23" s="1"/>
  <c r="P29" i="23"/>
  <c r="R29" i="23" s="1"/>
  <c r="P30" i="23"/>
  <c r="R30" i="23" s="1"/>
  <c r="P31" i="23"/>
  <c r="R31" i="23" s="1"/>
  <c r="P32" i="23"/>
  <c r="R32" i="23" s="1"/>
  <c r="P33" i="23"/>
  <c r="R33" i="23" s="1"/>
  <c r="AN9" i="20"/>
  <c r="D10" i="32" s="1"/>
  <c r="AN10" i="20"/>
  <c r="AN11" i="20"/>
  <c r="AN12" i="20"/>
  <c r="AN13" i="20"/>
  <c r="AN14" i="20"/>
  <c r="AN15" i="20"/>
  <c r="AN17" i="20"/>
  <c r="AN18" i="20"/>
  <c r="AN19" i="20"/>
  <c r="AN20" i="20"/>
  <c r="AN22" i="20"/>
  <c r="AN23" i="20"/>
  <c r="AN24" i="20"/>
  <c r="AN25" i="20"/>
  <c r="AN26" i="20"/>
  <c r="AN27" i="20"/>
  <c r="AN28" i="20"/>
  <c r="AN29" i="20"/>
  <c r="AN30" i="20"/>
  <c r="AN31" i="20"/>
  <c r="AN32" i="20"/>
  <c r="AN33" i="20"/>
  <c r="AN34" i="20"/>
  <c r="AN35" i="20"/>
  <c r="AN36" i="20"/>
  <c r="AN37" i="20"/>
  <c r="AN38" i="20"/>
  <c r="AN39" i="20"/>
  <c r="AN40" i="20"/>
  <c r="AN41" i="20"/>
  <c r="AN42" i="20"/>
  <c r="AN43" i="20"/>
  <c r="AN44" i="20"/>
  <c r="AN46" i="20"/>
  <c r="AN47" i="20"/>
  <c r="AN48" i="20"/>
  <c r="AN50" i="20"/>
  <c r="AN51" i="20"/>
  <c r="AN52" i="20"/>
  <c r="AN53" i="20"/>
  <c r="AN55" i="20"/>
  <c r="AN56" i="20"/>
  <c r="AN8" i="20"/>
  <c r="C10" i="32" s="1"/>
  <c r="AK9" i="20"/>
  <c r="AK11" i="20"/>
  <c r="AK13" i="20"/>
  <c r="AK14" i="20"/>
  <c r="AK15" i="20"/>
  <c r="AK17" i="20"/>
  <c r="AK19" i="20"/>
  <c r="AK20" i="20"/>
  <c r="AK23" i="20"/>
  <c r="AK24" i="20"/>
  <c r="AK25" i="20"/>
  <c r="AK26" i="20"/>
  <c r="AK27" i="20"/>
  <c r="AK28" i="20"/>
  <c r="AK29" i="20"/>
  <c r="AK31" i="20"/>
  <c r="AK32" i="20"/>
  <c r="AK33" i="20"/>
  <c r="AK35" i="20"/>
  <c r="AK36" i="20"/>
  <c r="AK37" i="20"/>
  <c r="AK38" i="20"/>
  <c r="AK39" i="20"/>
  <c r="AK40" i="20"/>
  <c r="AK41" i="20"/>
  <c r="AK42" i="20"/>
  <c r="AK43" i="20"/>
  <c r="AK44" i="20"/>
  <c r="AK46" i="20"/>
  <c r="AK47" i="20"/>
  <c r="AK50" i="20"/>
  <c r="AK52" i="20"/>
  <c r="AK53" i="20"/>
  <c r="AK55" i="20"/>
  <c r="AK56" i="20"/>
  <c r="AK8" i="20"/>
  <c r="J17" i="22"/>
  <c r="AN16" i="20" l="1"/>
  <c r="AN45" i="20"/>
  <c r="AN21" i="20"/>
  <c r="AN54" i="20"/>
  <c r="H57" i="20"/>
  <c r="H58" i="20" s="1"/>
  <c r="H59" i="20" s="1"/>
  <c r="AN57" i="20"/>
  <c r="AN58" i="20" s="1"/>
  <c r="AN59" i="20" s="1"/>
  <c r="E56" i="22"/>
  <c r="AK23" i="12" l="1"/>
  <c r="AL23" i="12"/>
  <c r="AM23" i="12"/>
  <c r="AN23" i="12"/>
  <c r="BC19" i="12"/>
  <c r="BD19" i="12"/>
  <c r="BE19" i="12"/>
  <c r="BC25" i="12"/>
  <c r="BD25" i="12"/>
  <c r="BE25" i="12"/>
  <c r="N12" i="12"/>
  <c r="N13" i="12"/>
  <c r="N16" i="12"/>
  <c r="N17" i="12"/>
  <c r="N9" i="12"/>
  <c r="G16" i="11"/>
  <c r="X16" i="11" s="1"/>
  <c r="G17" i="11"/>
  <c r="X17" i="11" s="1"/>
  <c r="G12" i="11"/>
  <c r="X12" i="11" s="1"/>
  <c r="AU9" i="12"/>
  <c r="AU10" i="12"/>
  <c r="AU11" i="12"/>
  <c r="W14" i="11"/>
  <c r="X14" i="11"/>
  <c r="Y14" i="11"/>
  <c r="W15" i="11"/>
  <c r="Y15" i="11"/>
  <c r="O15" i="12" s="1"/>
  <c r="W16" i="11"/>
  <c r="Y16" i="11"/>
  <c r="W17" i="11"/>
  <c r="Y17" i="11"/>
  <c r="S16" i="15"/>
  <c r="AM17" i="12" s="1"/>
  <c r="BD17" i="12" s="1"/>
  <c r="BE17" i="12"/>
  <c r="G20" i="15"/>
  <c r="G21" i="12" s="1"/>
  <c r="X21" i="12" s="1"/>
  <c r="G19" i="15"/>
  <c r="H6" i="13"/>
  <c r="J6" i="13"/>
  <c r="I7" i="13"/>
  <c r="I8" i="13"/>
  <c r="I9" i="13"/>
  <c r="I10" i="13"/>
  <c r="I11" i="13"/>
  <c r="I12" i="13"/>
  <c r="I13" i="13"/>
  <c r="I14" i="13"/>
  <c r="I16" i="13"/>
  <c r="I18" i="13"/>
  <c r="I20" i="13"/>
  <c r="I22" i="13"/>
  <c r="I23" i="13"/>
  <c r="I5" i="13"/>
  <c r="F17" i="14"/>
  <c r="H17" i="14"/>
  <c r="F11" i="14"/>
  <c r="F16" i="14" s="1"/>
  <c r="H11" i="14"/>
  <c r="H16" i="14" s="1"/>
  <c r="F7" i="14"/>
  <c r="H7" i="14"/>
  <c r="G8" i="14"/>
  <c r="G9" i="14"/>
  <c r="G10" i="14"/>
  <c r="G12" i="14"/>
  <c r="G11" i="14" s="1"/>
  <c r="G13" i="14"/>
  <c r="G15" i="14"/>
  <c r="G18" i="14"/>
  <c r="G19" i="14"/>
  <c r="G20" i="14"/>
  <c r="F8" i="15"/>
  <c r="H8" i="15"/>
  <c r="J26" i="4"/>
  <c r="L26" i="4" s="1"/>
  <c r="J27" i="4"/>
  <c r="L27" i="4" s="1"/>
  <c r="J28" i="4"/>
  <c r="L28" i="4" s="1"/>
  <c r="J29" i="4"/>
  <c r="L29" i="4" s="1"/>
  <c r="J30" i="4"/>
  <c r="L30" i="4" s="1"/>
  <c r="J32" i="4"/>
  <c r="L32" i="4" s="1"/>
  <c r="J33" i="4"/>
  <c r="L33" i="4" s="1"/>
  <c r="J36" i="4"/>
  <c r="L36" i="4" s="1"/>
  <c r="J37" i="4"/>
  <c r="L37" i="4" s="1"/>
  <c r="J39" i="4"/>
  <c r="L39" i="4" s="1"/>
  <c r="J40" i="4"/>
  <c r="L40" i="4" s="1"/>
  <c r="J42" i="4"/>
  <c r="L42" i="4" s="1"/>
  <c r="J44" i="4"/>
  <c r="L44" i="4" s="1"/>
  <c r="J45" i="4"/>
  <c r="L45" i="4" s="1"/>
  <c r="J46" i="4"/>
  <c r="L46" i="4" s="1"/>
  <c r="J47" i="4"/>
  <c r="L47" i="4" s="1"/>
  <c r="J48" i="4"/>
  <c r="L48" i="4" s="1"/>
  <c r="J49" i="4"/>
  <c r="J50" i="4"/>
  <c r="L50" i="4" s="1"/>
  <c r="J51" i="4"/>
  <c r="L51" i="4" s="1"/>
  <c r="J54" i="4"/>
  <c r="L54" i="4" s="1"/>
  <c r="J55" i="4"/>
  <c r="L55" i="4" s="1"/>
  <c r="J56" i="4"/>
  <c r="L56" i="4" s="1"/>
  <c r="J58" i="4"/>
  <c r="L58" i="4" s="1"/>
  <c r="J59" i="4"/>
  <c r="L59" i="4" s="1"/>
  <c r="J60" i="4"/>
  <c r="L60" i="4" s="1"/>
  <c r="J62" i="4"/>
  <c r="L62" i="4" s="1"/>
  <c r="J63" i="4"/>
  <c r="J67" i="4" s="1"/>
  <c r="J64" i="4"/>
  <c r="L64" i="4" s="1"/>
  <c r="J65" i="4"/>
  <c r="L65" i="4" s="1"/>
  <c r="J25" i="4"/>
  <c r="L25" i="4" s="1"/>
  <c r="F19" i="11"/>
  <c r="H13" i="11"/>
  <c r="G52" i="10"/>
  <c r="G53" i="10"/>
  <c r="G56" i="10"/>
  <c r="G57" i="10"/>
  <c r="G51" i="10"/>
  <c r="H78" i="10"/>
  <c r="N45" i="32" s="1"/>
  <c r="H33" i="10"/>
  <c r="F18" i="10"/>
  <c r="G19" i="10"/>
  <c r="G21" i="10"/>
  <c r="G22" i="10"/>
  <c r="G23" i="10"/>
  <c r="G24" i="10"/>
  <c r="G26" i="10"/>
  <c r="G27" i="10"/>
  <c r="G30" i="10"/>
  <c r="G31" i="10"/>
  <c r="G32" i="10"/>
  <c r="G34" i="10"/>
  <c r="G43" i="10"/>
  <c r="G11" i="9"/>
  <c r="I11" i="9"/>
  <c r="I43" i="9" s="1"/>
  <c r="I45" i="9" s="1"/>
  <c r="H12" i="9"/>
  <c r="H13" i="9"/>
  <c r="H14" i="9"/>
  <c r="H19" i="9"/>
  <c r="H20" i="9"/>
  <c r="H21" i="9"/>
  <c r="H22" i="9"/>
  <c r="H24" i="9"/>
  <c r="H25" i="9"/>
  <c r="H26" i="9"/>
  <c r="H27" i="9"/>
  <c r="H28" i="9"/>
  <c r="H29" i="9"/>
  <c r="H30" i="9"/>
  <c r="H31" i="9"/>
  <c r="H32" i="9"/>
  <c r="H33" i="9"/>
  <c r="H38" i="9"/>
  <c r="H39" i="9"/>
  <c r="H41" i="9"/>
  <c r="H42" i="9"/>
  <c r="H10" i="9"/>
  <c r="G15" i="15"/>
  <c r="G16" i="12" s="1"/>
  <c r="G16" i="15"/>
  <c r="G17" i="12" s="1"/>
  <c r="H24" i="8"/>
  <c r="H23" i="8"/>
  <c r="H22" i="8"/>
  <c r="H21" i="8"/>
  <c r="H20" i="8"/>
  <c r="H19" i="8"/>
  <c r="H18" i="8"/>
  <c r="H17" i="8"/>
  <c r="H16" i="8"/>
  <c r="H15" i="8"/>
  <c r="H14" i="8"/>
  <c r="H13" i="8"/>
  <c r="H10" i="8"/>
  <c r="H11" i="8"/>
  <c r="H9" i="8"/>
  <c r="G12" i="8"/>
  <c r="I12" i="8"/>
  <c r="G8" i="8"/>
  <c r="I8" i="8"/>
  <c r="E45" i="20"/>
  <c r="T12" i="22"/>
  <c r="V12" i="22" s="1"/>
  <c r="W12" i="22"/>
  <c r="F11" i="24"/>
  <c r="F13" i="24" s="1"/>
  <c r="H11" i="24"/>
  <c r="H13" i="24" s="1"/>
  <c r="E11" i="24"/>
  <c r="N15" i="32"/>
  <c r="O15" i="32" s="1"/>
  <c r="D55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41" i="21"/>
  <c r="S42" i="21"/>
  <c r="S43" i="21"/>
  <c r="S44" i="21"/>
  <c r="S45" i="21"/>
  <c r="S46" i="21"/>
  <c r="S47" i="21"/>
  <c r="S48" i="21"/>
  <c r="S49" i="21"/>
  <c r="S50" i="21"/>
  <c r="S51" i="21"/>
  <c r="S52" i="21"/>
  <c r="S53" i="21"/>
  <c r="S54" i="21"/>
  <c r="S59" i="21"/>
  <c r="S60" i="21"/>
  <c r="S61" i="21"/>
  <c r="S62" i="21"/>
  <c r="S63" i="21"/>
  <c r="S64" i="21"/>
  <c r="S65" i="21"/>
  <c r="S66" i="21"/>
  <c r="S67" i="21"/>
  <c r="S14" i="21"/>
  <c r="D68" i="21"/>
  <c r="E57" i="20"/>
  <c r="E29" i="22"/>
  <c r="W9" i="22"/>
  <c r="W10" i="22"/>
  <c r="W11" i="22"/>
  <c r="W14" i="22"/>
  <c r="D18" i="32" s="1"/>
  <c r="W15" i="22"/>
  <c r="W16" i="22"/>
  <c r="W17" i="22"/>
  <c r="W18" i="22"/>
  <c r="W19" i="22"/>
  <c r="W21" i="22"/>
  <c r="W22" i="22"/>
  <c r="W23" i="22"/>
  <c r="W24" i="22"/>
  <c r="W25" i="22"/>
  <c r="W26" i="22"/>
  <c r="W27" i="22"/>
  <c r="W28" i="22"/>
  <c r="W30" i="22"/>
  <c r="W31" i="22"/>
  <c r="W32" i="22"/>
  <c r="W33" i="22"/>
  <c r="W34" i="22"/>
  <c r="W35" i="22"/>
  <c r="W36" i="22"/>
  <c r="W37" i="22"/>
  <c r="W39" i="22"/>
  <c r="W40" i="22"/>
  <c r="W41" i="22"/>
  <c r="W43" i="22"/>
  <c r="W44" i="22"/>
  <c r="W45" i="22"/>
  <c r="W46" i="22"/>
  <c r="W47" i="22"/>
  <c r="W48" i="22"/>
  <c r="W49" i="22"/>
  <c r="W50" i="22"/>
  <c r="W51" i="22"/>
  <c r="W52" i="22"/>
  <c r="W54" i="22"/>
  <c r="W56" i="22" s="1"/>
  <c r="W55" i="22"/>
  <c r="W57" i="22"/>
  <c r="W58" i="22"/>
  <c r="W59" i="22"/>
  <c r="W60" i="22"/>
  <c r="W61" i="22"/>
  <c r="W62" i="22"/>
  <c r="W63" i="22"/>
  <c r="W64" i="22"/>
  <c r="W65" i="22"/>
  <c r="W8" i="22"/>
  <c r="E20" i="22"/>
  <c r="O38" i="22"/>
  <c r="P38" i="22"/>
  <c r="Q38" i="22"/>
  <c r="Q53" i="22" s="1"/>
  <c r="Q67" i="22" s="1"/>
  <c r="Q68" i="22" s="1"/>
  <c r="I42" i="22"/>
  <c r="J42" i="22"/>
  <c r="K42" i="22"/>
  <c r="N42" i="22"/>
  <c r="O42" i="22"/>
  <c r="P42" i="22"/>
  <c r="I38" i="22"/>
  <c r="J38" i="22"/>
  <c r="N38" i="22"/>
  <c r="U38" i="22"/>
  <c r="E66" i="22"/>
  <c r="E53" i="22"/>
  <c r="R50" i="23"/>
  <c r="D26" i="23"/>
  <c r="D17" i="23"/>
  <c r="D39" i="23"/>
  <c r="F39" i="23"/>
  <c r="J39" i="23"/>
  <c r="K39" i="23"/>
  <c r="K52" i="23" s="1"/>
  <c r="K66" i="23" s="1"/>
  <c r="L39" i="23"/>
  <c r="L52" i="23" s="1"/>
  <c r="L66" i="23" s="1"/>
  <c r="M39" i="23"/>
  <c r="M52" i="23" s="1"/>
  <c r="M66" i="23" s="1"/>
  <c r="AM9" i="20"/>
  <c r="AM11" i="20"/>
  <c r="AM13" i="20"/>
  <c r="AM14" i="20"/>
  <c r="AM15" i="20"/>
  <c r="AM17" i="20"/>
  <c r="AM19" i="20"/>
  <c r="AM20" i="20"/>
  <c r="AM23" i="20"/>
  <c r="AM24" i="20"/>
  <c r="AM25" i="20"/>
  <c r="AM26" i="20"/>
  <c r="AM27" i="20"/>
  <c r="AM28" i="20"/>
  <c r="AM29" i="20"/>
  <c r="AM31" i="20"/>
  <c r="AM32" i="20"/>
  <c r="AM33" i="20"/>
  <c r="AM35" i="20"/>
  <c r="AM36" i="20"/>
  <c r="AM37" i="20"/>
  <c r="AM38" i="20"/>
  <c r="AM39" i="20"/>
  <c r="AM40" i="20"/>
  <c r="AM41" i="20"/>
  <c r="AM42" i="20"/>
  <c r="AM43" i="20"/>
  <c r="AM44" i="20"/>
  <c r="AM46" i="20"/>
  <c r="AM47" i="20"/>
  <c r="AM50" i="20"/>
  <c r="AM52" i="20"/>
  <c r="AM53" i="20"/>
  <c r="AM55" i="20"/>
  <c r="AM56" i="20"/>
  <c r="AM8" i="20"/>
  <c r="E16" i="20"/>
  <c r="E21" i="20"/>
  <c r="R16" i="15"/>
  <c r="R19" i="15"/>
  <c r="G14" i="24"/>
  <c r="G15" i="24"/>
  <c r="G8" i="24"/>
  <c r="G9" i="24"/>
  <c r="G10" i="24"/>
  <c r="G12" i="24"/>
  <c r="G7" i="24"/>
  <c r="I7" i="19"/>
  <c r="I8" i="19"/>
  <c r="I9" i="19"/>
  <c r="I11" i="19"/>
  <c r="I13" i="19"/>
  <c r="I16" i="19"/>
  <c r="I17" i="19"/>
  <c r="I22" i="19"/>
  <c r="I24" i="19"/>
  <c r="I25" i="19"/>
  <c r="I26" i="19"/>
  <c r="I29" i="19"/>
  <c r="I30" i="19"/>
  <c r="I32" i="19"/>
  <c r="I35" i="19"/>
  <c r="I36" i="19"/>
  <c r="I37" i="19"/>
  <c r="I38" i="19"/>
  <c r="I39" i="19"/>
  <c r="I40" i="19"/>
  <c r="I41" i="19"/>
  <c r="I43" i="19"/>
  <c r="I44" i="19"/>
  <c r="I46" i="19"/>
  <c r="I47" i="19"/>
  <c r="I48" i="19"/>
  <c r="I49" i="19"/>
  <c r="I51" i="19"/>
  <c r="I53" i="19" s="1"/>
  <c r="I52" i="19"/>
  <c r="I55" i="19"/>
  <c r="I57" i="19"/>
  <c r="I58" i="19"/>
  <c r="I60" i="19"/>
  <c r="I61" i="19"/>
  <c r="I62" i="19"/>
  <c r="I63" i="19"/>
  <c r="I64" i="19"/>
  <c r="I65" i="19"/>
  <c r="I6" i="19"/>
  <c r="I59" i="19" l="1"/>
  <c r="M10" i="12"/>
  <c r="N10" i="12" s="1"/>
  <c r="W13" i="22"/>
  <c r="W29" i="22"/>
  <c r="W66" i="22"/>
  <c r="W20" i="22"/>
  <c r="S68" i="21"/>
  <c r="S69" i="21" s="1"/>
  <c r="S55" i="21"/>
  <c r="AU18" i="12"/>
  <c r="AU27" i="12" s="1"/>
  <c r="U53" i="22"/>
  <c r="U67" i="22" s="1"/>
  <c r="U68" i="22" s="1"/>
  <c r="P53" i="22"/>
  <c r="P67" i="22" s="1"/>
  <c r="P68" i="22" s="1"/>
  <c r="I53" i="22"/>
  <c r="I67" i="22" s="1"/>
  <c r="I68" i="22" s="1"/>
  <c r="W42" i="22"/>
  <c r="K53" i="22"/>
  <c r="K67" i="22" s="1"/>
  <c r="K68" i="22" s="1"/>
  <c r="O53" i="22"/>
  <c r="O67" i="22" s="1"/>
  <c r="O68" i="22" s="1"/>
  <c r="D50" i="32"/>
  <c r="U9" i="15" s="1"/>
  <c r="V9" i="15" s="1"/>
  <c r="AV10" i="12" s="1"/>
  <c r="BJ10" i="12" s="1"/>
  <c r="D69" i="21"/>
  <c r="L49" i="4"/>
  <c r="G23" i="15"/>
  <c r="G26" i="8"/>
  <c r="N31" i="32" s="1"/>
  <c r="O31" i="32" s="1"/>
  <c r="H9" i="12"/>
  <c r="Y9" i="12" s="1"/>
  <c r="H10" i="15"/>
  <c r="F9" i="12"/>
  <c r="W9" i="12" s="1"/>
  <c r="F10" i="15"/>
  <c r="N10" i="32"/>
  <c r="N11" i="32"/>
  <c r="O11" i="32" s="1"/>
  <c r="S56" i="21"/>
  <c r="N23" i="32"/>
  <c r="O23" i="32" s="1"/>
  <c r="X17" i="12"/>
  <c r="H23" i="9"/>
  <c r="J24" i="13"/>
  <c r="H14" i="15" s="1"/>
  <c r="H15" i="12" s="1"/>
  <c r="F16" i="24"/>
  <c r="F25" i="15"/>
  <c r="F24" i="12"/>
  <c r="F26" i="12" s="1"/>
  <c r="D52" i="23"/>
  <c r="W38" i="22"/>
  <c r="W53" i="22" s="1"/>
  <c r="H24" i="13"/>
  <c r="F14" i="15" s="1"/>
  <c r="F15" i="12" s="1"/>
  <c r="G20" i="12"/>
  <c r="N11" i="12"/>
  <c r="AL20" i="12"/>
  <c r="BC20" i="12" s="1"/>
  <c r="O10" i="12"/>
  <c r="W10" i="12"/>
  <c r="M11" i="12"/>
  <c r="M18" i="12" s="1"/>
  <c r="F21" i="14"/>
  <c r="F12" i="15" s="1"/>
  <c r="F13" i="12" s="1"/>
  <c r="W13" i="12" s="1"/>
  <c r="S19" i="15"/>
  <c r="L63" i="4"/>
  <c r="L67" i="4" s="1"/>
  <c r="AN20" i="12"/>
  <c r="G11" i="24"/>
  <c r="T13" i="15"/>
  <c r="AN14" i="12" s="1"/>
  <c r="G7" i="14"/>
  <c r="I6" i="13"/>
  <c r="R9" i="15"/>
  <c r="AL10" i="12" s="1"/>
  <c r="I26" i="8"/>
  <c r="H8" i="8"/>
  <c r="H12" i="8"/>
  <c r="G17" i="14"/>
  <c r="G43" i="9"/>
  <c r="H11" i="9"/>
  <c r="H21" i="14"/>
  <c r="G33" i="10"/>
  <c r="H44" i="10"/>
  <c r="N41" i="32" s="1"/>
  <c r="F44" i="10"/>
  <c r="N37" i="32"/>
  <c r="N29" i="32"/>
  <c r="O29" i="32" s="1"/>
  <c r="H16" i="24"/>
  <c r="E67" i="22"/>
  <c r="E68" i="22" s="1"/>
  <c r="E58" i="20"/>
  <c r="E19" i="15"/>
  <c r="W11" i="12" l="1"/>
  <c r="AO10" i="12"/>
  <c r="W67" i="22"/>
  <c r="W68" i="22" s="1"/>
  <c r="K18" i="9"/>
  <c r="O10" i="32"/>
  <c r="R11" i="15"/>
  <c r="AL12" i="12" s="1"/>
  <c r="BC12" i="12" s="1"/>
  <c r="AM20" i="12"/>
  <c r="BD20" i="12" s="1"/>
  <c r="F17" i="15"/>
  <c r="W16" i="12"/>
  <c r="W15" i="12"/>
  <c r="Y16" i="12"/>
  <c r="Y15" i="12"/>
  <c r="N27" i="32"/>
  <c r="O27" i="32" s="1"/>
  <c r="E14" i="32"/>
  <c r="AO12" i="12"/>
  <c r="BI12" i="12" s="1"/>
  <c r="S57" i="21"/>
  <c r="C18" i="32"/>
  <c r="R8" i="15"/>
  <c r="E23" i="15"/>
  <c r="E24" i="12" s="1"/>
  <c r="E20" i="12"/>
  <c r="E59" i="20"/>
  <c r="H26" i="8"/>
  <c r="N32" i="32" s="1"/>
  <c r="O32" i="32" s="1"/>
  <c r="G25" i="15"/>
  <c r="G24" i="12"/>
  <c r="D66" i="23"/>
  <c r="N33" i="32"/>
  <c r="O33" i="32" s="1"/>
  <c r="H18" i="9"/>
  <c r="H43" i="9" s="1"/>
  <c r="Y10" i="12"/>
  <c r="Y11" i="12" s="1"/>
  <c r="O11" i="12"/>
  <c r="O18" i="12" s="1"/>
  <c r="G45" i="9"/>
  <c r="G13" i="24"/>
  <c r="T15" i="15"/>
  <c r="BE20" i="12"/>
  <c r="H12" i="15"/>
  <c r="H17" i="15" s="1"/>
  <c r="H11" i="12"/>
  <c r="T14" i="15"/>
  <c r="AN15" i="12" s="1"/>
  <c r="N17" i="32"/>
  <c r="O17" i="32" s="1"/>
  <c r="T9" i="15"/>
  <c r="AN10" i="12" s="1"/>
  <c r="T8" i="15"/>
  <c r="N19" i="32"/>
  <c r="O19" i="32" s="1"/>
  <c r="D18" i="26"/>
  <c r="E18" i="26" s="1"/>
  <c r="O51" i="32" l="1"/>
  <c r="K43" i="9"/>
  <c r="G35" i="32" s="1"/>
  <c r="C50" i="32"/>
  <c r="U8" i="15" s="1"/>
  <c r="V8" i="15" s="1"/>
  <c r="AN16" i="12"/>
  <c r="BE16" i="12" s="1"/>
  <c r="AL9" i="12"/>
  <c r="N14" i="32"/>
  <c r="O14" i="32" s="1"/>
  <c r="E18" i="32"/>
  <c r="E50" i="32" s="1"/>
  <c r="U10" i="15" s="1"/>
  <c r="V10" i="15" s="1"/>
  <c r="AV11" i="12" s="1"/>
  <c r="N21" i="32"/>
  <c r="O21" i="32" s="1"/>
  <c r="S58" i="21"/>
  <c r="S11" i="15"/>
  <c r="AM12" i="12" s="1"/>
  <c r="BD12" i="12" s="1"/>
  <c r="N36" i="32"/>
  <c r="H45" i="9"/>
  <c r="H13" i="12"/>
  <c r="Y13" i="12" s="1"/>
  <c r="R15" i="15"/>
  <c r="N28" i="32"/>
  <c r="O28" i="32" s="1"/>
  <c r="G16" i="24"/>
  <c r="T12" i="15"/>
  <c r="AN13" i="12" s="1"/>
  <c r="N25" i="32"/>
  <c r="O25" i="32" s="1"/>
  <c r="BE10" i="12"/>
  <c r="AN9" i="12"/>
  <c r="N13" i="32"/>
  <c r="O13" i="32" s="1"/>
  <c r="P116" i="16"/>
  <c r="P114" i="16"/>
  <c r="G34" i="4"/>
  <c r="G31" i="4"/>
  <c r="J31" i="4" s="1"/>
  <c r="L31" i="4" s="1"/>
  <c r="O53" i="32" l="1"/>
  <c r="AO9" i="12"/>
  <c r="BI9" i="12" s="1"/>
  <c r="AV9" i="12"/>
  <c r="V17" i="15"/>
  <c r="G51" i="32"/>
  <c r="R12" i="15" s="1"/>
  <c r="AL13" i="12" s="1"/>
  <c r="BC13" i="12" s="1"/>
  <c r="N35" i="32"/>
  <c r="N53" i="32"/>
  <c r="N18" i="32"/>
  <c r="Y18" i="12"/>
  <c r="U17" i="15"/>
  <c r="H18" i="12"/>
  <c r="T11" i="15"/>
  <c r="AN12" i="12" s="1"/>
  <c r="AL17" i="12"/>
  <c r="BC17" i="12" s="1"/>
  <c r="R10" i="15"/>
  <c r="T114" i="16"/>
  <c r="J34" i="4"/>
  <c r="L34" i="4" s="1"/>
  <c r="BE15" i="12"/>
  <c r="BE13" i="12"/>
  <c r="BE9" i="12"/>
  <c r="E18" i="15"/>
  <c r="G18" i="15" s="1"/>
  <c r="AV18" i="12" l="1"/>
  <c r="BJ9" i="12"/>
  <c r="O18" i="32"/>
  <c r="AO11" i="12"/>
  <c r="BI11" i="12" s="1"/>
  <c r="S12" i="15"/>
  <c r="BE12" i="12"/>
  <c r="E19" i="12"/>
  <c r="AL11" i="12"/>
  <c r="AF114" i="16"/>
  <c r="T10" i="15"/>
  <c r="AN11" i="12" s="1"/>
  <c r="C16" i="29"/>
  <c r="C17" i="29" s="1"/>
  <c r="C18" i="29"/>
  <c r="C26" i="29"/>
  <c r="C9" i="27"/>
  <c r="C28" i="27" s="1"/>
  <c r="E29" i="10"/>
  <c r="G29" i="10" s="1"/>
  <c r="E25" i="10"/>
  <c r="G25" i="10" s="1"/>
  <c r="E54" i="10"/>
  <c r="E45" i="10" s="1"/>
  <c r="J11" i="12"/>
  <c r="AJ22" i="12"/>
  <c r="AI22" i="12"/>
  <c r="AJ20" i="12"/>
  <c r="AI20" i="12"/>
  <c r="C20" i="12"/>
  <c r="D20" i="12"/>
  <c r="C22" i="12"/>
  <c r="D22" i="12"/>
  <c r="C24" i="12"/>
  <c r="D24" i="12"/>
  <c r="D19" i="12"/>
  <c r="C19" i="12"/>
  <c r="C16" i="12"/>
  <c r="D16" i="12"/>
  <c r="C17" i="12"/>
  <c r="D17" i="12"/>
  <c r="D15" i="12"/>
  <c r="C15" i="12"/>
  <c r="C10" i="12"/>
  <c r="D10" i="12"/>
  <c r="C11" i="12"/>
  <c r="D11" i="12"/>
  <c r="C12" i="12"/>
  <c r="D12" i="12"/>
  <c r="C13" i="12"/>
  <c r="D13" i="12"/>
  <c r="D9" i="12"/>
  <c r="C9" i="12"/>
  <c r="E57" i="4"/>
  <c r="F57" i="4"/>
  <c r="D20" i="14"/>
  <c r="D19" i="14"/>
  <c r="D18" i="14"/>
  <c r="C17" i="14"/>
  <c r="D17" i="14" s="1"/>
  <c r="D15" i="14"/>
  <c r="C14" i="14"/>
  <c r="D14" i="14" s="1"/>
  <c r="D13" i="14"/>
  <c r="D12" i="14"/>
  <c r="C11" i="14"/>
  <c r="D10" i="14"/>
  <c r="D9" i="14"/>
  <c r="D8" i="14"/>
  <c r="C7" i="14"/>
  <c r="Q19" i="15"/>
  <c r="Q16" i="15"/>
  <c r="G15" i="13"/>
  <c r="I15" i="13" s="1"/>
  <c r="G6" i="13"/>
  <c r="T8" i="11"/>
  <c r="U8" i="11"/>
  <c r="T9" i="11"/>
  <c r="AP10" i="12" s="1"/>
  <c r="U9" i="11"/>
  <c r="AQ10" i="12" s="1"/>
  <c r="T10" i="11"/>
  <c r="AP11" i="12" s="1"/>
  <c r="U10" i="11"/>
  <c r="AQ11" i="12" s="1"/>
  <c r="T11" i="11"/>
  <c r="AP15" i="12" s="1"/>
  <c r="U11" i="11"/>
  <c r="AQ15" i="12" s="1"/>
  <c r="T12" i="11"/>
  <c r="AP16" i="12" s="1"/>
  <c r="U12" i="11"/>
  <c r="AQ16" i="12" s="1"/>
  <c r="T14" i="11"/>
  <c r="U14" i="11"/>
  <c r="T15" i="11"/>
  <c r="U15" i="11"/>
  <c r="K15" i="12" s="1"/>
  <c r="T16" i="11"/>
  <c r="U16" i="11"/>
  <c r="T17" i="11"/>
  <c r="J19" i="12" s="1"/>
  <c r="J20" i="12" s="1"/>
  <c r="U17" i="11"/>
  <c r="T18" i="11"/>
  <c r="J22" i="12" s="1"/>
  <c r="U18" i="11"/>
  <c r="K22" i="12" s="1"/>
  <c r="E113" i="16"/>
  <c r="E20" i="16"/>
  <c r="Z8" i="16"/>
  <c r="Z9" i="16"/>
  <c r="Z10" i="16"/>
  <c r="Z11" i="16"/>
  <c r="Z12" i="16"/>
  <c r="Z13" i="16"/>
  <c r="Z14" i="16"/>
  <c r="Z15" i="16"/>
  <c r="Z16" i="16"/>
  <c r="Z17" i="16"/>
  <c r="Z18" i="16"/>
  <c r="Z19" i="16"/>
  <c r="Z21" i="16"/>
  <c r="Z22" i="16"/>
  <c r="Z25" i="16"/>
  <c r="Z28" i="16"/>
  <c r="Z29" i="16"/>
  <c r="Z30" i="16"/>
  <c r="Z31" i="16"/>
  <c r="Z33" i="16"/>
  <c r="Z34" i="16"/>
  <c r="Z35" i="16"/>
  <c r="Z37" i="16"/>
  <c r="Z38" i="16"/>
  <c r="Z39" i="16"/>
  <c r="Z42" i="16"/>
  <c r="Z44" i="16"/>
  <c r="Z45" i="16"/>
  <c r="Z48" i="16"/>
  <c r="Z49" i="16"/>
  <c r="Z50" i="16"/>
  <c r="Z52" i="16"/>
  <c r="Z53" i="16"/>
  <c r="Z54" i="16"/>
  <c r="Z55" i="16"/>
  <c r="Z57" i="16"/>
  <c r="Z58" i="16"/>
  <c r="Z59" i="16"/>
  <c r="Z61" i="16"/>
  <c r="Z62" i="16"/>
  <c r="Z63" i="16"/>
  <c r="Z64" i="16"/>
  <c r="Z65" i="16"/>
  <c r="Z67" i="16"/>
  <c r="Z68" i="16"/>
  <c r="Z71" i="16"/>
  <c r="Z72" i="16"/>
  <c r="Z73" i="16"/>
  <c r="Z75" i="16"/>
  <c r="Z76" i="16"/>
  <c r="Z77" i="16"/>
  <c r="Z78" i="16"/>
  <c r="Z79" i="16"/>
  <c r="Z82" i="16"/>
  <c r="Z83" i="16"/>
  <c r="Z84" i="16"/>
  <c r="Z85" i="16"/>
  <c r="Z86" i="16"/>
  <c r="Z88" i="16"/>
  <c r="AC88" i="16" s="1"/>
  <c r="Z89" i="16"/>
  <c r="Z90" i="16"/>
  <c r="Z91" i="16"/>
  <c r="Z92" i="16"/>
  <c r="Z93" i="16"/>
  <c r="Z94" i="16"/>
  <c r="Z95" i="16"/>
  <c r="Z96" i="16"/>
  <c r="Z97" i="16"/>
  <c r="Z98" i="16"/>
  <c r="Z99" i="16"/>
  <c r="E116" i="2"/>
  <c r="F116" i="2"/>
  <c r="H7" i="2"/>
  <c r="I7" i="2"/>
  <c r="I8" i="2"/>
  <c r="M8" i="2"/>
  <c r="I9" i="2"/>
  <c r="M9" i="2"/>
  <c r="I10" i="2"/>
  <c r="M10" i="2"/>
  <c r="I11" i="2"/>
  <c r="M11" i="2"/>
  <c r="I12" i="2"/>
  <c r="M12" i="2"/>
  <c r="I13" i="2"/>
  <c r="M13" i="2"/>
  <c r="H13" i="2" s="1"/>
  <c r="I14" i="2"/>
  <c r="M14" i="2"/>
  <c r="I15" i="2"/>
  <c r="M15" i="2"/>
  <c r="H15" i="2" s="1"/>
  <c r="I16" i="2"/>
  <c r="M16" i="2"/>
  <c r="H16" i="2" s="1"/>
  <c r="I17" i="2"/>
  <c r="M17" i="2"/>
  <c r="I18" i="2"/>
  <c r="M18" i="2"/>
  <c r="I19" i="2"/>
  <c r="M19" i="2"/>
  <c r="I21" i="2"/>
  <c r="M21" i="2"/>
  <c r="I22" i="2"/>
  <c r="M22" i="2"/>
  <c r="I23" i="2"/>
  <c r="M23" i="2"/>
  <c r="H23" i="2" s="1"/>
  <c r="H26" i="2"/>
  <c r="I26" i="2"/>
  <c r="L28" i="2"/>
  <c r="N28" i="2"/>
  <c r="I29" i="2"/>
  <c r="M29" i="2"/>
  <c r="I30" i="2"/>
  <c r="M30" i="2"/>
  <c r="I31" i="2"/>
  <c r="M31" i="2"/>
  <c r="I32" i="2"/>
  <c r="M32" i="2"/>
  <c r="H33" i="2"/>
  <c r="I33" i="2"/>
  <c r="L34" i="2"/>
  <c r="L41" i="2" s="1"/>
  <c r="N34" i="2"/>
  <c r="N41" i="2" s="1"/>
  <c r="I35" i="2"/>
  <c r="M35" i="2"/>
  <c r="I36" i="2"/>
  <c r="M36" i="2"/>
  <c r="I37" i="2"/>
  <c r="M37" i="2"/>
  <c r="I38" i="2"/>
  <c r="M38" i="2"/>
  <c r="I39" i="2"/>
  <c r="M39" i="2"/>
  <c r="I40" i="2"/>
  <c r="M40" i="2"/>
  <c r="L42" i="2"/>
  <c r="N42" i="2"/>
  <c r="I43" i="2"/>
  <c r="M43" i="2"/>
  <c r="I44" i="2"/>
  <c r="M44" i="2"/>
  <c r="H44" i="2" s="1"/>
  <c r="L45" i="2"/>
  <c r="N45" i="2"/>
  <c r="I46" i="2"/>
  <c r="M46" i="2"/>
  <c r="I47" i="2"/>
  <c r="M47" i="2"/>
  <c r="I48" i="2"/>
  <c r="M48" i="2"/>
  <c r="L50" i="2"/>
  <c r="N50" i="2"/>
  <c r="I51" i="2"/>
  <c r="M51" i="2"/>
  <c r="I52" i="2"/>
  <c r="M52" i="2"/>
  <c r="I53" i="2"/>
  <c r="M53" i="2"/>
  <c r="J54" i="2"/>
  <c r="L54" i="2"/>
  <c r="N54" i="2"/>
  <c r="I55" i="2"/>
  <c r="M55" i="2"/>
  <c r="M54" i="2" s="1"/>
  <c r="I56" i="2"/>
  <c r="M56" i="2"/>
  <c r="I57" i="2"/>
  <c r="M57" i="2"/>
  <c r="I58" i="2"/>
  <c r="M58" i="2"/>
  <c r="L59" i="2"/>
  <c r="N59" i="2"/>
  <c r="I60" i="2"/>
  <c r="M60" i="2"/>
  <c r="I61" i="2"/>
  <c r="M61" i="2"/>
  <c r="I62" i="2"/>
  <c r="M62" i="2"/>
  <c r="L63" i="2"/>
  <c r="I64" i="2"/>
  <c r="M64" i="2"/>
  <c r="I65" i="2"/>
  <c r="M65" i="2"/>
  <c r="I66" i="2"/>
  <c r="M66" i="2"/>
  <c r="I67" i="2"/>
  <c r="M67" i="2"/>
  <c r="M68" i="2"/>
  <c r="N68" i="2"/>
  <c r="I68" i="2" s="1"/>
  <c r="I70" i="2"/>
  <c r="M70" i="2"/>
  <c r="I71" i="2"/>
  <c r="M71" i="2"/>
  <c r="I73" i="2"/>
  <c r="M73" i="2"/>
  <c r="I74" i="2"/>
  <c r="M74" i="2"/>
  <c r="I75" i="2"/>
  <c r="M75" i="2"/>
  <c r="I76" i="2"/>
  <c r="M76" i="2"/>
  <c r="H76" i="2" s="1"/>
  <c r="L77" i="2"/>
  <c r="L83" i="2" s="1"/>
  <c r="N77" i="2"/>
  <c r="N83" i="2" s="1"/>
  <c r="I78" i="2"/>
  <c r="M78" i="2"/>
  <c r="I79" i="2"/>
  <c r="M79" i="2"/>
  <c r="I80" i="2"/>
  <c r="M80" i="2"/>
  <c r="I81" i="2"/>
  <c r="M81" i="2"/>
  <c r="I82" i="2"/>
  <c r="M82" i="2"/>
  <c r="I85" i="2"/>
  <c r="L85" i="2"/>
  <c r="M85" i="2" s="1"/>
  <c r="I86" i="2"/>
  <c r="M86" i="2"/>
  <c r="I87" i="2"/>
  <c r="M87" i="2"/>
  <c r="I88" i="2"/>
  <c r="L88" i="2"/>
  <c r="M88" i="2" s="1"/>
  <c r="I89" i="2"/>
  <c r="M89" i="2"/>
  <c r="I90" i="2"/>
  <c r="M90" i="2"/>
  <c r="I91" i="2"/>
  <c r="M91" i="2"/>
  <c r="I92" i="2"/>
  <c r="M92" i="2"/>
  <c r="I93" i="2"/>
  <c r="M93" i="2"/>
  <c r="I94" i="2"/>
  <c r="M94" i="2"/>
  <c r="L95" i="2"/>
  <c r="L103" i="2" s="1"/>
  <c r="N95" i="2"/>
  <c r="N103" i="2" s="1"/>
  <c r="I96" i="2"/>
  <c r="M96" i="2"/>
  <c r="I97" i="2"/>
  <c r="M97" i="2"/>
  <c r="I98" i="2"/>
  <c r="M98" i="2"/>
  <c r="I99" i="2"/>
  <c r="M99" i="2"/>
  <c r="I100" i="2"/>
  <c r="M100" i="2"/>
  <c r="I101" i="2"/>
  <c r="M101" i="2"/>
  <c r="I102" i="2"/>
  <c r="M102" i="2"/>
  <c r="H111" i="2"/>
  <c r="I111" i="2"/>
  <c r="I112" i="2"/>
  <c r="M112" i="2"/>
  <c r="M117" i="2" s="1"/>
  <c r="I113" i="2"/>
  <c r="D43" i="9"/>
  <c r="E43" i="9"/>
  <c r="D26" i="8"/>
  <c r="E26" i="8"/>
  <c r="K10" i="12" l="1"/>
  <c r="K11" i="12" s="1"/>
  <c r="U19" i="11"/>
  <c r="T19" i="11"/>
  <c r="U13" i="11"/>
  <c r="T13" i="11"/>
  <c r="K18" i="12"/>
  <c r="B15" i="26"/>
  <c r="AO18" i="12"/>
  <c r="T17" i="15"/>
  <c r="L49" i="2"/>
  <c r="C34" i="29"/>
  <c r="N49" i="2"/>
  <c r="AC99" i="16"/>
  <c r="AD99" i="16" s="1"/>
  <c r="AC86" i="16"/>
  <c r="AD86" i="16" s="1"/>
  <c r="AC54" i="16"/>
  <c r="AD54" i="16" s="1"/>
  <c r="AC35" i="16"/>
  <c r="AD35" i="16" s="1"/>
  <c r="AC17" i="16"/>
  <c r="AD17" i="16" s="1"/>
  <c r="AC95" i="16"/>
  <c r="AD95" i="16" s="1"/>
  <c r="AC82" i="16"/>
  <c r="AC64" i="16"/>
  <c r="AD64" i="16" s="1"/>
  <c r="AC49" i="16"/>
  <c r="AD49" i="16" s="1"/>
  <c r="AC13" i="16"/>
  <c r="AD13" i="16" s="1"/>
  <c r="AC98" i="16"/>
  <c r="AD98" i="16" s="1"/>
  <c r="AC94" i="16"/>
  <c r="AD94" i="16" s="1"/>
  <c r="AC90" i="16"/>
  <c r="AD90" i="16" s="1"/>
  <c r="AC85" i="16"/>
  <c r="AD85" i="16" s="1"/>
  <c r="AC79" i="16"/>
  <c r="AD79" i="16" s="1"/>
  <c r="AC75" i="16"/>
  <c r="AD75" i="16" s="1"/>
  <c r="AC68" i="16"/>
  <c r="AD68" i="16" s="1"/>
  <c r="AC63" i="16"/>
  <c r="AD63" i="16" s="1"/>
  <c r="AC58" i="16"/>
  <c r="AD58" i="16" s="1"/>
  <c r="AC53" i="16"/>
  <c r="AD53" i="16" s="1"/>
  <c r="AC48" i="16"/>
  <c r="AD48" i="16" s="1"/>
  <c r="AC39" i="16"/>
  <c r="AD39" i="16" s="1"/>
  <c r="AC34" i="16"/>
  <c r="AD34" i="16" s="1"/>
  <c r="AC21" i="16"/>
  <c r="AC16" i="16"/>
  <c r="AD16" i="16" s="1"/>
  <c r="AC12" i="16"/>
  <c r="AD12" i="16" s="1"/>
  <c r="AC8" i="16"/>
  <c r="AD8" i="16" s="1"/>
  <c r="G19" i="12"/>
  <c r="X19" i="12" s="1"/>
  <c r="X20" i="12" s="1"/>
  <c r="I117" i="2"/>
  <c r="AC97" i="16"/>
  <c r="AD97" i="16" s="1"/>
  <c r="AC93" i="16"/>
  <c r="AD93" i="16" s="1"/>
  <c r="AC89" i="16"/>
  <c r="AD89" i="16" s="1"/>
  <c r="AC84" i="16"/>
  <c r="AD84" i="16" s="1"/>
  <c r="AC78" i="16"/>
  <c r="AD78" i="16" s="1"/>
  <c r="AC67" i="16"/>
  <c r="AD67" i="16" s="1"/>
  <c r="AC62" i="16"/>
  <c r="AD62" i="16" s="1"/>
  <c r="AC57" i="16"/>
  <c r="AD57" i="16" s="1"/>
  <c r="AC52" i="16"/>
  <c r="AD52" i="16" s="1"/>
  <c r="AC45" i="16"/>
  <c r="AD45" i="16" s="1"/>
  <c r="AC38" i="16"/>
  <c r="AD38" i="16" s="1"/>
  <c r="AC33" i="16"/>
  <c r="AD33" i="16" s="1"/>
  <c r="AC19" i="16"/>
  <c r="AD19" i="16" s="1"/>
  <c r="AC15" i="16"/>
  <c r="AD15" i="16" s="1"/>
  <c r="AC11" i="16"/>
  <c r="AD11" i="16" s="1"/>
  <c r="AC91" i="16"/>
  <c r="AD91" i="16" s="1"/>
  <c r="AC76" i="16"/>
  <c r="AD76" i="16" s="1"/>
  <c r="AC59" i="16"/>
  <c r="AD59" i="16" s="1"/>
  <c r="AC42" i="16"/>
  <c r="AD42" i="16" s="1"/>
  <c r="AC22" i="16"/>
  <c r="AD22" i="16" s="1"/>
  <c r="AC9" i="16"/>
  <c r="AD9" i="16" s="1"/>
  <c r="AC96" i="16"/>
  <c r="AD96" i="16" s="1"/>
  <c r="AC92" i="16"/>
  <c r="AD92" i="16" s="1"/>
  <c r="AC83" i="16"/>
  <c r="AD83" i="16" s="1"/>
  <c r="AC77" i="16"/>
  <c r="AD77" i="16" s="1"/>
  <c r="AC65" i="16"/>
  <c r="AD65" i="16" s="1"/>
  <c r="AC61" i="16"/>
  <c r="AD61" i="16" s="1"/>
  <c r="AC55" i="16"/>
  <c r="AD55" i="16" s="1"/>
  <c r="AC50" i="16"/>
  <c r="AD50" i="16" s="1"/>
  <c r="AC44" i="16"/>
  <c r="AD44" i="16" s="1"/>
  <c r="AC37" i="16"/>
  <c r="AD37" i="16" s="1"/>
  <c r="AC25" i="16"/>
  <c r="M9" i="11" s="1"/>
  <c r="W9" i="11" s="1"/>
  <c r="AS10" i="12" s="1"/>
  <c r="BC10" i="12" s="1"/>
  <c r="AC18" i="16"/>
  <c r="AD18" i="16" s="1"/>
  <c r="AC14" i="16"/>
  <c r="AD14" i="16" s="1"/>
  <c r="AC10" i="16"/>
  <c r="AD10" i="16" s="1"/>
  <c r="AK17" i="12"/>
  <c r="AC73" i="16"/>
  <c r="AD73" i="16" s="1"/>
  <c r="AC72" i="16"/>
  <c r="AD72" i="16" s="1"/>
  <c r="AC71" i="16"/>
  <c r="AD71" i="16" s="1"/>
  <c r="AC70" i="16"/>
  <c r="AD70" i="16" s="1"/>
  <c r="AC28" i="16"/>
  <c r="AD28" i="16" s="1"/>
  <c r="AC31" i="16"/>
  <c r="AD31" i="16" s="1"/>
  <c r="AC29" i="16"/>
  <c r="AD29" i="16" s="1"/>
  <c r="AC30" i="16"/>
  <c r="AD30" i="16" s="1"/>
  <c r="J26" i="2"/>
  <c r="M24" i="2"/>
  <c r="L69" i="2"/>
  <c r="L84" i="2" s="1"/>
  <c r="L109" i="2" s="1"/>
  <c r="L118" i="2" s="1"/>
  <c r="I24" i="2"/>
  <c r="K44" i="2"/>
  <c r="I20" i="2"/>
  <c r="AD88" i="16"/>
  <c r="Z87" i="16"/>
  <c r="J23" i="2"/>
  <c r="J24" i="2" s="1"/>
  <c r="M59" i="2"/>
  <c r="M50" i="2"/>
  <c r="K7" i="2"/>
  <c r="M20" i="2"/>
  <c r="M72" i="2"/>
  <c r="I72" i="2"/>
  <c r="J111" i="2"/>
  <c r="K13" i="2"/>
  <c r="M34" i="2"/>
  <c r="AK20" i="12"/>
  <c r="K26" i="2"/>
  <c r="K16" i="2"/>
  <c r="D7" i="14"/>
  <c r="C16" i="14"/>
  <c r="D16" i="14" s="1"/>
  <c r="G54" i="10"/>
  <c r="G45" i="10" s="1"/>
  <c r="BE11" i="12"/>
  <c r="BE18" i="12" s="1"/>
  <c r="AN18" i="12"/>
  <c r="AP9" i="12"/>
  <c r="AP18" i="12" s="1"/>
  <c r="AP27" i="12" s="1"/>
  <c r="AQ9" i="12"/>
  <c r="AQ18" i="12" s="1"/>
  <c r="AQ27" i="12" s="1"/>
  <c r="J15" i="12"/>
  <c r="J18" i="12" s="1"/>
  <c r="K19" i="12"/>
  <c r="K20" i="12" s="1"/>
  <c r="C35" i="29"/>
  <c r="D11" i="14"/>
  <c r="J7" i="2"/>
  <c r="J44" i="2"/>
  <c r="J42" i="2" s="1"/>
  <c r="M28" i="2"/>
  <c r="K23" i="2"/>
  <c r="J76" i="2"/>
  <c r="K76" i="2"/>
  <c r="J15" i="2"/>
  <c r="K15" i="2"/>
  <c r="M95" i="2"/>
  <c r="M103" i="2" s="1"/>
  <c r="M45" i="2"/>
  <c r="M42" i="2"/>
  <c r="M77" i="2"/>
  <c r="M83" i="2" s="1"/>
  <c r="M63" i="2"/>
  <c r="J13" i="2"/>
  <c r="J33" i="2"/>
  <c r="J28" i="2" s="1"/>
  <c r="K33" i="2"/>
  <c r="J16" i="2"/>
  <c r="N63" i="2"/>
  <c r="N69" i="2" s="1"/>
  <c r="N84" i="2" l="1"/>
  <c r="N109" i="2" s="1"/>
  <c r="N118" i="2" s="1"/>
  <c r="AC23" i="16"/>
  <c r="AD21" i="16"/>
  <c r="T20" i="11"/>
  <c r="AC87" i="16"/>
  <c r="AD87" i="16" s="1"/>
  <c r="AD25" i="16"/>
  <c r="AD82" i="16"/>
  <c r="M25" i="2"/>
  <c r="M27" i="2" s="1"/>
  <c r="M49" i="2"/>
  <c r="M41" i="2"/>
  <c r="I25" i="2"/>
  <c r="I27" i="2" s="1"/>
  <c r="M69" i="2"/>
  <c r="C21" i="14"/>
  <c r="D21" i="14" s="1"/>
  <c r="G26" i="12"/>
  <c r="U20" i="11"/>
  <c r="M84" i="2" l="1"/>
  <c r="M109" i="2" s="1"/>
  <c r="M118" i="2" s="1"/>
  <c r="G78" i="10"/>
  <c r="N44" i="32" l="1"/>
  <c r="E78" i="10" l="1"/>
  <c r="Q41" i="16"/>
  <c r="G26" i="2"/>
  <c r="V26" i="2" s="1"/>
  <c r="R28" i="2"/>
  <c r="S28" i="2"/>
  <c r="T28" i="2"/>
  <c r="R34" i="2"/>
  <c r="T34" i="2"/>
  <c r="S35" i="2"/>
  <c r="S34" i="2" s="1"/>
  <c r="R42" i="2"/>
  <c r="S42" i="2"/>
  <c r="T42" i="2"/>
  <c r="R45" i="2"/>
  <c r="S45" i="2"/>
  <c r="T45" i="2"/>
  <c r="R50" i="2"/>
  <c r="S50" i="2"/>
  <c r="T50" i="2"/>
  <c r="R54" i="2"/>
  <c r="S54" i="2"/>
  <c r="T54" i="2"/>
  <c r="R59" i="2"/>
  <c r="S59" i="2"/>
  <c r="T59" i="2"/>
  <c r="R63" i="2"/>
  <c r="S63" i="2"/>
  <c r="T63" i="2"/>
  <c r="R77" i="2"/>
  <c r="R83" i="2" s="1"/>
  <c r="S77" i="2"/>
  <c r="S83" i="2" s="1"/>
  <c r="T77" i="2"/>
  <c r="T83" i="2" s="1"/>
  <c r="R95" i="2"/>
  <c r="R103" i="2" s="1"/>
  <c r="S95" i="2"/>
  <c r="S103" i="2" s="1"/>
  <c r="T95" i="2"/>
  <c r="T103" i="2" s="1"/>
  <c r="E28" i="10"/>
  <c r="F45" i="19"/>
  <c r="I45" i="19" s="1"/>
  <c r="F28" i="19"/>
  <c r="I28" i="19" s="1"/>
  <c r="D18" i="20"/>
  <c r="AK18" i="20" s="1"/>
  <c r="D56" i="22"/>
  <c r="T8" i="22"/>
  <c r="V8" i="22" l="1"/>
  <c r="AM18" i="20"/>
  <c r="AM21" i="20" s="1"/>
  <c r="AK21" i="20"/>
  <c r="S41" i="2"/>
  <c r="R49" i="2"/>
  <c r="R69" i="2"/>
  <c r="T41" i="2"/>
  <c r="T69" i="2"/>
  <c r="T49" i="2"/>
  <c r="R41" i="2"/>
  <c r="S69" i="2"/>
  <c r="S49" i="2"/>
  <c r="G28" i="10"/>
  <c r="E18" i="10"/>
  <c r="S15" i="15"/>
  <c r="E11" i="15"/>
  <c r="E12" i="12" s="1"/>
  <c r="V12" i="12" s="1"/>
  <c r="D21" i="20"/>
  <c r="F11" i="9"/>
  <c r="E84" i="16"/>
  <c r="R84" i="2" l="1"/>
  <c r="R109" i="2" s="1"/>
  <c r="R118" i="2" s="1"/>
  <c r="S84" i="2"/>
  <c r="S109" i="2" s="1"/>
  <c r="S118" i="2" s="1"/>
  <c r="AM16" i="12"/>
  <c r="T84" i="2"/>
  <c r="T109" i="2" s="1"/>
  <c r="T118" i="2" s="1"/>
  <c r="G11" i="15"/>
  <c r="G12" i="12" s="1"/>
  <c r="X12" i="12" s="1"/>
  <c r="G18" i="10"/>
  <c r="G50" i="2"/>
  <c r="G95" i="2"/>
  <c r="G102" i="2"/>
  <c r="G63" i="2"/>
  <c r="BD16" i="12" l="1"/>
  <c r="U50" i="2"/>
  <c r="V50" i="2" s="1"/>
  <c r="U102" i="2"/>
  <c r="V102" i="2" s="1"/>
  <c r="U63" i="2"/>
  <c r="V63" i="2" s="1"/>
  <c r="U95" i="2"/>
  <c r="G103" i="2"/>
  <c r="G44" i="10"/>
  <c r="E14" i="14"/>
  <c r="G14" i="14" s="1"/>
  <c r="G19" i="13"/>
  <c r="I19" i="13" s="1"/>
  <c r="G17" i="13"/>
  <c r="R13" i="15" l="1"/>
  <c r="U103" i="2"/>
  <c r="F11" i="11" s="1"/>
  <c r="V95" i="2"/>
  <c r="G24" i="13"/>
  <c r="E14" i="15" s="1"/>
  <c r="E15" i="12" s="1"/>
  <c r="I17" i="13"/>
  <c r="N40" i="32"/>
  <c r="G16" i="14"/>
  <c r="BB25" i="12"/>
  <c r="BA25" i="12"/>
  <c r="AZ25" i="12"/>
  <c r="BB19" i="12"/>
  <c r="BA19" i="12"/>
  <c r="AZ19" i="12"/>
  <c r="D25" i="12"/>
  <c r="U25" i="12" s="1"/>
  <c r="P15" i="21"/>
  <c r="R15" i="21" s="1"/>
  <c r="P16" i="21"/>
  <c r="R16" i="21" s="1"/>
  <c r="P17" i="21"/>
  <c r="R17" i="21" s="1"/>
  <c r="P18" i="21"/>
  <c r="R18" i="21" s="1"/>
  <c r="P19" i="21"/>
  <c r="R19" i="21" s="1"/>
  <c r="P20" i="21"/>
  <c r="R20" i="21" s="1"/>
  <c r="P21" i="21"/>
  <c r="R21" i="21" s="1"/>
  <c r="P24" i="21"/>
  <c r="R24" i="21" s="1"/>
  <c r="P25" i="21"/>
  <c r="R25" i="21" s="1"/>
  <c r="P26" i="21"/>
  <c r="R26" i="21" s="1"/>
  <c r="P27" i="21"/>
  <c r="R27" i="21" s="1"/>
  <c r="P29" i="21"/>
  <c r="R29" i="21" s="1"/>
  <c r="P30" i="21"/>
  <c r="R30" i="21" s="1"/>
  <c r="P32" i="21"/>
  <c r="P33" i="21"/>
  <c r="P34" i="21"/>
  <c r="R34" i="21" s="1"/>
  <c r="P35" i="21"/>
  <c r="R35" i="21" s="1"/>
  <c r="P37" i="21"/>
  <c r="R37" i="21" s="1"/>
  <c r="P38" i="21"/>
  <c r="R38" i="21" s="1"/>
  <c r="P39" i="21"/>
  <c r="R39" i="21" s="1"/>
  <c r="P41" i="21"/>
  <c r="R41" i="21" s="1"/>
  <c r="P42" i="21"/>
  <c r="R42" i="21" s="1"/>
  <c r="P43" i="21"/>
  <c r="R43" i="21" s="1"/>
  <c r="P45" i="21"/>
  <c r="R45" i="21" s="1"/>
  <c r="P46" i="21"/>
  <c r="R46" i="21" s="1"/>
  <c r="P47" i="21"/>
  <c r="R47" i="21" s="1"/>
  <c r="P48" i="21"/>
  <c r="R48" i="21" s="1"/>
  <c r="P49" i="21"/>
  <c r="R49" i="21" s="1"/>
  <c r="P50" i="21"/>
  <c r="R50" i="21" s="1"/>
  <c r="P51" i="21"/>
  <c r="R51" i="21" s="1"/>
  <c r="P52" i="21"/>
  <c r="R52" i="21" s="1"/>
  <c r="P53" i="21"/>
  <c r="R53" i="21" s="1"/>
  <c r="P54" i="21"/>
  <c r="R54" i="21" s="1"/>
  <c r="P60" i="21"/>
  <c r="R60" i="21" s="1"/>
  <c r="P61" i="21"/>
  <c r="R61" i="21" s="1"/>
  <c r="J59" i="21"/>
  <c r="J68" i="21" s="1"/>
  <c r="J69" i="21" s="1"/>
  <c r="G54" i="20"/>
  <c r="V16" i="12" l="1"/>
  <c r="AL15" i="12"/>
  <c r="R33" i="21"/>
  <c r="R32" i="21"/>
  <c r="V103" i="2"/>
  <c r="G21" i="14"/>
  <c r="I24" i="13"/>
  <c r="G14" i="15"/>
  <c r="G15" i="12" s="1"/>
  <c r="Q13" i="15"/>
  <c r="S13" i="15" s="1"/>
  <c r="AM13" i="12" s="1"/>
  <c r="BD13" i="12" s="1"/>
  <c r="U12" i="12"/>
  <c r="T12" i="12"/>
  <c r="U16" i="12"/>
  <c r="U17" i="12"/>
  <c r="Z109" i="16"/>
  <c r="Z110" i="16"/>
  <c r="Z111" i="16"/>
  <c r="Z112" i="16"/>
  <c r="G113" i="2"/>
  <c r="G111" i="2"/>
  <c r="X16" i="12" l="1"/>
  <c r="AC111" i="16"/>
  <c r="AD111" i="16" s="1"/>
  <c r="V111" i="2"/>
  <c r="AC110" i="16"/>
  <c r="AD110" i="16" s="1"/>
  <c r="AC109" i="16"/>
  <c r="AD109" i="16" s="1"/>
  <c r="U113" i="2"/>
  <c r="U117" i="2" s="1"/>
  <c r="AC112" i="16"/>
  <c r="AD112" i="16" s="1"/>
  <c r="S14" i="15"/>
  <c r="AM15" i="12" s="1"/>
  <c r="E26" i="12"/>
  <c r="BB17" i="12"/>
  <c r="BB20" i="12"/>
  <c r="BA20" i="12"/>
  <c r="V113" i="2" l="1"/>
  <c r="BA17" i="12"/>
  <c r="G8" i="2" l="1"/>
  <c r="G9" i="2"/>
  <c r="G11" i="2"/>
  <c r="G12" i="2"/>
  <c r="G13" i="2"/>
  <c r="G14" i="2"/>
  <c r="G15" i="2"/>
  <c r="G16" i="2"/>
  <c r="G17" i="2"/>
  <c r="G18" i="2"/>
  <c r="G21" i="2"/>
  <c r="G22" i="2"/>
  <c r="G29" i="2"/>
  <c r="G30" i="2"/>
  <c r="G31" i="2"/>
  <c r="G32" i="2"/>
  <c r="G33" i="2"/>
  <c r="G35" i="2"/>
  <c r="G36" i="2"/>
  <c r="G37" i="2"/>
  <c r="G38" i="2"/>
  <c r="G39" i="2"/>
  <c r="G40" i="2"/>
  <c r="G43" i="2"/>
  <c r="G46" i="2"/>
  <c r="G47" i="2"/>
  <c r="G48" i="2"/>
  <c r="G55" i="2"/>
  <c r="G56" i="2"/>
  <c r="G57" i="2"/>
  <c r="G58" i="2"/>
  <c r="G60" i="2"/>
  <c r="G62" i="2"/>
  <c r="G64" i="2"/>
  <c r="G65" i="2"/>
  <c r="G66" i="2"/>
  <c r="G67" i="2"/>
  <c r="G71" i="2"/>
  <c r="G74" i="2"/>
  <c r="G75" i="2"/>
  <c r="G79" i="2"/>
  <c r="G81" i="2"/>
  <c r="G82" i="2"/>
  <c r="G86" i="2"/>
  <c r="G87" i="2"/>
  <c r="G89" i="2"/>
  <c r="G90" i="2"/>
  <c r="G91" i="2"/>
  <c r="G92" i="2"/>
  <c r="G93" i="2"/>
  <c r="G94" i="2"/>
  <c r="G97" i="2"/>
  <c r="G98" i="2"/>
  <c r="G99" i="2"/>
  <c r="G100" i="2"/>
  <c r="G101" i="2"/>
  <c r="U101" i="2" l="1"/>
  <c r="V101" i="2" s="1"/>
  <c r="U91" i="2"/>
  <c r="V91" i="2" s="1"/>
  <c r="U75" i="2"/>
  <c r="V75" i="2" s="1"/>
  <c r="U60" i="2"/>
  <c r="V60" i="2" s="1"/>
  <c r="U43" i="2"/>
  <c r="V43" i="2" s="1"/>
  <c r="U32" i="2"/>
  <c r="V32" i="2" s="1"/>
  <c r="U16" i="2"/>
  <c r="V16" i="2" s="1"/>
  <c r="U100" i="2"/>
  <c r="V100" i="2" s="1"/>
  <c r="U90" i="2"/>
  <c r="V90" i="2" s="1"/>
  <c r="U74" i="2"/>
  <c r="V74" i="2" s="1"/>
  <c r="U48" i="2"/>
  <c r="V48" i="2" s="1"/>
  <c r="U36" i="2"/>
  <c r="V36" i="2" s="1"/>
  <c r="U21" i="2"/>
  <c r="V21" i="2" s="1"/>
  <c r="U15" i="2"/>
  <c r="V15" i="2" s="1"/>
  <c r="U93" i="2"/>
  <c r="V93" i="2" s="1"/>
  <c r="U81" i="2"/>
  <c r="V81" i="2" s="1"/>
  <c r="U64" i="2"/>
  <c r="V64" i="2" s="1"/>
  <c r="U57" i="2"/>
  <c r="V57" i="2" s="1"/>
  <c r="U47" i="2"/>
  <c r="V47" i="2" s="1"/>
  <c r="U39" i="2"/>
  <c r="V39" i="2" s="1"/>
  <c r="U35" i="2"/>
  <c r="V35" i="2" s="1"/>
  <c r="U30" i="2"/>
  <c r="V30" i="2" s="1"/>
  <c r="U18" i="2"/>
  <c r="V18" i="2" s="1"/>
  <c r="U14" i="2"/>
  <c r="V14" i="2" s="1"/>
  <c r="U9" i="2"/>
  <c r="V9" i="2" s="1"/>
  <c r="U97" i="2"/>
  <c r="V97" i="2" s="1"/>
  <c r="U86" i="2"/>
  <c r="V86" i="2" s="1"/>
  <c r="U66" i="2"/>
  <c r="V66" i="2" s="1"/>
  <c r="U55" i="2"/>
  <c r="V55" i="2" s="1"/>
  <c r="U37" i="2"/>
  <c r="V37" i="2" s="1"/>
  <c r="U22" i="2"/>
  <c r="V22" i="2" s="1"/>
  <c r="U12" i="2"/>
  <c r="V12" i="2" s="1"/>
  <c r="U94" i="2"/>
  <c r="V94" i="2" s="1"/>
  <c r="U82" i="2"/>
  <c r="V82" i="2" s="1"/>
  <c r="U65" i="2"/>
  <c r="V65" i="2" s="1"/>
  <c r="U58" i="2"/>
  <c r="V58" i="2" s="1"/>
  <c r="U40" i="2"/>
  <c r="V40" i="2" s="1"/>
  <c r="U31" i="2"/>
  <c r="V31" i="2" s="1"/>
  <c r="U11" i="2"/>
  <c r="V11" i="2" s="1"/>
  <c r="U99" i="2"/>
  <c r="V99" i="2" s="1"/>
  <c r="U89" i="2"/>
  <c r="V89" i="2" s="1"/>
  <c r="U71" i="2"/>
  <c r="V71" i="2" s="1"/>
  <c r="U98" i="2"/>
  <c r="V98" i="2" s="1"/>
  <c r="U92" i="2"/>
  <c r="V92" i="2" s="1"/>
  <c r="U87" i="2"/>
  <c r="V87" i="2" s="1"/>
  <c r="U79" i="2"/>
  <c r="V79" i="2" s="1"/>
  <c r="U67" i="2"/>
  <c r="V67" i="2" s="1"/>
  <c r="U62" i="2"/>
  <c r="V62" i="2" s="1"/>
  <c r="U56" i="2"/>
  <c r="V56" i="2" s="1"/>
  <c r="U46" i="2"/>
  <c r="V46" i="2" s="1"/>
  <c r="U38" i="2"/>
  <c r="V38" i="2" s="1"/>
  <c r="U33" i="2"/>
  <c r="V33" i="2" s="1"/>
  <c r="U29" i="2"/>
  <c r="V29" i="2" s="1"/>
  <c r="U17" i="2"/>
  <c r="V17" i="2" s="1"/>
  <c r="U13" i="2"/>
  <c r="V13" i="2" s="1"/>
  <c r="U8" i="2"/>
  <c r="V8" i="2" s="1"/>
  <c r="G42" i="2"/>
  <c r="G54" i="2"/>
  <c r="G72" i="2"/>
  <c r="G77" i="2"/>
  <c r="G24" i="2"/>
  <c r="G34" i="2"/>
  <c r="G45" i="2"/>
  <c r="G28" i="2"/>
  <c r="G20" i="2"/>
  <c r="G59" i="2"/>
  <c r="U24" i="2" l="1"/>
  <c r="V24" i="2" s="1"/>
  <c r="U72" i="2"/>
  <c r="V72" i="2" s="1"/>
  <c r="V59" i="2"/>
  <c r="U54" i="2"/>
  <c r="V54" i="2" s="1"/>
  <c r="U42" i="2"/>
  <c r="V42" i="2" s="1"/>
  <c r="U45" i="2"/>
  <c r="V45" i="2" s="1"/>
  <c r="U34" i="2"/>
  <c r="V34" i="2" s="1"/>
  <c r="U20" i="2"/>
  <c r="U25" i="2" s="1"/>
  <c r="U28" i="2"/>
  <c r="V28" i="2" s="1"/>
  <c r="U77" i="2"/>
  <c r="V77" i="2" s="1"/>
  <c r="G25" i="2"/>
  <c r="G49" i="2"/>
  <c r="G69" i="2"/>
  <c r="G41" i="2"/>
  <c r="O95" i="2"/>
  <c r="O103" i="2" s="1"/>
  <c r="Q95" i="2"/>
  <c r="Q103" i="2" s="1"/>
  <c r="O77" i="2"/>
  <c r="O83" i="2" s="1"/>
  <c r="Q77" i="2"/>
  <c r="Q83" i="2" s="1"/>
  <c r="O63" i="2"/>
  <c r="Q63" i="2"/>
  <c r="O59" i="2"/>
  <c r="Q59" i="2"/>
  <c r="I59" i="2" s="1"/>
  <c r="O54" i="2"/>
  <c r="Q54" i="2"/>
  <c r="I54" i="2" s="1"/>
  <c r="O50" i="2"/>
  <c r="Q50" i="2"/>
  <c r="I50" i="2" s="1"/>
  <c r="O45" i="2"/>
  <c r="Q45" i="2"/>
  <c r="O42" i="2"/>
  <c r="Q42" i="2"/>
  <c r="O34" i="2"/>
  <c r="Q34" i="2"/>
  <c r="O28" i="2"/>
  <c r="Q28" i="2"/>
  <c r="P102" i="2"/>
  <c r="H102" i="2" s="1"/>
  <c r="P101" i="2"/>
  <c r="H101" i="2" s="1"/>
  <c r="P100" i="2"/>
  <c r="H100" i="2" s="1"/>
  <c r="P99" i="2"/>
  <c r="H99" i="2" s="1"/>
  <c r="P98" i="2"/>
  <c r="H98" i="2" s="1"/>
  <c r="P97" i="2"/>
  <c r="H97" i="2" s="1"/>
  <c r="P96" i="2"/>
  <c r="P94" i="2"/>
  <c r="H94" i="2" s="1"/>
  <c r="P93" i="2"/>
  <c r="H93" i="2" s="1"/>
  <c r="P92" i="2"/>
  <c r="H92" i="2" s="1"/>
  <c r="P91" i="2"/>
  <c r="H91" i="2" s="1"/>
  <c r="P90" i="2"/>
  <c r="H90" i="2" s="1"/>
  <c r="P89" i="2"/>
  <c r="H89" i="2" s="1"/>
  <c r="P87" i="2"/>
  <c r="H87" i="2" s="1"/>
  <c r="P86" i="2"/>
  <c r="H86" i="2" s="1"/>
  <c r="P82" i="2"/>
  <c r="H82" i="2" s="1"/>
  <c r="P81" i="2"/>
  <c r="H81" i="2" s="1"/>
  <c r="P80" i="2"/>
  <c r="H80" i="2" s="1"/>
  <c r="P79" i="2"/>
  <c r="H79" i="2" s="1"/>
  <c r="P78" i="2"/>
  <c r="H78" i="2" s="1"/>
  <c r="P75" i="2"/>
  <c r="H75" i="2" s="1"/>
  <c r="P74" i="2"/>
  <c r="H74" i="2" s="1"/>
  <c r="P73" i="2"/>
  <c r="P71" i="2"/>
  <c r="H71" i="2" s="1"/>
  <c r="K71" i="2" s="1"/>
  <c r="P70" i="2"/>
  <c r="P68" i="2"/>
  <c r="H68" i="2" s="1"/>
  <c r="P67" i="2"/>
  <c r="H67" i="2" s="1"/>
  <c r="P66" i="2"/>
  <c r="H66" i="2" s="1"/>
  <c r="P65" i="2"/>
  <c r="H65" i="2" s="1"/>
  <c r="P64" i="2"/>
  <c r="H64" i="2" s="1"/>
  <c r="P62" i="2"/>
  <c r="H62" i="2" s="1"/>
  <c r="K62" i="2" s="1"/>
  <c r="P61" i="2"/>
  <c r="H61" i="2" s="1"/>
  <c r="P60" i="2"/>
  <c r="H60" i="2" s="1"/>
  <c r="K60" i="2" s="1"/>
  <c r="P58" i="2"/>
  <c r="H58" i="2" s="1"/>
  <c r="K58" i="2" s="1"/>
  <c r="P57" i="2"/>
  <c r="H57" i="2" s="1"/>
  <c r="P56" i="2"/>
  <c r="H56" i="2" s="1"/>
  <c r="K56" i="2" s="1"/>
  <c r="P55" i="2"/>
  <c r="P53" i="2"/>
  <c r="H53" i="2" s="1"/>
  <c r="K53" i="2" s="1"/>
  <c r="P52" i="2"/>
  <c r="H52" i="2" s="1"/>
  <c r="P51" i="2"/>
  <c r="H51" i="2" s="1"/>
  <c r="K51" i="2" s="1"/>
  <c r="P48" i="2"/>
  <c r="H48" i="2" s="1"/>
  <c r="P47" i="2"/>
  <c r="H47" i="2" s="1"/>
  <c r="K47" i="2" s="1"/>
  <c r="P46" i="2"/>
  <c r="H46" i="2" s="1"/>
  <c r="K46" i="2" s="1"/>
  <c r="P43" i="2"/>
  <c r="H43" i="2" s="1"/>
  <c r="K43" i="2" s="1"/>
  <c r="K42" i="2" s="1"/>
  <c r="P40" i="2"/>
  <c r="H40" i="2" s="1"/>
  <c r="K40" i="2" s="1"/>
  <c r="P39" i="2"/>
  <c r="H39" i="2" s="1"/>
  <c r="K39" i="2" s="1"/>
  <c r="P38" i="2"/>
  <c r="H38" i="2" s="1"/>
  <c r="K38" i="2" s="1"/>
  <c r="P37" i="2"/>
  <c r="H37" i="2" s="1"/>
  <c r="P36" i="2"/>
  <c r="H36" i="2" s="1"/>
  <c r="K36" i="2" s="1"/>
  <c r="P35" i="2"/>
  <c r="H35" i="2" s="1"/>
  <c r="K35" i="2" s="1"/>
  <c r="P32" i="2"/>
  <c r="H32" i="2" s="1"/>
  <c r="K32" i="2" s="1"/>
  <c r="P31" i="2"/>
  <c r="H31" i="2" s="1"/>
  <c r="K31" i="2" s="1"/>
  <c r="P30" i="2"/>
  <c r="H30" i="2" s="1"/>
  <c r="K30" i="2" s="1"/>
  <c r="P29" i="2"/>
  <c r="H29" i="2" s="1"/>
  <c r="K29" i="2" s="1"/>
  <c r="P22" i="2"/>
  <c r="H22" i="2" s="1"/>
  <c r="K22" i="2" s="1"/>
  <c r="P21" i="2"/>
  <c r="P19" i="2"/>
  <c r="H19" i="2" s="1"/>
  <c r="P18" i="2"/>
  <c r="H18" i="2" s="1"/>
  <c r="K18" i="2" s="1"/>
  <c r="P17" i="2"/>
  <c r="H17" i="2" s="1"/>
  <c r="K17" i="2" s="1"/>
  <c r="P14" i="2"/>
  <c r="H14" i="2" s="1"/>
  <c r="P12" i="2"/>
  <c r="H12" i="2" s="1"/>
  <c r="K12" i="2" s="1"/>
  <c r="P11" i="2"/>
  <c r="H11" i="2" s="1"/>
  <c r="K11" i="2" s="1"/>
  <c r="P10" i="2"/>
  <c r="H10" i="2" s="1"/>
  <c r="P9" i="2"/>
  <c r="H9" i="2" s="1"/>
  <c r="K9" i="2" s="1"/>
  <c r="P8" i="2"/>
  <c r="V116" i="16"/>
  <c r="V114" i="16"/>
  <c r="V112" i="16"/>
  <c r="V111" i="16"/>
  <c r="V110" i="16"/>
  <c r="Q116" i="16"/>
  <c r="Q112" i="16"/>
  <c r="Q111" i="16"/>
  <c r="Q110" i="16"/>
  <c r="L116" i="16"/>
  <c r="L114" i="16"/>
  <c r="L112" i="16"/>
  <c r="L111" i="16"/>
  <c r="L110" i="16"/>
  <c r="R61" i="16"/>
  <c r="R60" i="16" s="1"/>
  <c r="U69" i="2" l="1"/>
  <c r="V69" i="2" s="1"/>
  <c r="V25" i="2"/>
  <c r="V20" i="2"/>
  <c r="U41" i="2"/>
  <c r="V41" i="2" s="1"/>
  <c r="U27" i="2"/>
  <c r="F8" i="11"/>
  <c r="U49" i="2"/>
  <c r="V49" i="2" s="1"/>
  <c r="Q41" i="2"/>
  <c r="Q49" i="2"/>
  <c r="Q69" i="2"/>
  <c r="O41" i="2"/>
  <c r="O49" i="2"/>
  <c r="O69" i="2"/>
  <c r="P24" i="2"/>
  <c r="H21" i="2"/>
  <c r="H24" i="2" s="1"/>
  <c r="G27" i="2"/>
  <c r="H8" i="2"/>
  <c r="P20" i="2"/>
  <c r="I34" i="2"/>
  <c r="H96" i="2"/>
  <c r="G73" i="2"/>
  <c r="U73" i="2" s="1"/>
  <c r="V73" i="2" s="1"/>
  <c r="I45" i="2"/>
  <c r="I63" i="2"/>
  <c r="I69" i="2" s="1"/>
  <c r="H70" i="2"/>
  <c r="H72" i="2" s="1"/>
  <c r="P72" i="2"/>
  <c r="H73" i="2"/>
  <c r="J73" i="2" s="1"/>
  <c r="K10" i="2"/>
  <c r="J10" i="2"/>
  <c r="J52" i="2"/>
  <c r="J50" i="2" s="1"/>
  <c r="K52" i="2"/>
  <c r="K50" i="2" s="1"/>
  <c r="K67" i="2"/>
  <c r="J67" i="2"/>
  <c r="K91" i="2"/>
  <c r="J91" i="2"/>
  <c r="J64" i="2"/>
  <c r="K64" i="2"/>
  <c r="K68" i="2"/>
  <c r="J68" i="2"/>
  <c r="K74" i="2"/>
  <c r="J74" i="2"/>
  <c r="K80" i="2"/>
  <c r="J80" i="2"/>
  <c r="K87" i="2"/>
  <c r="J87" i="2"/>
  <c r="J92" i="2"/>
  <c r="K92" i="2"/>
  <c r="K97" i="2"/>
  <c r="J97" i="2"/>
  <c r="K101" i="2"/>
  <c r="J101" i="2"/>
  <c r="I28" i="2"/>
  <c r="I42" i="2"/>
  <c r="I95" i="2"/>
  <c r="I103" i="2" s="1"/>
  <c r="K79" i="2"/>
  <c r="J79" i="2"/>
  <c r="J96" i="2"/>
  <c r="K28" i="2"/>
  <c r="K19" i="2"/>
  <c r="J19" i="2"/>
  <c r="K48" i="2"/>
  <c r="K45" i="2" s="1"/>
  <c r="K49" i="2" s="1"/>
  <c r="J48" i="2"/>
  <c r="J45" i="2" s="1"/>
  <c r="J49" i="2" s="1"/>
  <c r="P54" i="2"/>
  <c r="H54" i="2" s="1"/>
  <c r="H55" i="2"/>
  <c r="K55" i="2" s="1"/>
  <c r="K54" i="2" s="1"/>
  <c r="K65" i="2"/>
  <c r="J65" i="2"/>
  <c r="K75" i="2"/>
  <c r="J75" i="2"/>
  <c r="K81" i="2"/>
  <c r="J81" i="2"/>
  <c r="K89" i="2"/>
  <c r="J89" i="2"/>
  <c r="K93" i="2"/>
  <c r="J93" i="2"/>
  <c r="K98" i="2"/>
  <c r="J98" i="2"/>
  <c r="K102" i="2"/>
  <c r="J102" i="2"/>
  <c r="J57" i="2"/>
  <c r="K57" i="2"/>
  <c r="K86" i="2"/>
  <c r="J86" i="2"/>
  <c r="K100" i="2"/>
  <c r="J100" i="2"/>
  <c r="K14" i="2"/>
  <c r="J14" i="2"/>
  <c r="K37" i="2"/>
  <c r="K34" i="2" s="1"/>
  <c r="J37" i="2"/>
  <c r="J34" i="2" s="1"/>
  <c r="J41" i="2" s="1"/>
  <c r="J61" i="2"/>
  <c r="J59" i="2" s="1"/>
  <c r="K61" i="2"/>
  <c r="K59" i="2" s="1"/>
  <c r="K66" i="2"/>
  <c r="J66" i="2"/>
  <c r="J78" i="2"/>
  <c r="K78" i="2"/>
  <c r="J82" i="2"/>
  <c r="K82" i="2"/>
  <c r="K90" i="2"/>
  <c r="J90" i="2"/>
  <c r="K94" i="2"/>
  <c r="J94" i="2"/>
  <c r="K99" i="2"/>
  <c r="J99" i="2"/>
  <c r="I77" i="2"/>
  <c r="I83" i="2" s="1"/>
  <c r="P28" i="2"/>
  <c r="H28" i="2" s="1"/>
  <c r="P34" i="2"/>
  <c r="P45" i="2"/>
  <c r="P42" i="2"/>
  <c r="H42" i="2" s="1"/>
  <c r="P50" i="2"/>
  <c r="H50" i="2" s="1"/>
  <c r="P59" i="2"/>
  <c r="H59" i="2" s="1"/>
  <c r="P95" i="2"/>
  <c r="P63" i="2"/>
  <c r="P77" i="2"/>
  <c r="P83" i="2" s="1"/>
  <c r="V79" i="16"/>
  <c r="V78" i="16"/>
  <c r="V77" i="16"/>
  <c r="V76" i="16"/>
  <c r="V75" i="16"/>
  <c r="V73" i="16"/>
  <c r="V72" i="16"/>
  <c r="V71" i="16"/>
  <c r="V70" i="16"/>
  <c r="V68" i="16"/>
  <c r="V67" i="16"/>
  <c r="V65" i="16"/>
  <c r="V64" i="16"/>
  <c r="V63" i="16"/>
  <c r="V62" i="16"/>
  <c r="V61" i="16"/>
  <c r="V59" i="16"/>
  <c r="V58" i="16"/>
  <c r="V57" i="16"/>
  <c r="V55" i="16"/>
  <c r="V54" i="16"/>
  <c r="V53" i="16"/>
  <c r="V52" i="16"/>
  <c r="V51" i="16" s="1"/>
  <c r="V50" i="16"/>
  <c r="V49" i="16"/>
  <c r="V48" i="16"/>
  <c r="V43" i="16"/>
  <c r="V41" i="16"/>
  <c r="V39" i="16"/>
  <c r="V38" i="16"/>
  <c r="V37" i="16"/>
  <c r="V35" i="16"/>
  <c r="V34" i="16"/>
  <c r="V33" i="16"/>
  <c r="V31" i="16"/>
  <c r="V30" i="16"/>
  <c r="V29" i="16"/>
  <c r="V28" i="16"/>
  <c r="V22" i="16"/>
  <c r="V21" i="16"/>
  <c r="V19" i="16"/>
  <c r="V18" i="16"/>
  <c r="V17" i="16"/>
  <c r="V15" i="16"/>
  <c r="V14" i="16"/>
  <c r="V12" i="16"/>
  <c r="V11" i="16"/>
  <c r="V10" i="16"/>
  <c r="V9" i="16"/>
  <c r="V8" i="16"/>
  <c r="Q79" i="16"/>
  <c r="Q78" i="16"/>
  <c r="Q77" i="16"/>
  <c r="Q76" i="16"/>
  <c r="Q75" i="16"/>
  <c r="Q73" i="16"/>
  <c r="Q72" i="16"/>
  <c r="Q71" i="16"/>
  <c r="Q68" i="16"/>
  <c r="Q67" i="16"/>
  <c r="Q64" i="16"/>
  <c r="Q63" i="16"/>
  <c r="Q62" i="16"/>
  <c r="Q59" i="16"/>
  <c r="Q58" i="16"/>
  <c r="Q57" i="16"/>
  <c r="Q55" i="16"/>
  <c r="Q53" i="16"/>
  <c r="Q52" i="16"/>
  <c r="Q51" i="16" s="1"/>
  <c r="Q43" i="16"/>
  <c r="Q46" i="16" s="1"/>
  <c r="Q38" i="16"/>
  <c r="Q34" i="16"/>
  <c r="Q31" i="16"/>
  <c r="Q29" i="16"/>
  <c r="Q28" i="16"/>
  <c r="Q22" i="16"/>
  <c r="Q21" i="16"/>
  <c r="Q19" i="16"/>
  <c r="Q18" i="16"/>
  <c r="Q17" i="16"/>
  <c r="Q16" i="16"/>
  <c r="Q15" i="16"/>
  <c r="Q14" i="16"/>
  <c r="Q13" i="16"/>
  <c r="Q12" i="16"/>
  <c r="Q11" i="16"/>
  <c r="Q10" i="16"/>
  <c r="Q9" i="16"/>
  <c r="Q8" i="16"/>
  <c r="Q7" i="16"/>
  <c r="L79" i="16"/>
  <c r="L78" i="16"/>
  <c r="L77" i="16"/>
  <c r="L76" i="16"/>
  <c r="L75" i="16"/>
  <c r="L73" i="16"/>
  <c r="L72" i="16"/>
  <c r="L71" i="16"/>
  <c r="L70" i="16"/>
  <c r="L68" i="16"/>
  <c r="L69" i="16" s="1"/>
  <c r="L65" i="16"/>
  <c r="L64" i="16"/>
  <c r="L63" i="16"/>
  <c r="L62" i="16"/>
  <c r="L61" i="16"/>
  <c r="L59" i="16"/>
  <c r="L58" i="16"/>
  <c r="L57" i="16"/>
  <c r="L55" i="16"/>
  <c r="L54" i="16"/>
  <c r="L53" i="16"/>
  <c r="L52" i="16"/>
  <c r="L51" i="16" s="1"/>
  <c r="L50" i="16"/>
  <c r="L49" i="16"/>
  <c r="L48" i="16"/>
  <c r="L43" i="16"/>
  <c r="L41" i="16"/>
  <c r="L39" i="16"/>
  <c r="L38" i="16"/>
  <c r="L37" i="16"/>
  <c r="L35" i="16"/>
  <c r="L34" i="16"/>
  <c r="L33" i="16"/>
  <c r="L31" i="16"/>
  <c r="L30" i="16"/>
  <c r="L29" i="16"/>
  <c r="L28" i="16"/>
  <c r="L22" i="16"/>
  <c r="L21" i="16"/>
  <c r="L19" i="16"/>
  <c r="L18" i="16"/>
  <c r="L17" i="16"/>
  <c r="L15" i="16"/>
  <c r="L14" i="16"/>
  <c r="L11" i="16"/>
  <c r="L10" i="16"/>
  <c r="L9" i="16"/>
  <c r="L8" i="16"/>
  <c r="G111" i="16"/>
  <c r="G112" i="16"/>
  <c r="G114" i="16"/>
  <c r="G116" i="16"/>
  <c r="G110" i="16"/>
  <c r="G76" i="16"/>
  <c r="G77" i="16"/>
  <c r="G78" i="16"/>
  <c r="G79" i="16"/>
  <c r="G75" i="16"/>
  <c r="H74" i="16"/>
  <c r="H80" i="16" s="1"/>
  <c r="K74" i="16"/>
  <c r="K80" i="16" s="1"/>
  <c r="M74" i="16"/>
  <c r="M80" i="16" s="1"/>
  <c r="P74" i="16"/>
  <c r="P80" i="16" s="1"/>
  <c r="R74" i="16"/>
  <c r="R80" i="16" s="1"/>
  <c r="U74" i="16"/>
  <c r="U80" i="16" s="1"/>
  <c r="W74" i="16"/>
  <c r="W80" i="16" s="1"/>
  <c r="G71" i="16"/>
  <c r="G72" i="16"/>
  <c r="G73" i="16"/>
  <c r="G70" i="16"/>
  <c r="G68" i="16"/>
  <c r="G69" i="16" s="1"/>
  <c r="G62" i="16"/>
  <c r="G63" i="16"/>
  <c r="G64" i="16"/>
  <c r="G65" i="16"/>
  <c r="G61" i="16"/>
  <c r="H60" i="16"/>
  <c r="K60" i="16"/>
  <c r="M60" i="16"/>
  <c r="P60" i="16"/>
  <c r="U60" i="16"/>
  <c r="W60" i="16"/>
  <c r="G59" i="16"/>
  <c r="G57" i="16"/>
  <c r="G53" i="16"/>
  <c r="G54" i="16"/>
  <c r="G55" i="16"/>
  <c r="G52" i="16"/>
  <c r="G51" i="16" s="1"/>
  <c r="H51" i="16"/>
  <c r="K51" i="16"/>
  <c r="M51" i="16"/>
  <c r="P51" i="16"/>
  <c r="R51" i="16"/>
  <c r="U51" i="16"/>
  <c r="W51" i="16"/>
  <c r="G49" i="16"/>
  <c r="G50" i="16"/>
  <c r="G48" i="16"/>
  <c r="H47" i="16"/>
  <c r="K47" i="16"/>
  <c r="M47" i="16"/>
  <c r="P47" i="16"/>
  <c r="R47" i="16"/>
  <c r="U47" i="16"/>
  <c r="W47" i="16"/>
  <c r="G43" i="16"/>
  <c r="H43" i="16"/>
  <c r="K43" i="16"/>
  <c r="M43" i="16"/>
  <c r="P43" i="16"/>
  <c r="R43" i="16"/>
  <c r="U43" i="16"/>
  <c r="W43" i="16"/>
  <c r="G41" i="16"/>
  <c r="G46" i="16" s="1"/>
  <c r="H41" i="16"/>
  <c r="H46" i="16" s="1"/>
  <c r="K41" i="16"/>
  <c r="K46" i="16" s="1"/>
  <c r="M41" i="16"/>
  <c r="M46" i="16" s="1"/>
  <c r="P41" i="16"/>
  <c r="P46" i="16" s="1"/>
  <c r="R41" i="16"/>
  <c r="R46" i="16" s="1"/>
  <c r="U41" i="16"/>
  <c r="W41" i="16"/>
  <c r="W46" i="16" s="1"/>
  <c r="G34" i="16"/>
  <c r="G35" i="16"/>
  <c r="G37" i="16"/>
  <c r="G38" i="16"/>
  <c r="G39" i="16"/>
  <c r="G33" i="16"/>
  <c r="H32" i="16"/>
  <c r="K32" i="16"/>
  <c r="M32" i="16"/>
  <c r="P32" i="16"/>
  <c r="R32" i="16"/>
  <c r="U32" i="16"/>
  <c r="W32" i="16"/>
  <c r="G29" i="16"/>
  <c r="G30" i="16"/>
  <c r="G31" i="16"/>
  <c r="G28" i="16"/>
  <c r="H27" i="16"/>
  <c r="K27" i="16"/>
  <c r="M27" i="16"/>
  <c r="P27" i="16"/>
  <c r="R27" i="16"/>
  <c r="U27" i="16"/>
  <c r="W27" i="16"/>
  <c r="G8" i="16"/>
  <c r="G9" i="16"/>
  <c r="G10" i="16"/>
  <c r="G11" i="16"/>
  <c r="G12" i="16"/>
  <c r="G14" i="16"/>
  <c r="G15" i="16"/>
  <c r="G17" i="16"/>
  <c r="G18" i="16"/>
  <c r="G19" i="16"/>
  <c r="G21" i="16"/>
  <c r="G22" i="16"/>
  <c r="T10" i="22"/>
  <c r="V10" i="22" s="1"/>
  <c r="T11" i="22"/>
  <c r="V11" i="22" s="1"/>
  <c r="T14" i="22"/>
  <c r="T16" i="22"/>
  <c r="V16" i="22" s="1"/>
  <c r="T18" i="22"/>
  <c r="V18" i="22" s="1"/>
  <c r="T19" i="22"/>
  <c r="V19" i="22" s="1"/>
  <c r="T22" i="22"/>
  <c r="V22" i="22" s="1"/>
  <c r="T23" i="22"/>
  <c r="V23" i="22" s="1"/>
  <c r="T24" i="22"/>
  <c r="V24" i="22" s="1"/>
  <c r="T25" i="22"/>
  <c r="V25" i="22" s="1"/>
  <c r="T27" i="22"/>
  <c r="T28" i="22"/>
  <c r="V28" i="22" s="1"/>
  <c r="T31" i="22"/>
  <c r="V31" i="22" s="1"/>
  <c r="T32" i="22"/>
  <c r="V32" i="22" s="1"/>
  <c r="T33" i="22"/>
  <c r="V33" i="22" s="1"/>
  <c r="T34" i="22"/>
  <c r="V34" i="22" s="1"/>
  <c r="T35" i="22"/>
  <c r="V35" i="22" s="1"/>
  <c r="T36" i="22"/>
  <c r="T37" i="22"/>
  <c r="V37" i="22" s="1"/>
  <c r="T39" i="22"/>
  <c r="T40" i="22"/>
  <c r="V40" i="22" s="1"/>
  <c r="T41" i="22"/>
  <c r="V41" i="22" s="1"/>
  <c r="T43" i="22"/>
  <c r="T44" i="22"/>
  <c r="V44" i="22" s="1"/>
  <c r="T45" i="22"/>
  <c r="V45" i="22" s="1"/>
  <c r="T46" i="22"/>
  <c r="V46" i="22" s="1"/>
  <c r="T47" i="22"/>
  <c r="V47" i="22" s="1"/>
  <c r="T48" i="22"/>
  <c r="V48" i="22" s="1"/>
  <c r="T49" i="22"/>
  <c r="V49" i="22" s="1"/>
  <c r="T50" i="22"/>
  <c r="V50" i="22" s="1"/>
  <c r="T51" i="22"/>
  <c r="V51" i="22" s="1"/>
  <c r="T52" i="22"/>
  <c r="V52" i="22" s="1"/>
  <c r="T54" i="22"/>
  <c r="T55" i="22"/>
  <c r="V55" i="22" s="1"/>
  <c r="T58" i="22"/>
  <c r="V58" i="22" s="1"/>
  <c r="T60" i="22"/>
  <c r="V60" i="22" s="1"/>
  <c r="T61" i="22"/>
  <c r="V61" i="22" s="1"/>
  <c r="T63" i="22"/>
  <c r="V63" i="22" s="1"/>
  <c r="T64" i="22"/>
  <c r="V64" i="22" s="1"/>
  <c r="T65" i="22"/>
  <c r="V65" i="22" s="1"/>
  <c r="P62" i="21"/>
  <c r="P63" i="21"/>
  <c r="R63" i="21" s="1"/>
  <c r="P65" i="21"/>
  <c r="R65" i="21" s="1"/>
  <c r="P66" i="21"/>
  <c r="R66" i="21" s="1"/>
  <c r="P67" i="21"/>
  <c r="R67" i="21" s="1"/>
  <c r="T56" i="22" l="1"/>
  <c r="P25" i="2"/>
  <c r="P27" i="2" s="1"/>
  <c r="U46" i="16"/>
  <c r="R62" i="21"/>
  <c r="Q23" i="16"/>
  <c r="L23" i="16"/>
  <c r="V27" i="22"/>
  <c r="T26" i="22"/>
  <c r="V69" i="16"/>
  <c r="L46" i="16"/>
  <c r="L56" i="16"/>
  <c r="Q69" i="16"/>
  <c r="V23" i="16"/>
  <c r="V46" i="16"/>
  <c r="W66" i="16"/>
  <c r="M66" i="16"/>
  <c r="K41" i="2"/>
  <c r="G20" i="16"/>
  <c r="G23" i="16"/>
  <c r="K66" i="16"/>
  <c r="L20" i="16"/>
  <c r="Q20" i="16"/>
  <c r="V20" i="16"/>
  <c r="J70" i="2"/>
  <c r="J72" i="2" s="1"/>
  <c r="Q84" i="2"/>
  <c r="Q109" i="2" s="1"/>
  <c r="Q118" i="2" s="1"/>
  <c r="V27" i="2"/>
  <c r="U66" i="16"/>
  <c r="R40" i="16"/>
  <c r="R66" i="16"/>
  <c r="H66" i="16"/>
  <c r="P40" i="16"/>
  <c r="P66" i="16"/>
  <c r="O84" i="2"/>
  <c r="O109" i="2" s="1"/>
  <c r="O118" i="2" s="1"/>
  <c r="U83" i="2"/>
  <c r="H95" i="2"/>
  <c r="H103" i="2" s="1"/>
  <c r="P103" i="2"/>
  <c r="K70" i="2"/>
  <c r="K72" i="2" s="1"/>
  <c r="P49" i="2"/>
  <c r="K96" i="2"/>
  <c r="K95" i="2" s="1"/>
  <c r="K103" i="2" s="1"/>
  <c r="I49" i="2"/>
  <c r="I41" i="2"/>
  <c r="P69" i="2"/>
  <c r="P41" i="2"/>
  <c r="K73" i="2"/>
  <c r="V56" i="16"/>
  <c r="G56" i="16"/>
  <c r="Q56" i="16"/>
  <c r="U40" i="16"/>
  <c r="K40" i="16"/>
  <c r="W40" i="16"/>
  <c r="M40" i="16"/>
  <c r="H40" i="16"/>
  <c r="H34" i="2"/>
  <c r="H41" i="2" s="1"/>
  <c r="J20" i="2"/>
  <c r="J25" i="2" s="1"/>
  <c r="J27" i="2" s="1"/>
  <c r="K8" i="2"/>
  <c r="K20" i="2" s="1"/>
  <c r="H20" i="2"/>
  <c r="H25" i="2" s="1"/>
  <c r="H27" i="2" s="1"/>
  <c r="K21" i="2"/>
  <c r="K24" i="2" s="1"/>
  <c r="H45" i="2"/>
  <c r="H49" i="2" s="1"/>
  <c r="H63" i="2"/>
  <c r="H69" i="2" s="1"/>
  <c r="T42" i="22"/>
  <c r="V42" i="22" s="1"/>
  <c r="V43" i="22"/>
  <c r="V14" i="22"/>
  <c r="V54" i="22"/>
  <c r="V56" i="22" s="1"/>
  <c r="T38" i="22"/>
  <c r="V39" i="22"/>
  <c r="V36" i="22"/>
  <c r="V47" i="16"/>
  <c r="K77" i="2"/>
  <c r="K83" i="2" s="1"/>
  <c r="H77" i="2"/>
  <c r="K63" i="2"/>
  <c r="K69" i="2" s="1"/>
  <c r="V32" i="16"/>
  <c r="L47" i="16"/>
  <c r="Q74" i="16"/>
  <c r="Q80" i="16" s="1"/>
  <c r="V74" i="16"/>
  <c r="V80" i="16" s="1"/>
  <c r="G47" i="16"/>
  <c r="L27" i="16"/>
  <c r="L32" i="16"/>
  <c r="L74" i="16"/>
  <c r="L80" i="16" s="1"/>
  <c r="Q32" i="16"/>
  <c r="V27" i="16"/>
  <c r="G27" i="16"/>
  <c r="Q27" i="16"/>
  <c r="Q47" i="16"/>
  <c r="Q60" i="16"/>
  <c r="V60" i="16"/>
  <c r="L60" i="16"/>
  <c r="G74" i="16"/>
  <c r="G80" i="16" s="1"/>
  <c r="G60" i="16"/>
  <c r="G32" i="16"/>
  <c r="Q24" i="16" l="1"/>
  <c r="Q26" i="16" s="1"/>
  <c r="V38" i="22"/>
  <c r="L24" i="16"/>
  <c r="L26" i="16" s="1"/>
  <c r="L66" i="16"/>
  <c r="H81" i="16"/>
  <c r="H107" i="16" s="1"/>
  <c r="H118" i="16" s="1"/>
  <c r="R81" i="16"/>
  <c r="R107" i="16" s="1"/>
  <c r="V24" i="16"/>
  <c r="V26" i="16" s="1"/>
  <c r="P81" i="16"/>
  <c r="P107" i="16" s="1"/>
  <c r="Q66" i="16"/>
  <c r="AA20" i="16"/>
  <c r="AA23" i="16"/>
  <c r="G24" i="16"/>
  <c r="G26" i="16" s="1"/>
  <c r="V66" i="16"/>
  <c r="I84" i="2"/>
  <c r="I109" i="2" s="1"/>
  <c r="I118" i="2" s="1"/>
  <c r="G66" i="16"/>
  <c r="U84" i="2"/>
  <c r="F10" i="11" s="1"/>
  <c r="P84" i="2"/>
  <c r="P109" i="2" s="1"/>
  <c r="J95" i="2"/>
  <c r="J103" i="2" s="1"/>
  <c r="J77" i="2"/>
  <c r="J83" i="2" s="1"/>
  <c r="J84" i="2" s="1"/>
  <c r="H83" i="2"/>
  <c r="H84" i="2" s="1"/>
  <c r="H109" i="2" s="1"/>
  <c r="K84" i="2"/>
  <c r="K25" i="2"/>
  <c r="K27" i="2" s="1"/>
  <c r="K81" i="16"/>
  <c r="U81" i="16"/>
  <c r="M81" i="16"/>
  <c r="M107" i="16" s="1"/>
  <c r="W81" i="16"/>
  <c r="W107" i="16" s="1"/>
  <c r="Q40" i="16"/>
  <c r="G40" i="16"/>
  <c r="V40" i="16"/>
  <c r="L40" i="16"/>
  <c r="J63" i="2"/>
  <c r="J69" i="2" s="1"/>
  <c r="J109" i="2" l="1"/>
  <c r="G81" i="16"/>
  <c r="G107" i="16" s="1"/>
  <c r="F13" i="11"/>
  <c r="F20" i="11" s="1"/>
  <c r="U109" i="2"/>
  <c r="K109" i="2"/>
  <c r="K118" i="2" s="1"/>
  <c r="V81" i="16"/>
  <c r="V107" i="16" s="1"/>
  <c r="L81" i="16"/>
  <c r="L107" i="16" s="1"/>
  <c r="Q81" i="16"/>
  <c r="Q107" i="16" s="1"/>
  <c r="BA10" i="12"/>
  <c r="U118" i="2" l="1"/>
  <c r="F55" i="23" l="1"/>
  <c r="F27" i="23"/>
  <c r="F52" i="23" s="1"/>
  <c r="J27" i="23"/>
  <c r="J52" i="23" s="1"/>
  <c r="F23" i="23"/>
  <c r="J23" i="23"/>
  <c r="F18" i="23"/>
  <c r="J18" i="23"/>
  <c r="J26" i="23" s="1"/>
  <c r="P8" i="23"/>
  <c r="R8" i="23" s="1"/>
  <c r="P10" i="23"/>
  <c r="R10" i="23" s="1"/>
  <c r="P11" i="23"/>
  <c r="R11" i="23" s="1"/>
  <c r="P12" i="23"/>
  <c r="R12" i="23" s="1"/>
  <c r="P13" i="23"/>
  <c r="R13" i="23" s="1"/>
  <c r="P14" i="23"/>
  <c r="R14" i="23" s="1"/>
  <c r="P15" i="23"/>
  <c r="R15" i="23" s="1"/>
  <c r="P16" i="23"/>
  <c r="R16" i="23" s="1"/>
  <c r="P19" i="23"/>
  <c r="R19" i="23" s="1"/>
  <c r="P20" i="23"/>
  <c r="R20" i="23" s="1"/>
  <c r="P21" i="23"/>
  <c r="R21" i="23" s="1"/>
  <c r="P22" i="23"/>
  <c r="R22" i="23" s="1"/>
  <c r="P24" i="23"/>
  <c r="P25" i="23"/>
  <c r="P34" i="23"/>
  <c r="P36" i="23"/>
  <c r="P37" i="23"/>
  <c r="P38" i="23"/>
  <c r="P40" i="23"/>
  <c r="P41" i="23"/>
  <c r="R41" i="23" s="1"/>
  <c r="P42" i="23"/>
  <c r="R42" i="23" s="1"/>
  <c r="P43" i="23"/>
  <c r="R43" i="23" s="1"/>
  <c r="P44" i="23"/>
  <c r="R44" i="23" s="1"/>
  <c r="P45" i="23"/>
  <c r="R45" i="23" s="1"/>
  <c r="P46" i="23"/>
  <c r="R46" i="23" s="1"/>
  <c r="P47" i="23"/>
  <c r="R47" i="23" s="1"/>
  <c r="P48" i="23"/>
  <c r="R48" i="23" s="1"/>
  <c r="P49" i="23"/>
  <c r="R49" i="23" s="1"/>
  <c r="P51" i="23"/>
  <c r="R51" i="23" s="1"/>
  <c r="P53" i="23"/>
  <c r="P57" i="23"/>
  <c r="R57" i="23" s="1"/>
  <c r="P59" i="23"/>
  <c r="R59" i="23" s="1"/>
  <c r="P60" i="23"/>
  <c r="R60" i="23" s="1"/>
  <c r="P62" i="23"/>
  <c r="P63" i="23"/>
  <c r="P64" i="23"/>
  <c r="F7" i="23"/>
  <c r="J7" i="23"/>
  <c r="J17" i="23" s="1"/>
  <c r="J57" i="22"/>
  <c r="N57" i="22"/>
  <c r="G12" i="20"/>
  <c r="K12" i="20"/>
  <c r="O12" i="20"/>
  <c r="S12" i="20"/>
  <c r="F14" i="21"/>
  <c r="F26" i="23" l="1"/>
  <c r="P39" i="23"/>
  <c r="R53" i="23"/>
  <c r="R40" i="23"/>
  <c r="F58" i="23"/>
  <c r="F56" i="23" s="1"/>
  <c r="F65" i="23" s="1"/>
  <c r="R39" i="23" l="1"/>
  <c r="B11" i="28" l="1"/>
  <c r="P36" i="21" l="1"/>
  <c r="C25" i="12"/>
  <c r="T25" i="12" s="1"/>
  <c r="F42" i="19"/>
  <c r="I42" i="19" s="1"/>
  <c r="K14" i="30"/>
  <c r="J13" i="30"/>
  <c r="J14" i="30" s="1"/>
  <c r="I13" i="30"/>
  <c r="I14" i="30" s="1"/>
  <c r="H13" i="30"/>
  <c r="H14" i="30" s="1"/>
  <c r="G13" i="30"/>
  <c r="G14" i="30" s="1"/>
  <c r="F13" i="30"/>
  <c r="F14" i="30" s="1"/>
  <c r="E13" i="30"/>
  <c r="E14" i="30" s="1"/>
  <c r="D13" i="30"/>
  <c r="D14" i="30" s="1"/>
  <c r="C13" i="30"/>
  <c r="L13" i="30"/>
  <c r="L14" i="30" s="1"/>
  <c r="L10" i="30"/>
  <c r="F10" i="30"/>
  <c r="E10" i="30"/>
  <c r="D10" i="30"/>
  <c r="C10" i="30"/>
  <c r="H33" i="29"/>
  <c r="H32" i="29"/>
  <c r="H31" i="29"/>
  <c r="H30" i="29"/>
  <c r="H29" i="29"/>
  <c r="H28" i="29"/>
  <c r="H27" i="29"/>
  <c r="F26" i="29"/>
  <c r="E26" i="29"/>
  <c r="D26" i="29"/>
  <c r="H25" i="29"/>
  <c r="H24" i="29"/>
  <c r="H23" i="29"/>
  <c r="H22" i="29"/>
  <c r="H21" i="29"/>
  <c r="H20" i="29"/>
  <c r="H19" i="29"/>
  <c r="F18" i="29"/>
  <c r="E18" i="29"/>
  <c r="D18" i="29"/>
  <c r="H15" i="29"/>
  <c r="H14" i="29"/>
  <c r="H13" i="29"/>
  <c r="D12" i="29"/>
  <c r="E12" i="29" s="1"/>
  <c r="E11" i="29"/>
  <c r="F11" i="29" s="1"/>
  <c r="H11" i="29" s="1"/>
  <c r="D10" i="29"/>
  <c r="E10" i="29" s="1"/>
  <c r="C11" i="28"/>
  <c r="N21" i="26"/>
  <c r="R36" i="21" l="1"/>
  <c r="E34" i="29"/>
  <c r="D34" i="29"/>
  <c r="F34" i="29"/>
  <c r="H26" i="29"/>
  <c r="F12" i="29"/>
  <c r="H12" i="29" s="1"/>
  <c r="F10" i="29"/>
  <c r="H10" i="29" s="1"/>
  <c r="H18" i="29"/>
  <c r="H34" i="29" l="1"/>
  <c r="F12" i="19"/>
  <c r="I12" i="19" s="1"/>
  <c r="F10" i="19"/>
  <c r="I10" i="19" s="1"/>
  <c r="F20" i="19"/>
  <c r="F15" i="19"/>
  <c r="I14" i="19" l="1"/>
  <c r="I15" i="19"/>
  <c r="AZ17" i="12"/>
  <c r="I20" i="19" l="1"/>
  <c r="I18" i="19"/>
  <c r="I19" i="19" s="1"/>
  <c r="Q9" i="15"/>
  <c r="U61" i="7"/>
  <c r="J54" i="23"/>
  <c r="D9" i="22"/>
  <c r="T9" i="22" s="1"/>
  <c r="V9" i="22" l="1"/>
  <c r="V13" i="22" s="1"/>
  <c r="T13" i="22"/>
  <c r="AK10" i="12"/>
  <c r="S9" i="15"/>
  <c r="AM10" i="12" s="1"/>
  <c r="J58" i="23"/>
  <c r="E13" i="24"/>
  <c r="E16" i="24" s="1"/>
  <c r="P54" i="23"/>
  <c r="J55" i="23"/>
  <c r="D67" i="7"/>
  <c r="D66" i="7"/>
  <c r="D62" i="7"/>
  <c r="D63" i="7"/>
  <c r="C61" i="23"/>
  <c r="C55" i="23"/>
  <c r="C39" i="23"/>
  <c r="C35" i="23"/>
  <c r="C27" i="23"/>
  <c r="C23" i="23"/>
  <c r="C18" i="23"/>
  <c r="F9" i="23"/>
  <c r="F17" i="23" s="1"/>
  <c r="F66" i="23" s="1"/>
  <c r="C7" i="23"/>
  <c r="N62" i="22"/>
  <c r="N66" i="22" s="1"/>
  <c r="J62" i="22"/>
  <c r="J66" i="22" s="1"/>
  <c r="D62" i="22"/>
  <c r="D42" i="22"/>
  <c r="D38" i="22"/>
  <c r="N30" i="22"/>
  <c r="N53" i="22" s="1"/>
  <c r="J30" i="22"/>
  <c r="J53" i="22" s="1"/>
  <c r="D30" i="22"/>
  <c r="N26" i="22"/>
  <c r="J26" i="22"/>
  <c r="D26" i="22"/>
  <c r="N21" i="22"/>
  <c r="N29" i="22" s="1"/>
  <c r="J21" i="22"/>
  <c r="D21" i="22"/>
  <c r="N15" i="22"/>
  <c r="N20" i="22" s="1"/>
  <c r="J15" i="22"/>
  <c r="J20" i="22" s="1"/>
  <c r="D15" i="22"/>
  <c r="F64" i="21"/>
  <c r="C64" i="21"/>
  <c r="C59" i="21"/>
  <c r="P59" i="21" s="1"/>
  <c r="P68" i="21" s="1"/>
  <c r="F58" i="21"/>
  <c r="C58" i="21"/>
  <c r="C44" i="21"/>
  <c r="F40" i="21"/>
  <c r="F55" i="21" s="1"/>
  <c r="F69" i="21" s="1"/>
  <c r="C40" i="21"/>
  <c r="F31" i="21"/>
  <c r="C28" i="21"/>
  <c r="P28" i="21" s="1"/>
  <c r="R28" i="21" s="1"/>
  <c r="C23" i="21"/>
  <c r="P23" i="21" s="1"/>
  <c r="R23" i="21" s="1"/>
  <c r="C14" i="21"/>
  <c r="F8" i="21"/>
  <c r="F22" i="21" s="1"/>
  <c r="C8" i="21"/>
  <c r="L45" i="7"/>
  <c r="L46" i="7"/>
  <c r="L47" i="7"/>
  <c r="L48" i="7"/>
  <c r="L49" i="7"/>
  <c r="L50" i="7"/>
  <c r="L51" i="7"/>
  <c r="L52" i="7"/>
  <c r="L53" i="7"/>
  <c r="L54" i="7"/>
  <c r="J44" i="7"/>
  <c r="K44" i="7"/>
  <c r="K34" i="20"/>
  <c r="S34" i="20"/>
  <c r="D65" i="7"/>
  <c r="D60" i="7"/>
  <c r="D57" i="7"/>
  <c r="D56" i="7"/>
  <c r="D54" i="7"/>
  <c r="D53" i="7"/>
  <c r="D52" i="7"/>
  <c r="D51" i="7"/>
  <c r="D50" i="7"/>
  <c r="D49" i="7"/>
  <c r="D48" i="7"/>
  <c r="D47" i="7"/>
  <c r="D46" i="7"/>
  <c r="D45" i="7"/>
  <c r="D43" i="7"/>
  <c r="D42" i="7"/>
  <c r="D41" i="7"/>
  <c r="D39" i="7"/>
  <c r="Y39" i="7" s="1"/>
  <c r="D38" i="7"/>
  <c r="D37" i="7"/>
  <c r="D35" i="7"/>
  <c r="D34" i="7"/>
  <c r="D33" i="7"/>
  <c r="D30" i="7"/>
  <c r="D29" i="7"/>
  <c r="D27" i="7"/>
  <c r="D26" i="7"/>
  <c r="D25" i="7"/>
  <c r="D24" i="7"/>
  <c r="D21" i="7"/>
  <c r="D20" i="7"/>
  <c r="D19" i="7"/>
  <c r="D18" i="7"/>
  <c r="D17" i="7"/>
  <c r="D16" i="7"/>
  <c r="D15" i="7"/>
  <c r="D10" i="7"/>
  <c r="D11" i="7"/>
  <c r="D12" i="7"/>
  <c r="D13" i="7"/>
  <c r="D9" i="7"/>
  <c r="S54" i="20"/>
  <c r="O54" i="20"/>
  <c r="K54" i="20"/>
  <c r="D54" i="20"/>
  <c r="K49" i="20"/>
  <c r="K57" i="20" s="1"/>
  <c r="D49" i="20"/>
  <c r="S48" i="20"/>
  <c r="O48" i="20"/>
  <c r="G48" i="20"/>
  <c r="S30" i="20"/>
  <c r="O30" i="20"/>
  <c r="O45" i="20" s="1"/>
  <c r="K30" i="20"/>
  <c r="D30" i="20"/>
  <c r="S22" i="20"/>
  <c r="G22" i="20"/>
  <c r="G45" i="20" s="1"/>
  <c r="D12" i="20"/>
  <c r="AK12" i="20" s="1"/>
  <c r="AM12" i="20" s="1"/>
  <c r="S10" i="20"/>
  <c r="S16" i="20" s="1"/>
  <c r="O10" i="20"/>
  <c r="O16" i="20" s="1"/>
  <c r="K10" i="20"/>
  <c r="K16" i="20" s="1"/>
  <c r="G10" i="20"/>
  <c r="G16" i="20" s="1"/>
  <c r="D10" i="20"/>
  <c r="F59" i="19"/>
  <c r="F53" i="19"/>
  <c r="F34" i="19"/>
  <c r="F31" i="19"/>
  <c r="I31" i="19" s="1"/>
  <c r="I33" i="19" s="1"/>
  <c r="F23" i="19"/>
  <c r="I23" i="19" s="1"/>
  <c r="F21" i="19"/>
  <c r="I21" i="19" s="1"/>
  <c r="I27" i="19" s="1"/>
  <c r="F18" i="19"/>
  <c r="S45" i="20" l="1"/>
  <c r="J29" i="22"/>
  <c r="J67" i="22" s="1"/>
  <c r="J68" i="22" s="1"/>
  <c r="K45" i="20"/>
  <c r="K58" i="20" s="1"/>
  <c r="K59" i="20" s="1"/>
  <c r="N67" i="22"/>
  <c r="N68" i="22" s="1"/>
  <c r="AK48" i="20"/>
  <c r="AM48" i="20" s="1"/>
  <c r="R54" i="23"/>
  <c r="R55" i="23" s="1"/>
  <c r="P55" i="23"/>
  <c r="AK30" i="20"/>
  <c r="AM30" i="20" s="1"/>
  <c r="AK10" i="20"/>
  <c r="AK16" i="20" s="1"/>
  <c r="AK22" i="20"/>
  <c r="AM22" i="20" s="1"/>
  <c r="I34" i="19"/>
  <c r="I50" i="19" s="1"/>
  <c r="F50" i="19"/>
  <c r="AK54" i="20"/>
  <c r="AK34" i="20"/>
  <c r="C68" i="21"/>
  <c r="S51" i="20"/>
  <c r="O51" i="20"/>
  <c r="O49" i="20" s="1"/>
  <c r="O57" i="20" s="1"/>
  <c r="O58" i="20" s="1"/>
  <c r="O59" i="20" s="1"/>
  <c r="D20" i="22"/>
  <c r="T15" i="22"/>
  <c r="V15" i="22" s="1"/>
  <c r="T17" i="22"/>
  <c r="V26" i="22"/>
  <c r="J56" i="23"/>
  <c r="J65" i="23" s="1"/>
  <c r="J66" i="23" s="1"/>
  <c r="D53" i="22"/>
  <c r="T62" i="22"/>
  <c r="T30" i="22"/>
  <c r="T53" i="22" s="1"/>
  <c r="T21" i="22"/>
  <c r="T29" i="22" s="1"/>
  <c r="D26" i="12"/>
  <c r="P14" i="21"/>
  <c r="R14" i="21" s="1"/>
  <c r="P40" i="21"/>
  <c r="R59" i="21"/>
  <c r="R68" i="21" s="1"/>
  <c r="P44" i="21"/>
  <c r="R44" i="21" s="1"/>
  <c r="P64" i="21"/>
  <c r="R64" i="21" s="1"/>
  <c r="P18" i="23"/>
  <c r="P23" i="23"/>
  <c r="R23" i="23" s="1"/>
  <c r="P61" i="23"/>
  <c r="R61" i="23" s="1"/>
  <c r="P27" i="23"/>
  <c r="P52" i="23" s="1"/>
  <c r="P35" i="23"/>
  <c r="P7" i="23"/>
  <c r="C17" i="23"/>
  <c r="P9" i="23"/>
  <c r="D29" i="22"/>
  <c r="D45" i="20"/>
  <c r="F33" i="19"/>
  <c r="C26" i="23"/>
  <c r="C52" i="23"/>
  <c r="C22" i="21"/>
  <c r="P22" i="21" s="1"/>
  <c r="R22" i="21" s="1"/>
  <c r="C55" i="21"/>
  <c r="C31" i="21"/>
  <c r="P31" i="21" s="1"/>
  <c r="R31" i="21" s="1"/>
  <c r="D16" i="20"/>
  <c r="D57" i="20"/>
  <c r="F14" i="19"/>
  <c r="F27" i="19"/>
  <c r="P55" i="21" l="1"/>
  <c r="P69" i="21" s="1"/>
  <c r="T20" i="22"/>
  <c r="AM34" i="20"/>
  <c r="AM45" i="20" s="1"/>
  <c r="AK45" i="20"/>
  <c r="R7" i="23"/>
  <c r="P17" i="23"/>
  <c r="P26" i="23"/>
  <c r="AM54" i="20"/>
  <c r="R40" i="21"/>
  <c r="R55" i="21" s="1"/>
  <c r="R69" i="21" s="1"/>
  <c r="AM10" i="20"/>
  <c r="AM16" i="20" s="1"/>
  <c r="V21" i="22"/>
  <c r="V29" i="22" s="1"/>
  <c r="V30" i="22"/>
  <c r="V53" i="22" s="1"/>
  <c r="S8" i="15"/>
  <c r="V62" i="22"/>
  <c r="R18" i="23"/>
  <c r="R26" i="23" s="1"/>
  <c r="R9" i="23"/>
  <c r="V17" i="22"/>
  <c r="V20" i="22" s="1"/>
  <c r="R27" i="23"/>
  <c r="R52" i="23" s="1"/>
  <c r="G51" i="20"/>
  <c r="S49" i="20"/>
  <c r="S57" i="20" s="1"/>
  <c r="S58" i="20" s="1"/>
  <c r="S59" i="20" s="1"/>
  <c r="C58" i="23"/>
  <c r="C56" i="23" s="1"/>
  <c r="D59" i="22"/>
  <c r="T59" i="22" s="1"/>
  <c r="V59" i="22" s="1"/>
  <c r="F56" i="19"/>
  <c r="F54" i="19" s="1"/>
  <c r="F19" i="19"/>
  <c r="C69" i="21"/>
  <c r="D58" i="20"/>
  <c r="R17" i="23" l="1"/>
  <c r="P56" i="21"/>
  <c r="AM9" i="12"/>
  <c r="AK51" i="20"/>
  <c r="AM51" i="20" s="1"/>
  <c r="N16" i="32"/>
  <c r="O16" i="32" s="1"/>
  <c r="G49" i="20"/>
  <c r="D59" i="20"/>
  <c r="I56" i="19"/>
  <c r="D57" i="22"/>
  <c r="T57" i="22" s="1"/>
  <c r="T66" i="22" s="1"/>
  <c r="T67" i="22" s="1"/>
  <c r="T68" i="22" s="1"/>
  <c r="P58" i="23"/>
  <c r="R58" i="23" s="1"/>
  <c r="C65" i="23"/>
  <c r="C66" i="23" s="1"/>
  <c r="P56" i="23"/>
  <c r="P65" i="23" s="1"/>
  <c r="P66" i="23" s="1"/>
  <c r="M36" i="7"/>
  <c r="D36" i="7" s="1"/>
  <c r="AK49" i="20" l="1"/>
  <c r="G57" i="20"/>
  <c r="G58" i="20" s="1"/>
  <c r="G59" i="20" s="1"/>
  <c r="D66" i="22"/>
  <c r="P57" i="21"/>
  <c r="R56" i="21"/>
  <c r="V57" i="22"/>
  <c r="V66" i="22" s="1"/>
  <c r="V67" i="22" s="1"/>
  <c r="V68" i="22" s="1"/>
  <c r="R56" i="23"/>
  <c r="R65" i="23" s="1"/>
  <c r="R66" i="23" s="1"/>
  <c r="F66" i="19"/>
  <c r="I54" i="19"/>
  <c r="I66" i="19" s="1"/>
  <c r="I67" i="19" s="1"/>
  <c r="I68" i="19" s="1"/>
  <c r="D67" i="22"/>
  <c r="AZ20" i="12"/>
  <c r="T17" i="12"/>
  <c r="T16" i="12"/>
  <c r="E33" i="10"/>
  <c r="F18" i="9"/>
  <c r="F12" i="8"/>
  <c r="F8" i="8"/>
  <c r="D44" i="7"/>
  <c r="V44" i="7"/>
  <c r="W44" i="7"/>
  <c r="U44" i="7"/>
  <c r="X51" i="7"/>
  <c r="Y51" i="7" s="1"/>
  <c r="X52" i="7"/>
  <c r="Y52" i="7" s="1"/>
  <c r="X53" i="7"/>
  <c r="Y53" i="7" s="1"/>
  <c r="X54" i="7"/>
  <c r="Y54" i="7" s="1"/>
  <c r="AM49" i="20" l="1"/>
  <c r="AM57" i="20" s="1"/>
  <c r="AM58" i="20" s="1"/>
  <c r="AM59" i="20" s="1"/>
  <c r="AK57" i="20"/>
  <c r="AK58" i="20" s="1"/>
  <c r="AK59" i="20" s="1"/>
  <c r="Q8" i="15"/>
  <c r="AK9" i="12" s="1"/>
  <c r="P58" i="21"/>
  <c r="R58" i="21" s="1"/>
  <c r="R57" i="21"/>
  <c r="F43" i="9"/>
  <c r="F26" i="8"/>
  <c r="F67" i="19"/>
  <c r="D68" i="22"/>
  <c r="X60" i="7"/>
  <c r="V58" i="7"/>
  <c r="X57" i="7"/>
  <c r="X56" i="7"/>
  <c r="X50" i="7"/>
  <c r="X49" i="7"/>
  <c r="X48" i="7"/>
  <c r="X47" i="7"/>
  <c r="X46" i="7"/>
  <c r="X45" i="7"/>
  <c r="X42" i="7"/>
  <c r="X43" i="7"/>
  <c r="X41" i="7"/>
  <c r="X35" i="7"/>
  <c r="X34" i="7"/>
  <c r="X33" i="7"/>
  <c r="V32" i="7"/>
  <c r="V55" i="7" s="1"/>
  <c r="V61" i="7" s="1"/>
  <c r="V28" i="7"/>
  <c r="X27" i="7"/>
  <c r="X26" i="7"/>
  <c r="X25" i="7"/>
  <c r="X24" i="7"/>
  <c r="V23" i="7"/>
  <c r="U23" i="7"/>
  <c r="S23" i="7"/>
  <c r="P23" i="7"/>
  <c r="S28" i="7"/>
  <c r="P28" i="7"/>
  <c r="Z39" i="7"/>
  <c r="H64" i="7"/>
  <c r="G14" i="7"/>
  <c r="H14" i="7"/>
  <c r="I14" i="7"/>
  <c r="J14" i="7"/>
  <c r="K14" i="7"/>
  <c r="V31" i="7" l="1"/>
  <c r="N12" i="32"/>
  <c r="O12" i="32" s="1"/>
  <c r="F68" i="19"/>
  <c r="AZ13" i="12"/>
  <c r="X44" i="7"/>
  <c r="V59" i="7"/>
  <c r="V68" i="7" s="1"/>
  <c r="D61" i="7"/>
  <c r="X61" i="7"/>
  <c r="X58" i="7"/>
  <c r="X32" i="7"/>
  <c r="X23" i="7"/>
  <c r="X20" i="7"/>
  <c r="X19" i="7"/>
  <c r="X18" i="7"/>
  <c r="X17" i="7"/>
  <c r="X16" i="7"/>
  <c r="X15" i="7"/>
  <c r="V14" i="7"/>
  <c r="X10" i="7"/>
  <c r="X11" i="7"/>
  <c r="X12" i="7"/>
  <c r="X13" i="7"/>
  <c r="X9" i="7"/>
  <c r="V8" i="7"/>
  <c r="Z9" i="7"/>
  <c r="C58" i="7"/>
  <c r="C8" i="7"/>
  <c r="C64" i="7"/>
  <c r="Z63" i="7"/>
  <c r="Z62" i="7"/>
  <c r="Z66" i="7"/>
  <c r="Z67" i="7"/>
  <c r="Z65" i="7"/>
  <c r="Z57" i="7"/>
  <c r="Z50" i="7"/>
  <c r="Z49" i="7"/>
  <c r="Z48" i="7"/>
  <c r="Z47" i="7"/>
  <c r="Z45" i="7"/>
  <c r="Z43" i="7"/>
  <c r="Z42" i="7"/>
  <c r="Z41" i="7"/>
  <c r="Z38" i="7"/>
  <c r="Z37" i="7"/>
  <c r="Z35" i="7"/>
  <c r="Z34" i="7"/>
  <c r="Z33" i="7"/>
  <c r="Z25" i="7"/>
  <c r="Z26" i="7"/>
  <c r="Z27" i="7"/>
  <c r="Z24" i="7"/>
  <c r="Z16" i="7"/>
  <c r="Z17" i="7"/>
  <c r="Z18" i="7"/>
  <c r="Z19" i="7"/>
  <c r="Z20" i="7"/>
  <c r="Z21" i="7"/>
  <c r="Z15" i="7"/>
  <c r="Z10" i="7"/>
  <c r="Z11" i="7"/>
  <c r="Z12" i="7"/>
  <c r="Z13" i="7"/>
  <c r="C59" i="7"/>
  <c r="C44" i="7"/>
  <c r="C40" i="7"/>
  <c r="C32" i="7"/>
  <c r="C28" i="7"/>
  <c r="C23" i="7"/>
  <c r="C14" i="7"/>
  <c r="Q12" i="15" l="1"/>
  <c r="N20" i="32"/>
  <c r="O20" i="32" s="1"/>
  <c r="X55" i="7"/>
  <c r="N24" i="32"/>
  <c r="O24" i="32" s="1"/>
  <c r="Q10" i="15"/>
  <c r="AK11" i="12" s="1"/>
  <c r="C31" i="7"/>
  <c r="C68" i="7"/>
  <c r="X59" i="7"/>
  <c r="X68" i="7" s="1"/>
  <c r="V22" i="7"/>
  <c r="V69" i="7" s="1"/>
  <c r="X14" i="7"/>
  <c r="C55" i="7"/>
  <c r="C22" i="7"/>
  <c r="Z46" i="7"/>
  <c r="Z60" i="7"/>
  <c r="Z36" i="7"/>
  <c r="Z56" i="7"/>
  <c r="D8" i="7"/>
  <c r="X8" i="7"/>
  <c r="X22" i="7" s="1"/>
  <c r="O52" i="32" l="1"/>
  <c r="AK13" i="12"/>
  <c r="BB13" i="12" s="1"/>
  <c r="C69" i="7"/>
  <c r="BA11" i="12"/>
  <c r="Z8" i="7"/>
  <c r="S10" i="15" l="1"/>
  <c r="S17" i="15" s="1"/>
  <c r="C20" i="26"/>
  <c r="D20" i="26" s="1"/>
  <c r="E20" i="26" s="1"/>
  <c r="F20" i="26" s="1"/>
  <c r="G20" i="26" s="1"/>
  <c r="H20" i="26" s="1"/>
  <c r="I20" i="26" s="1"/>
  <c r="J20" i="26" s="1"/>
  <c r="K20" i="26" s="1"/>
  <c r="L20" i="26" s="1"/>
  <c r="M20" i="26" s="1"/>
  <c r="BA13" i="12"/>
  <c r="E69" i="16"/>
  <c r="E23" i="16"/>
  <c r="E24" i="16" s="1"/>
  <c r="E117" i="16"/>
  <c r="F115" i="16"/>
  <c r="J115" i="16" s="1"/>
  <c r="E32" i="16"/>
  <c r="E41" i="16"/>
  <c r="E43" i="16"/>
  <c r="E47" i="16"/>
  <c r="E51" i="16"/>
  <c r="E56" i="16"/>
  <c r="E60" i="16"/>
  <c r="E74" i="16"/>
  <c r="E87" i="16"/>
  <c r="E101" i="16" s="1"/>
  <c r="L11" i="11" s="1"/>
  <c r="E106" i="16"/>
  <c r="E27" i="16"/>
  <c r="Z116" i="16"/>
  <c r="G115" i="16" l="1"/>
  <c r="G113" i="16" s="1"/>
  <c r="G117" i="16" s="1"/>
  <c r="G118" i="16" s="1"/>
  <c r="AC116" i="16"/>
  <c r="AD116" i="16" s="1"/>
  <c r="AM11" i="12"/>
  <c r="N20" i="26"/>
  <c r="L18" i="11"/>
  <c r="L19" i="11" s="1"/>
  <c r="E46" i="16"/>
  <c r="Z114" i="16"/>
  <c r="AC114" i="16" s="1"/>
  <c r="Q114" i="16"/>
  <c r="E26" i="16"/>
  <c r="E40" i="16"/>
  <c r="E66" i="16"/>
  <c r="AM18" i="12" l="1"/>
  <c r="E70" i="16"/>
  <c r="E80" i="16" s="1"/>
  <c r="E81" i="16" s="1"/>
  <c r="R114" i="16"/>
  <c r="AD114" i="16" l="1"/>
  <c r="E107" i="16"/>
  <c r="E118" i="16" s="1"/>
  <c r="L9" i="11"/>
  <c r="N9" i="11" s="1"/>
  <c r="F106" i="16" l="1"/>
  <c r="U100" i="16"/>
  <c r="U101" i="16" s="1"/>
  <c r="U107" i="16" s="1"/>
  <c r="F74" i="16"/>
  <c r="Z69" i="16"/>
  <c r="F60" i="16"/>
  <c r="Z60" i="16" s="1"/>
  <c r="F56" i="16"/>
  <c r="Z56" i="16" s="1"/>
  <c r="F51" i="16"/>
  <c r="F47" i="16"/>
  <c r="F43" i="16"/>
  <c r="Z43" i="16" s="1"/>
  <c r="F41" i="16"/>
  <c r="F32" i="16"/>
  <c r="Z32" i="16" s="1"/>
  <c r="F27" i="16"/>
  <c r="F20" i="16"/>
  <c r="AC43" i="16" l="1"/>
  <c r="AD43" i="16" s="1"/>
  <c r="AC60" i="16"/>
  <c r="AC69" i="16"/>
  <c r="AD69" i="16" s="1"/>
  <c r="AC56" i="16"/>
  <c r="AD56" i="16" s="1"/>
  <c r="AC32" i="16"/>
  <c r="AD32" i="16" s="1"/>
  <c r="Z51" i="16"/>
  <c r="F66" i="16"/>
  <c r="Z66" i="16" s="1"/>
  <c r="Z41" i="16"/>
  <c r="F46" i="16"/>
  <c r="Z20" i="16"/>
  <c r="F24" i="16"/>
  <c r="F26" i="16" s="1"/>
  <c r="Z26" i="16" s="1"/>
  <c r="Z74" i="16"/>
  <c r="F80" i="16"/>
  <c r="Z80" i="16" s="1"/>
  <c r="Z27" i="16"/>
  <c r="Z40" i="16" s="1"/>
  <c r="F40" i="16"/>
  <c r="Z47" i="16"/>
  <c r="F100" i="16"/>
  <c r="K100" i="16"/>
  <c r="K101" i="16" s="1"/>
  <c r="K107" i="16" s="1"/>
  <c r="AC80" i="16" l="1"/>
  <c r="AD80" i="16" s="1"/>
  <c r="AC20" i="16"/>
  <c r="AD20" i="16" s="1"/>
  <c r="AC51" i="16"/>
  <c r="AD51" i="16" s="1"/>
  <c r="AD60" i="16"/>
  <c r="AC47" i="16"/>
  <c r="AC66" i="16" s="1"/>
  <c r="Z46" i="16"/>
  <c r="Z81" i="16" s="1"/>
  <c r="AC41" i="16"/>
  <c r="AC46" i="16" s="1"/>
  <c r="AC74" i="16"/>
  <c r="AD74" i="16" s="1"/>
  <c r="AC27" i="16"/>
  <c r="F81" i="16"/>
  <c r="Z100" i="16"/>
  <c r="Z24" i="16"/>
  <c r="F101" i="16"/>
  <c r="AD47" i="16" l="1"/>
  <c r="AC24" i="16"/>
  <c r="AC100" i="16"/>
  <c r="AC101" i="16" s="1"/>
  <c r="M11" i="11" s="1"/>
  <c r="Z101" i="16"/>
  <c r="Z107" i="16" s="1"/>
  <c r="AD66" i="16"/>
  <c r="AD41" i="16"/>
  <c r="AD27" i="16"/>
  <c r="AC40" i="16"/>
  <c r="AC81" i="16" s="1"/>
  <c r="M10" i="11" s="1"/>
  <c r="W10" i="11" s="1"/>
  <c r="AS11" i="12" s="1"/>
  <c r="BC11" i="12" s="1"/>
  <c r="U22" i="12"/>
  <c r="L8" i="11"/>
  <c r="F107" i="16"/>
  <c r="AD100" i="16" l="1"/>
  <c r="AD101" i="16" s="1"/>
  <c r="AD46" i="16"/>
  <c r="W11" i="11"/>
  <c r="AS15" i="12" s="1"/>
  <c r="BC15" i="12" s="1"/>
  <c r="N11" i="11"/>
  <c r="AD40" i="16"/>
  <c r="AC26" i="16"/>
  <c r="AC107" i="16" s="1"/>
  <c r="M8" i="11"/>
  <c r="AD24" i="16"/>
  <c r="F113" i="16"/>
  <c r="N8" i="11" l="1"/>
  <c r="M13" i="11"/>
  <c r="AD26" i="16"/>
  <c r="W8" i="11"/>
  <c r="W13" i="11" s="1"/>
  <c r="AD81" i="16"/>
  <c r="F117" i="16"/>
  <c r="F118" i="16" s="1"/>
  <c r="AD107" i="16" l="1"/>
  <c r="AS9" i="12"/>
  <c r="AS18" i="12" s="1"/>
  <c r="AS27" i="12" s="1"/>
  <c r="AJ24" i="12"/>
  <c r="BA22" i="12"/>
  <c r="BA24" i="12" s="1"/>
  <c r="BA26" i="12" s="1"/>
  <c r="BA9" i="12"/>
  <c r="L10" i="11"/>
  <c r="N10" i="11" l="1"/>
  <c r="N13" i="11" s="1"/>
  <c r="L13" i="11"/>
  <c r="L20" i="11" s="1"/>
  <c r="BC9" i="12"/>
  <c r="AJ26" i="12"/>
  <c r="C10" i="26" l="1"/>
  <c r="D10" i="26" s="1"/>
  <c r="E17" i="14"/>
  <c r="E11" i="14"/>
  <c r="E7" i="14"/>
  <c r="V17" i="11"/>
  <c r="L19" i="12" s="1"/>
  <c r="L20" i="12" s="1"/>
  <c r="V16" i="11"/>
  <c r="V14" i="11"/>
  <c r="AR16" i="12"/>
  <c r="E7" i="10"/>
  <c r="E44" i="10" s="1"/>
  <c r="T67" i="7"/>
  <c r="O67" i="7"/>
  <c r="L67" i="7"/>
  <c r="T66" i="7"/>
  <c r="O66" i="7"/>
  <c r="L66" i="7"/>
  <c r="T65" i="7"/>
  <c r="O65" i="7"/>
  <c r="L65" i="7"/>
  <c r="D64" i="7"/>
  <c r="U64" i="7"/>
  <c r="S64" i="7"/>
  <c r="R64" i="7"/>
  <c r="R68" i="7" s="1"/>
  <c r="Q64" i="7"/>
  <c r="P64" i="7"/>
  <c r="N64" i="7"/>
  <c r="M64" i="7"/>
  <c r="K64" i="7"/>
  <c r="J64" i="7"/>
  <c r="I64" i="7"/>
  <c r="G64" i="7"/>
  <c r="F64" i="7"/>
  <c r="E64" i="7"/>
  <c r="T63" i="7"/>
  <c r="O63" i="7"/>
  <c r="L63" i="7"/>
  <c r="T62" i="7"/>
  <c r="O62" i="7"/>
  <c r="L62" i="7"/>
  <c r="O61" i="7"/>
  <c r="T60" i="7"/>
  <c r="L60" i="7"/>
  <c r="S59" i="7"/>
  <c r="Q59" i="7"/>
  <c r="N59" i="7"/>
  <c r="K59" i="7"/>
  <c r="J59" i="7"/>
  <c r="I59" i="7"/>
  <c r="G59" i="7"/>
  <c r="F59" i="7"/>
  <c r="E59" i="7"/>
  <c r="U58" i="7"/>
  <c r="S58" i="7"/>
  <c r="R58" i="7"/>
  <c r="Q58" i="7"/>
  <c r="P58" i="7"/>
  <c r="N58" i="7"/>
  <c r="M58" i="7"/>
  <c r="K58" i="7"/>
  <c r="J58" i="7"/>
  <c r="I58" i="7"/>
  <c r="G58" i="7"/>
  <c r="F58" i="7"/>
  <c r="E58" i="7"/>
  <c r="T57" i="7"/>
  <c r="O57" i="7"/>
  <c r="L57" i="7"/>
  <c r="T56" i="7"/>
  <c r="O56" i="7"/>
  <c r="L56" i="7"/>
  <c r="D58" i="7"/>
  <c r="T50" i="7"/>
  <c r="O50" i="7"/>
  <c r="T49" i="7"/>
  <c r="O49" i="7"/>
  <c r="T48" i="7"/>
  <c r="O48" i="7"/>
  <c r="T47" i="7"/>
  <c r="O47" i="7"/>
  <c r="E44" i="7"/>
  <c r="T46" i="7"/>
  <c r="O46" i="7"/>
  <c r="T45" i="7"/>
  <c r="O45" i="7"/>
  <c r="Z44" i="7"/>
  <c r="S44" i="7"/>
  <c r="R44" i="7"/>
  <c r="Q44" i="7"/>
  <c r="P44" i="7"/>
  <c r="M44" i="7"/>
  <c r="O44" i="7" s="1"/>
  <c r="I44" i="7"/>
  <c r="H44" i="7"/>
  <c r="G44" i="7"/>
  <c r="F44" i="7"/>
  <c r="T43" i="7"/>
  <c r="O43" i="7"/>
  <c r="L43" i="7"/>
  <c r="T42" i="7"/>
  <c r="O42" i="7"/>
  <c r="L42" i="7"/>
  <c r="T41" i="7"/>
  <c r="O41" i="7"/>
  <c r="L41" i="7"/>
  <c r="U40" i="7"/>
  <c r="S40" i="7"/>
  <c r="R40" i="7"/>
  <c r="Q40" i="7"/>
  <c r="P40" i="7"/>
  <c r="N40" i="7"/>
  <c r="N55" i="7" s="1"/>
  <c r="M40" i="7"/>
  <c r="K40" i="7"/>
  <c r="J40" i="7"/>
  <c r="I40" i="7"/>
  <c r="H40" i="7"/>
  <c r="G40" i="7"/>
  <c r="F40" i="7"/>
  <c r="E40" i="7"/>
  <c r="T38" i="7"/>
  <c r="O38" i="7"/>
  <c r="L38" i="7"/>
  <c r="T37" i="7"/>
  <c r="O37" i="7"/>
  <c r="L37" i="7"/>
  <c r="T36" i="7"/>
  <c r="O36" i="7"/>
  <c r="L36" i="7"/>
  <c r="T35" i="7"/>
  <c r="O35" i="7"/>
  <c r="L35" i="7"/>
  <c r="T34" i="7"/>
  <c r="O34" i="7"/>
  <c r="L34" i="7"/>
  <c r="T33" i="7"/>
  <c r="O33" i="7"/>
  <c r="L33" i="7"/>
  <c r="D32" i="7"/>
  <c r="U32" i="7"/>
  <c r="S32" i="7"/>
  <c r="R32" i="7"/>
  <c r="Q32" i="7"/>
  <c r="P32" i="7"/>
  <c r="O32" i="7"/>
  <c r="K32" i="7"/>
  <c r="J32" i="7"/>
  <c r="J55" i="7" s="1"/>
  <c r="I32" i="7"/>
  <c r="H32" i="7"/>
  <c r="G32" i="7"/>
  <c r="F32" i="7"/>
  <c r="E32" i="7"/>
  <c r="S31" i="7"/>
  <c r="P31" i="7"/>
  <c r="N31" i="7"/>
  <c r="K31" i="7"/>
  <c r="J31" i="7"/>
  <c r="I31" i="7"/>
  <c r="G31" i="7"/>
  <c r="F31" i="7"/>
  <c r="T30" i="7"/>
  <c r="O30" i="7"/>
  <c r="L30" i="7"/>
  <c r="T29" i="7"/>
  <c r="O29" i="7"/>
  <c r="L29" i="7"/>
  <c r="R28" i="7"/>
  <c r="Q28" i="7"/>
  <c r="M28" i="7"/>
  <c r="O28" i="7" s="1"/>
  <c r="L28" i="7"/>
  <c r="E28" i="7"/>
  <c r="T27" i="7"/>
  <c r="O27" i="7"/>
  <c r="L27" i="7"/>
  <c r="T26" i="7"/>
  <c r="O26" i="7"/>
  <c r="L26" i="7"/>
  <c r="T25" i="7"/>
  <c r="O25" i="7"/>
  <c r="L25" i="7"/>
  <c r="T24" i="7"/>
  <c r="O24" i="7"/>
  <c r="L24" i="7"/>
  <c r="D23" i="7"/>
  <c r="R23" i="7"/>
  <c r="Q23" i="7"/>
  <c r="M23" i="7"/>
  <c r="L23" i="7"/>
  <c r="E23" i="7"/>
  <c r="T21" i="7"/>
  <c r="O21" i="7"/>
  <c r="L21" i="7"/>
  <c r="T20" i="7"/>
  <c r="O20" i="7"/>
  <c r="L20" i="7"/>
  <c r="T19" i="7"/>
  <c r="O19" i="7"/>
  <c r="L19" i="7"/>
  <c r="T18" i="7"/>
  <c r="O18" i="7"/>
  <c r="L18" i="7"/>
  <c r="T17" i="7"/>
  <c r="O17" i="7"/>
  <c r="L17" i="7"/>
  <c r="T16" i="7"/>
  <c r="O16" i="7"/>
  <c r="L16" i="7"/>
  <c r="T15" i="7"/>
  <c r="O15" i="7"/>
  <c r="L15" i="7"/>
  <c r="U14" i="7"/>
  <c r="R14" i="7"/>
  <c r="Q14" i="7"/>
  <c r="P14" i="7"/>
  <c r="M14" i="7"/>
  <c r="O14" i="7" s="1"/>
  <c r="F14" i="7"/>
  <c r="E14" i="7"/>
  <c r="T13" i="7"/>
  <c r="O13" i="7"/>
  <c r="L13" i="7"/>
  <c r="T12" i="7"/>
  <c r="O12" i="7"/>
  <c r="L12" i="7"/>
  <c r="T11" i="7"/>
  <c r="O11" i="7"/>
  <c r="L11" i="7"/>
  <c r="T10" i="7"/>
  <c r="O10" i="7"/>
  <c r="L10" i="7"/>
  <c r="T9" i="7"/>
  <c r="O9" i="7"/>
  <c r="L9" i="7"/>
  <c r="U8" i="7"/>
  <c r="S8" i="7"/>
  <c r="S22" i="7" s="1"/>
  <c r="R8" i="7"/>
  <c r="Q8" i="7"/>
  <c r="P8" i="7"/>
  <c r="N8" i="7"/>
  <c r="N22" i="7" s="1"/>
  <c r="M8" i="7"/>
  <c r="M22" i="7" s="1"/>
  <c r="K8" i="7"/>
  <c r="K22" i="7" s="1"/>
  <c r="J8" i="7"/>
  <c r="I8" i="7"/>
  <c r="I22" i="7" s="1"/>
  <c r="H8" i="7"/>
  <c r="H22" i="7" s="1"/>
  <c r="G8" i="7"/>
  <c r="G22" i="7" s="1"/>
  <c r="F8" i="7"/>
  <c r="E8" i="7"/>
  <c r="E20" i="6"/>
  <c r="D20" i="6"/>
  <c r="C20" i="6"/>
  <c r="F19" i="6"/>
  <c r="F18" i="6"/>
  <c r="F17" i="6"/>
  <c r="E16" i="6"/>
  <c r="D16" i="6"/>
  <c r="C16" i="6"/>
  <c r="F15" i="6"/>
  <c r="F14" i="6"/>
  <c r="F13" i="6"/>
  <c r="F12" i="6"/>
  <c r="F11" i="6"/>
  <c r="F10" i="6"/>
  <c r="F9" i="6"/>
  <c r="F8" i="6"/>
  <c r="G57" i="4"/>
  <c r="J57" i="4" s="1"/>
  <c r="G53" i="4"/>
  <c r="G43" i="4"/>
  <c r="J43" i="4" s="1"/>
  <c r="L43" i="4" s="1"/>
  <c r="G35" i="4"/>
  <c r="J35" i="4" s="1"/>
  <c r="L35" i="4" s="1"/>
  <c r="G15" i="4"/>
  <c r="O88" i="2"/>
  <c r="O85" i="2"/>
  <c r="P85" i="2" s="1"/>
  <c r="H85" i="2" s="1"/>
  <c r="Y9" i="7" l="1"/>
  <c r="Y13" i="7"/>
  <c r="Y17" i="7"/>
  <c r="Y21" i="7"/>
  <c r="Y25" i="7"/>
  <c r="Y35" i="7"/>
  <c r="Y43" i="7"/>
  <c r="Y48" i="7"/>
  <c r="Y50" i="7"/>
  <c r="L57" i="4"/>
  <c r="G38" i="4"/>
  <c r="V19" i="12"/>
  <c r="V20" i="12" s="1"/>
  <c r="E9" i="15"/>
  <c r="E10" i="12" s="1"/>
  <c r="V10" i="12" s="1"/>
  <c r="K85" i="2"/>
  <c r="J85" i="2"/>
  <c r="G88" i="2"/>
  <c r="G85" i="2"/>
  <c r="T19" i="12"/>
  <c r="T20" i="12" s="1"/>
  <c r="P88" i="2"/>
  <c r="Y47" i="7"/>
  <c r="Y49" i="7"/>
  <c r="E16" i="14"/>
  <c r="E21" i="14" s="1"/>
  <c r="Y67" i="7"/>
  <c r="Y12" i="7"/>
  <c r="Y16" i="7"/>
  <c r="Y24" i="7"/>
  <c r="Y34" i="7"/>
  <c r="Y38" i="7"/>
  <c r="Y42" i="7"/>
  <c r="Y45" i="7"/>
  <c r="Y63" i="7"/>
  <c r="Y66" i="7"/>
  <c r="Z32" i="7"/>
  <c r="E15" i="11"/>
  <c r="P112" i="2"/>
  <c r="G61" i="4"/>
  <c r="D21" i="6"/>
  <c r="E22" i="7"/>
  <c r="Y11" i="7"/>
  <c r="Y15" i="7"/>
  <c r="Y19" i="7"/>
  <c r="Q31" i="7"/>
  <c r="Y27" i="7"/>
  <c r="Y33" i="7"/>
  <c r="Y37" i="7"/>
  <c r="Y41" i="7"/>
  <c r="Y57" i="7"/>
  <c r="Y62" i="7"/>
  <c r="Y65" i="7"/>
  <c r="P113" i="2"/>
  <c r="H113" i="2" s="1"/>
  <c r="J113" i="2" s="1"/>
  <c r="Y10" i="7"/>
  <c r="Y18" i="7"/>
  <c r="Y20" i="7"/>
  <c r="R31" i="7"/>
  <c r="T31" i="7" s="1"/>
  <c r="Y26" i="7"/>
  <c r="Y36" i="7"/>
  <c r="Y46" i="7"/>
  <c r="Y56" i="7"/>
  <c r="E10" i="26"/>
  <c r="E9" i="11"/>
  <c r="V9" i="11" s="1"/>
  <c r="Z58" i="7"/>
  <c r="Z64" i="7"/>
  <c r="Z23" i="7"/>
  <c r="F68" i="7"/>
  <c r="G55" i="7"/>
  <c r="T8" i="7"/>
  <c r="L58" i="7"/>
  <c r="I55" i="7"/>
  <c r="Q22" i="7"/>
  <c r="R22" i="7"/>
  <c r="G68" i="7"/>
  <c r="O8" i="7"/>
  <c r="T14" i="7"/>
  <c r="E55" i="7"/>
  <c r="I68" i="7"/>
  <c r="E31" i="7"/>
  <c r="H55" i="7"/>
  <c r="L61" i="7" s="1"/>
  <c r="K55" i="7"/>
  <c r="S55" i="7"/>
  <c r="U55" i="7"/>
  <c r="T58" i="7"/>
  <c r="E68" i="7"/>
  <c r="J68" i="7"/>
  <c r="Q68" i="7"/>
  <c r="F22" i="7"/>
  <c r="T23" i="7"/>
  <c r="T32" i="7"/>
  <c r="L40" i="7"/>
  <c r="Q55" i="7"/>
  <c r="P55" i="7"/>
  <c r="O64" i="7"/>
  <c r="O22" i="7"/>
  <c r="J22" i="7"/>
  <c r="M31" i="7"/>
  <c r="O31" i="7" s="1"/>
  <c r="L44" i="7"/>
  <c r="O58" i="7"/>
  <c r="K68" i="7"/>
  <c r="N68" i="7"/>
  <c r="N69" i="7" s="1"/>
  <c r="S68" i="7"/>
  <c r="F20" i="6"/>
  <c r="E21" i="6"/>
  <c r="C21" i="6"/>
  <c r="F16" i="6"/>
  <c r="C26" i="12"/>
  <c r="D14" i="7"/>
  <c r="U22" i="7"/>
  <c r="O23" i="7"/>
  <c r="L32" i="7"/>
  <c r="F55" i="7"/>
  <c r="T28" i="7"/>
  <c r="T44" i="7"/>
  <c r="L14" i="7"/>
  <c r="L64" i="7"/>
  <c r="P22" i="7"/>
  <c r="O40" i="7"/>
  <c r="M55" i="7"/>
  <c r="L8" i="7"/>
  <c r="L31" i="7"/>
  <c r="R55" i="7"/>
  <c r="T40" i="7"/>
  <c r="D40" i="7"/>
  <c r="T64" i="7"/>
  <c r="U85" i="2" l="1"/>
  <c r="V85" i="2" s="1"/>
  <c r="U88" i="2"/>
  <c r="V88" i="2" s="1"/>
  <c r="P117" i="2"/>
  <c r="P118" i="2" s="1"/>
  <c r="H112" i="2"/>
  <c r="J112" i="2" s="1"/>
  <c r="V15" i="11"/>
  <c r="G15" i="11"/>
  <c r="E9" i="29"/>
  <c r="F9" i="29" s="1"/>
  <c r="G9" i="29" s="1"/>
  <c r="E12" i="15"/>
  <c r="E13" i="12" s="1"/>
  <c r="V13" i="12" s="1"/>
  <c r="G52" i="4"/>
  <c r="E8" i="15" s="1"/>
  <c r="E9" i="12" s="1"/>
  <c r="J38" i="4"/>
  <c r="J52" i="4" s="1"/>
  <c r="Y32" i="7"/>
  <c r="Y23" i="7"/>
  <c r="G9" i="11"/>
  <c r="X9" i="11" s="1"/>
  <c r="H88" i="2"/>
  <c r="Y44" i="7"/>
  <c r="Y8" i="7"/>
  <c r="Y64" i="7"/>
  <c r="AZ10" i="12"/>
  <c r="E25" i="15"/>
  <c r="T15" i="12"/>
  <c r="Y58" i="7"/>
  <c r="T10" i="12"/>
  <c r="Z40" i="7"/>
  <c r="Y40" i="7"/>
  <c r="AZ16" i="12"/>
  <c r="Z14" i="7"/>
  <c r="Y14" i="7"/>
  <c r="F22" i="6"/>
  <c r="I69" i="7"/>
  <c r="D55" i="7"/>
  <c r="D22" i="7"/>
  <c r="S69" i="7"/>
  <c r="J69" i="7"/>
  <c r="G69" i="7"/>
  <c r="E69" i="7"/>
  <c r="H59" i="7"/>
  <c r="H68" i="7" s="1"/>
  <c r="H69" i="7" s="1"/>
  <c r="K69" i="7"/>
  <c r="L55" i="7"/>
  <c r="L22" i="7"/>
  <c r="R69" i="7"/>
  <c r="Q69" i="7"/>
  <c r="F21" i="6"/>
  <c r="F69" i="7"/>
  <c r="T55" i="7"/>
  <c r="O55" i="7"/>
  <c r="T22" i="7"/>
  <c r="L15" i="12" l="1"/>
  <c r="L18" i="12" s="1"/>
  <c r="J117" i="2"/>
  <c r="J118" i="2" s="1"/>
  <c r="H117" i="2"/>
  <c r="H118" i="2" s="1"/>
  <c r="N15" i="12"/>
  <c r="N18" i="12" s="1"/>
  <c r="V15" i="12"/>
  <c r="G8" i="15"/>
  <c r="E10" i="15"/>
  <c r="E17" i="15" s="1"/>
  <c r="G12" i="15"/>
  <c r="G13" i="12" s="1"/>
  <c r="X13" i="12" s="1"/>
  <c r="AT10" i="12"/>
  <c r="L38" i="4"/>
  <c r="L52" i="4" s="1"/>
  <c r="AR10" i="12"/>
  <c r="BB10" i="12" s="1"/>
  <c r="X15" i="11"/>
  <c r="V9" i="12"/>
  <c r="V11" i="12" s="1"/>
  <c r="K88" i="2"/>
  <c r="J88" i="2"/>
  <c r="T13" i="12"/>
  <c r="U13" i="12"/>
  <c r="U10" i="12"/>
  <c r="T9" i="12"/>
  <c r="T11" i="12" s="1"/>
  <c r="N10" i="26"/>
  <c r="N18" i="26"/>
  <c r="Z55" i="7"/>
  <c r="Y55" i="7"/>
  <c r="Z22" i="7"/>
  <c r="Y22" i="7"/>
  <c r="E11" i="11"/>
  <c r="V11" i="11" s="1"/>
  <c r="AR15" i="12" s="1"/>
  <c r="L68" i="7"/>
  <c r="L69" i="7"/>
  <c r="L59" i="7"/>
  <c r="E8" i="11"/>
  <c r="P59" i="7"/>
  <c r="T61" i="7"/>
  <c r="Y61" i="7" s="1"/>
  <c r="M59" i="7"/>
  <c r="O60" i="7"/>
  <c r="Y60" i="7" s="1"/>
  <c r="U59" i="7"/>
  <c r="G9" i="12" l="1"/>
  <c r="X9" i="12" s="1"/>
  <c r="X15" i="12"/>
  <c r="G8" i="11"/>
  <c r="X8" i="11" s="1"/>
  <c r="V8" i="11"/>
  <c r="E26" i="15"/>
  <c r="E11" i="12"/>
  <c r="V18" i="12" s="1"/>
  <c r="G11" i="11"/>
  <c r="X11" i="11" s="1"/>
  <c r="BD10" i="12"/>
  <c r="C8" i="26"/>
  <c r="D8" i="26" s="1"/>
  <c r="E8" i="26" s="1"/>
  <c r="F8" i="26" s="1"/>
  <c r="G8" i="26" s="1"/>
  <c r="H8" i="26" s="1"/>
  <c r="I8" i="26" s="1"/>
  <c r="J8" i="26" s="1"/>
  <c r="K8" i="26" s="1"/>
  <c r="L8" i="26" s="1"/>
  <c r="M8" i="26" s="1"/>
  <c r="N8" i="26" s="1"/>
  <c r="T18" i="12"/>
  <c r="D16" i="29"/>
  <c r="D17" i="29" s="1"/>
  <c r="D35" i="29" s="1"/>
  <c r="Z61" i="7"/>
  <c r="D59" i="7"/>
  <c r="U68" i="7"/>
  <c r="O59" i="7"/>
  <c r="M68" i="7"/>
  <c r="T59" i="7"/>
  <c r="P68" i="7"/>
  <c r="E18" i="12" l="1"/>
  <c r="E27" i="12" s="1"/>
  <c r="AT15" i="12"/>
  <c r="AT9" i="12"/>
  <c r="AZ9" i="12"/>
  <c r="AR9" i="12"/>
  <c r="U19" i="12"/>
  <c r="U9" i="12"/>
  <c r="U11" i="12" s="1"/>
  <c r="C18" i="12"/>
  <c r="C27" i="12" s="1"/>
  <c r="E16" i="29"/>
  <c r="Z59" i="7"/>
  <c r="Y59" i="7"/>
  <c r="D68" i="7"/>
  <c r="M69" i="7"/>
  <c r="O69" i="7" s="1"/>
  <c r="O68" i="7"/>
  <c r="T68" i="7"/>
  <c r="P69" i="7"/>
  <c r="T69" i="7" s="1"/>
  <c r="U20" i="12" l="1"/>
  <c r="U24" i="12" s="1"/>
  <c r="BD15" i="12"/>
  <c r="BD9" i="12"/>
  <c r="F16" i="29"/>
  <c r="F17" i="29" s="1"/>
  <c r="F35" i="29" s="1"/>
  <c r="G16" i="29"/>
  <c r="G17" i="29" s="1"/>
  <c r="G35" i="29" s="1"/>
  <c r="BB9" i="12"/>
  <c r="AK16" i="12"/>
  <c r="BA15" i="12"/>
  <c r="U15" i="12"/>
  <c r="D18" i="12"/>
  <c r="D27" i="12" s="1"/>
  <c r="H9" i="29"/>
  <c r="E17" i="29"/>
  <c r="H16" i="29"/>
  <c r="Z68" i="7"/>
  <c r="Y68" i="7"/>
  <c r="U18" i="12" l="1"/>
  <c r="BB16" i="12"/>
  <c r="BA16" i="12"/>
  <c r="K26" i="12"/>
  <c r="K27" i="12" s="1"/>
  <c r="E35" i="29"/>
  <c r="H35" i="29" s="1"/>
  <c r="H17" i="29"/>
  <c r="X30" i="7"/>
  <c r="Y30" i="7" s="1"/>
  <c r="X29" i="7"/>
  <c r="Y29" i="7" s="1"/>
  <c r="U28" i="7"/>
  <c r="U31" i="7" s="1"/>
  <c r="U69" i="7" s="1"/>
  <c r="U26" i="12" l="1"/>
  <c r="U27" i="12" s="1"/>
  <c r="X28" i="7"/>
  <c r="X31" i="7" s="1"/>
  <c r="X69" i="7" s="1"/>
  <c r="Z30" i="7"/>
  <c r="Z29" i="7"/>
  <c r="D28" i="7"/>
  <c r="Y28" i="7" l="1"/>
  <c r="Z28" i="7"/>
  <c r="D31" i="7"/>
  <c r="Y31" i="7" s="1"/>
  <c r="Z31" i="7" l="1"/>
  <c r="D69" i="7"/>
  <c r="Y69" i="7" s="1"/>
  <c r="Z69" i="7" l="1"/>
  <c r="AZ12" i="12" l="1"/>
  <c r="Q11" i="15" l="1"/>
  <c r="AK12" i="12" l="1"/>
  <c r="BB12" i="12" l="1"/>
  <c r="C15" i="26"/>
  <c r="D15" i="26" l="1"/>
  <c r="BA12" i="12"/>
  <c r="BA18" i="12" s="1"/>
  <c r="BA27" i="12" s="1"/>
  <c r="AJ18" i="12"/>
  <c r="E15" i="26" l="1"/>
  <c r="AJ27" i="12"/>
  <c r="F15" i="26" l="1"/>
  <c r="G15" i="26" l="1"/>
  <c r="H15" i="26" l="1"/>
  <c r="I15" i="26" l="1"/>
  <c r="J15" i="26" l="1"/>
  <c r="K15" i="26" l="1"/>
  <c r="L15" i="26" l="1"/>
  <c r="M15" i="26" l="1"/>
  <c r="G83" i="2"/>
  <c r="V83" i="2" s="1"/>
  <c r="G84" i="2" l="1"/>
  <c r="V84" i="2" s="1"/>
  <c r="N15" i="26"/>
  <c r="G109" i="2" l="1"/>
  <c r="V109" i="2" s="1"/>
  <c r="E10" i="11"/>
  <c r="V10" i="11" s="1"/>
  <c r="V13" i="11" s="1"/>
  <c r="G10" i="11" l="1"/>
  <c r="X10" i="11" s="1"/>
  <c r="X13" i="11" s="1"/>
  <c r="E13" i="11"/>
  <c r="AZ11" i="12"/>
  <c r="AR11" i="12" l="1"/>
  <c r="AR18" i="12" s="1"/>
  <c r="AR27" i="12" s="1"/>
  <c r="G13" i="11"/>
  <c r="Q14" i="15"/>
  <c r="AI18" i="12"/>
  <c r="AZ15" i="12"/>
  <c r="AZ18" i="12" s="1"/>
  <c r="G114" i="2"/>
  <c r="V114" i="2" l="1"/>
  <c r="V117" i="2" s="1"/>
  <c r="G117" i="2"/>
  <c r="AT11" i="12"/>
  <c r="AT18" i="12" s="1"/>
  <c r="AT27" i="12" s="1"/>
  <c r="BB11" i="12"/>
  <c r="AK15" i="12"/>
  <c r="Q17" i="15"/>
  <c r="E18" i="11"/>
  <c r="G18" i="11" s="1"/>
  <c r="G19" i="11" s="1"/>
  <c r="V118" i="2" l="1"/>
  <c r="BD11" i="12"/>
  <c r="BD18" i="12" s="1"/>
  <c r="G20" i="11"/>
  <c r="BB15" i="12"/>
  <c r="BB18" i="12" s="1"/>
  <c r="AK18" i="12"/>
  <c r="V18" i="11"/>
  <c r="E19" i="11"/>
  <c r="E20" i="11" s="1"/>
  <c r="L22" i="12" l="1"/>
  <c r="V22" i="12" s="1"/>
  <c r="V24" i="12" s="1"/>
  <c r="V19" i="11"/>
  <c r="V20" i="11"/>
  <c r="L26" i="12" l="1"/>
  <c r="V26" i="12"/>
  <c r="V27" i="12" s="1"/>
  <c r="T22" i="12"/>
  <c r="T24" i="12" s="1"/>
  <c r="L27" i="12" l="1"/>
  <c r="T26" i="12"/>
  <c r="T27" i="12" s="1"/>
  <c r="J26" i="12"/>
  <c r="AZ22" i="12"/>
  <c r="AZ24" i="12" s="1"/>
  <c r="AZ26" i="12" s="1"/>
  <c r="AZ27" i="12" s="1"/>
  <c r="AI24" i="12"/>
  <c r="O27" i="15"/>
  <c r="J27" i="12" l="1"/>
  <c r="AI26" i="12"/>
  <c r="AI27" i="12" s="1"/>
  <c r="X115" i="2" l="1"/>
  <c r="Z114" i="2" s="1"/>
  <c r="S105" i="2" l="1"/>
  <c r="N105" i="2" s="1"/>
  <c r="I105" i="2" s="1"/>
  <c r="S104" i="2"/>
  <c r="N104" i="2" s="1"/>
  <c r="I104" i="2" s="1"/>
  <c r="S107" i="2"/>
  <c r="N107" i="2" s="1"/>
  <c r="I107" i="2" s="1"/>
  <c r="S108" i="2"/>
  <c r="N108" i="2" s="1"/>
  <c r="I108" i="2" s="1"/>
  <c r="S106" i="2"/>
  <c r="N106" i="2" s="1"/>
  <c r="I106" i="2" s="1"/>
  <c r="X114" i="2"/>
  <c r="X117" i="2" l="1"/>
  <c r="H18" i="11"/>
  <c r="H19" i="11" s="1"/>
  <c r="Z117" i="2" l="1"/>
  <c r="Z118" i="2" s="1"/>
  <c r="I18" i="11"/>
  <c r="H20" i="11"/>
  <c r="I19" i="11" l="1"/>
  <c r="I20" i="11" s="1"/>
  <c r="T21" i="15" l="1"/>
  <c r="T23" i="15" s="1"/>
  <c r="AN22" i="12" l="1"/>
  <c r="AN24" i="12" s="1"/>
  <c r="T25" i="15" l="1"/>
  <c r="BE22" i="12"/>
  <c r="BE24" i="12" s="1"/>
  <c r="BE26" i="12" s="1"/>
  <c r="BE27" i="12" s="1"/>
  <c r="AN26" i="12" l="1"/>
  <c r="T26" i="15"/>
  <c r="AN27" i="12" l="1"/>
  <c r="R105" i="2" l="1"/>
  <c r="M105" i="2" s="1"/>
  <c r="H105" i="2" s="1"/>
  <c r="O107" i="2"/>
  <c r="J107" i="2" s="1"/>
  <c r="T107" i="2"/>
  <c r="O106" i="2"/>
  <c r="J106" i="2" s="1"/>
  <c r="T106" i="2"/>
  <c r="O104" i="2"/>
  <c r="J104" i="2" s="1"/>
  <c r="T104" i="2"/>
  <c r="R108" i="2"/>
  <c r="M108" i="2" s="1"/>
  <c r="H108" i="2" s="1"/>
  <c r="T105" i="2"/>
  <c r="O105" i="2"/>
  <c r="J105" i="2" s="1"/>
  <c r="U108" i="2"/>
  <c r="P108" i="2"/>
  <c r="K108" i="2" s="1"/>
  <c r="U107" i="2"/>
  <c r="P107" i="2"/>
  <c r="K107" i="2" s="1"/>
  <c r="U106" i="2"/>
  <c r="P106" i="2"/>
  <c r="K106" i="2" s="1"/>
  <c r="Q105" i="2"/>
  <c r="L105" i="2" s="1"/>
  <c r="G105" i="2" s="1"/>
  <c r="U105" i="2"/>
  <c r="P105" i="2"/>
  <c r="K105" i="2" s="1"/>
  <c r="U104" i="2"/>
  <c r="P104" i="2"/>
  <c r="K104" i="2" s="1"/>
  <c r="Q108" i="2"/>
  <c r="L108" i="2" s="1"/>
  <c r="G108" i="2" s="1"/>
  <c r="T108" i="2"/>
  <c r="O108" i="2"/>
  <c r="J108" i="2" s="1"/>
  <c r="Q106" i="2"/>
  <c r="L106" i="2" s="1"/>
  <c r="G106" i="2" s="1"/>
  <c r="R106" i="2"/>
  <c r="M106" i="2" s="1"/>
  <c r="H106" i="2" s="1"/>
  <c r="Q104" i="2"/>
  <c r="L104" i="2" s="1"/>
  <c r="G104" i="2" s="1"/>
  <c r="R104" i="2"/>
  <c r="M104" i="2" s="1"/>
  <c r="H104" i="2" s="1"/>
  <c r="Q107" i="2"/>
  <c r="L107" i="2" s="1"/>
  <c r="G107" i="2" s="1"/>
  <c r="R107" i="2"/>
  <c r="M107" i="2" s="1"/>
  <c r="H107" i="2" s="1"/>
  <c r="J53" i="4"/>
  <c r="J61" i="4" s="1"/>
  <c r="V104" i="2" l="1"/>
  <c r="V108" i="2"/>
  <c r="V107" i="2"/>
  <c r="V105" i="2"/>
  <c r="V106" i="2"/>
  <c r="L53" i="4"/>
  <c r="L61" i="4" s="1"/>
  <c r="G9" i="15"/>
  <c r="G10" i="15" s="1"/>
  <c r="G17" i="15" s="1"/>
  <c r="G11" i="12" l="1"/>
  <c r="G10" i="12"/>
  <c r="F11" i="12"/>
  <c r="G26" i="15"/>
  <c r="X10" i="12" l="1"/>
  <c r="X11" i="12" s="1"/>
  <c r="W18" i="12"/>
  <c r="F18" i="12"/>
  <c r="F27" i="12" s="1"/>
  <c r="F26" i="15"/>
  <c r="G28" i="15" s="1"/>
  <c r="X18" i="12"/>
  <c r="G18" i="12"/>
  <c r="G27" i="12" l="1"/>
  <c r="H19" i="12" l="1"/>
  <c r="H19" i="15"/>
  <c r="H20" i="12" s="1"/>
  <c r="Y19" i="12" l="1"/>
  <c r="Y20" i="12" s="1"/>
  <c r="H23" i="15"/>
  <c r="H25" i="15" l="1"/>
  <c r="H26" i="15" s="1"/>
  <c r="H24" i="12"/>
  <c r="H27" i="15" l="1"/>
  <c r="H26" i="12"/>
  <c r="H27" i="12" l="1"/>
  <c r="N26" i="16" l="1"/>
  <c r="N107" i="16" s="1"/>
  <c r="S9" i="11"/>
  <c r="AC9" i="11" s="1"/>
  <c r="AC13" i="11" s="1"/>
  <c r="AH26" i="16" l="1"/>
  <c r="AH107" i="16" s="1"/>
  <c r="N118" i="16"/>
  <c r="S13" i="11"/>
  <c r="S116" i="16" l="1"/>
  <c r="AY10" i="12"/>
  <c r="BI10" i="12" s="1"/>
  <c r="S21" i="11"/>
  <c r="AY18" i="12" l="1"/>
  <c r="O113" i="16"/>
  <c r="O117" i="16" s="1"/>
  <c r="O118" i="16" s="1"/>
  <c r="M113" i="16"/>
  <c r="M117" i="16" s="1"/>
  <c r="M118" i="16" s="1"/>
  <c r="W113" i="16"/>
  <c r="W117" i="16" s="1"/>
  <c r="W118" i="16" s="1"/>
  <c r="Q113" i="16"/>
  <c r="Q117" i="16" s="1"/>
  <c r="Q118" i="16" s="1"/>
  <c r="T113" i="16"/>
  <c r="T117" i="16" s="1"/>
  <c r="T118" i="16" s="1"/>
  <c r="L113" i="16"/>
  <c r="L117" i="16" s="1"/>
  <c r="L118" i="16" s="1"/>
  <c r="U113" i="16"/>
  <c r="U117" i="16" s="1"/>
  <c r="U118" i="16" s="1"/>
  <c r="Y115" i="16"/>
  <c r="Y113" i="16" s="1"/>
  <c r="Y117" i="16" s="1"/>
  <c r="Y118" i="16" s="1"/>
  <c r="V113" i="16"/>
  <c r="V117" i="16" s="1"/>
  <c r="V118" i="16" s="1"/>
  <c r="P113" i="16"/>
  <c r="P117" i="16" s="1"/>
  <c r="R113" i="16"/>
  <c r="R117" i="16" s="1"/>
  <c r="R118" i="16" s="1"/>
  <c r="K113" i="16"/>
  <c r="K117" i="16" s="1"/>
  <c r="K118" i="16" s="1"/>
  <c r="Z115" i="16"/>
  <c r="AC115" i="16" s="1"/>
  <c r="AD115" i="16" s="1"/>
  <c r="J113" i="16"/>
  <c r="J117" i="16" s="1"/>
  <c r="J118" i="16" s="1"/>
  <c r="Z113" i="16" l="1"/>
  <c r="Z117" i="16" s="1"/>
  <c r="Z118" i="16" s="1"/>
  <c r="AC118" i="16" s="1"/>
  <c r="AF115" i="16"/>
  <c r="AF113" i="16" s="1"/>
  <c r="AF117" i="16" s="1"/>
  <c r="AF118" i="16" s="1"/>
  <c r="AY27" i="12"/>
  <c r="BI18" i="12"/>
  <c r="P118" i="16"/>
  <c r="O18" i="11" l="1"/>
  <c r="O19" i="11" s="1"/>
  <c r="O20" i="11" s="1"/>
  <c r="AC113" i="16"/>
  <c r="AC117" i="16" s="1"/>
  <c r="Y18" i="11"/>
  <c r="Y19" i="11" s="1"/>
  <c r="AD113" i="16" l="1"/>
  <c r="AD117" i="16" s="1"/>
  <c r="AD118" i="16" s="1"/>
  <c r="M18" i="11"/>
  <c r="Y20" i="11"/>
  <c r="O22" i="12"/>
  <c r="W18" i="11" l="1"/>
  <c r="M19" i="11"/>
  <c r="M20" i="11" s="1"/>
  <c r="N18" i="11"/>
  <c r="Y22" i="12"/>
  <c r="Y24" i="12" s="1"/>
  <c r="M22" i="12" l="1"/>
  <c r="W19" i="11"/>
  <c r="W20" i="11"/>
  <c r="X18" i="11"/>
  <c r="X19" i="11" s="1"/>
  <c r="N19" i="11"/>
  <c r="N20" i="11" s="1"/>
  <c r="W22" i="12"/>
  <c r="W24" i="12" s="1"/>
  <c r="Y26" i="12"/>
  <c r="Y27" i="12" s="1"/>
  <c r="X20" i="11"/>
  <c r="N22" i="12" l="1"/>
  <c r="X22" i="12"/>
  <c r="X24" i="12" s="1"/>
  <c r="W26" i="12"/>
  <c r="W27" i="12" s="1"/>
  <c r="M26" i="12"/>
  <c r="M27" i="12" s="1"/>
  <c r="N48" i="32"/>
  <c r="N52" i="32" s="1"/>
  <c r="S21" i="15"/>
  <c r="X26" i="12" l="1"/>
  <c r="X27" i="12" s="1"/>
  <c r="AM22" i="12"/>
  <c r="S23" i="15"/>
  <c r="S25" i="15" s="1"/>
  <c r="S26" i="15" s="1"/>
  <c r="G27" i="15" s="1"/>
  <c r="BD22" i="12" l="1"/>
  <c r="BD24" i="12" s="1"/>
  <c r="BD26" i="12" s="1"/>
  <c r="BD27" i="12" s="1"/>
  <c r="AM24" i="12"/>
  <c r="AM26" i="12" l="1"/>
  <c r="AM27" i="12" s="1"/>
  <c r="AH80" i="16" l="1"/>
  <c r="AI80" i="16" s="1"/>
  <c r="AI81" i="16" s="1"/>
  <c r="AH116" i="16"/>
  <c r="AI116" i="16" s="1"/>
  <c r="S113" i="16"/>
  <c r="S117" i="16" s="1"/>
  <c r="AH117" i="16" s="1"/>
  <c r="AI117" i="16" s="1"/>
  <c r="AI107" i="16" l="1"/>
  <c r="Z10" i="11"/>
  <c r="AH113" i="16"/>
  <c r="S118" i="16"/>
  <c r="AH118" i="16" s="1"/>
  <c r="AI118" i="16" s="1"/>
  <c r="Z13" i="11" l="1"/>
  <c r="AD10" i="11"/>
  <c r="S18" i="11"/>
  <c r="AC18" i="11" s="1"/>
  <c r="B11" i="26" s="1"/>
  <c r="AI113" i="16"/>
  <c r="Z18" i="11" s="1"/>
  <c r="AD13" i="11" l="1"/>
  <c r="BF11" i="12"/>
  <c r="Z19" i="11"/>
  <c r="AD18" i="11"/>
  <c r="AC19" i="11"/>
  <c r="AC20" i="11" s="1"/>
  <c r="S22" i="12"/>
  <c r="AC22" i="12" s="1"/>
  <c r="AC24" i="12" s="1"/>
  <c r="S19" i="11"/>
  <c r="S20" i="11" s="1"/>
  <c r="M46" i="32"/>
  <c r="BF18" i="12" l="1"/>
  <c r="BF27" i="12" s="1"/>
  <c r="BJ11" i="12"/>
  <c r="BJ18" i="12" s="1"/>
  <c r="M47" i="32"/>
  <c r="Z22" i="12"/>
  <c r="AD19" i="11"/>
  <c r="M50" i="32"/>
  <c r="Q21" i="15" s="1"/>
  <c r="Q23" i="15" s="1"/>
  <c r="Q25" i="15" s="1"/>
  <c r="Q26" i="15" s="1"/>
  <c r="E27" i="15" s="1"/>
  <c r="U21" i="15"/>
  <c r="V21" i="15" s="1"/>
  <c r="N46" i="32"/>
  <c r="N50" i="32" s="1"/>
  <c r="S24" i="12"/>
  <c r="O50" i="32"/>
  <c r="B19" i="26"/>
  <c r="B23" i="26" s="1"/>
  <c r="B22" i="26"/>
  <c r="C11" i="26"/>
  <c r="B12" i="26"/>
  <c r="B25" i="26" s="1"/>
  <c r="S26" i="12"/>
  <c r="AD22" i="12" l="1"/>
  <c r="Z24" i="12"/>
  <c r="M51" i="32"/>
  <c r="R21" i="15" s="1"/>
  <c r="N47" i="32"/>
  <c r="AO22" i="12"/>
  <c r="AO24" i="12" s="1"/>
  <c r="AK22" i="12"/>
  <c r="AK24" i="12" s="1"/>
  <c r="AK26" i="12" s="1"/>
  <c r="AK27" i="12" s="1"/>
  <c r="N24" i="12"/>
  <c r="N26" i="12" s="1"/>
  <c r="N27" i="12" s="1"/>
  <c r="U23" i="15"/>
  <c r="U25" i="15" s="1"/>
  <c r="U26" i="15" s="1"/>
  <c r="I27" i="15" s="1"/>
  <c r="AV22" i="12"/>
  <c r="V23" i="15"/>
  <c r="V25" i="15" s="1"/>
  <c r="V26" i="15" s="1"/>
  <c r="V27" i="15" s="1"/>
  <c r="B24" i="26"/>
  <c r="B26" i="26" s="1"/>
  <c r="AC26" i="12"/>
  <c r="S27" i="12"/>
  <c r="AC27" i="12" s="1"/>
  <c r="C22" i="26"/>
  <c r="D11" i="26"/>
  <c r="C19" i="26"/>
  <c r="C23" i="26" s="1"/>
  <c r="C12" i="26"/>
  <c r="C25" i="26" s="1"/>
  <c r="BI22" i="12"/>
  <c r="AL22" i="12" l="1"/>
  <c r="R23" i="15"/>
  <c r="BB22" i="12"/>
  <c r="BB24" i="12" s="1"/>
  <c r="BB26" i="12" s="1"/>
  <c r="BB27" i="12" s="1"/>
  <c r="Z26" i="12"/>
  <c r="Z27" i="12" s="1"/>
  <c r="AD24" i="12"/>
  <c r="AD26" i="12" s="1"/>
  <c r="AD27" i="12" s="1"/>
  <c r="AV24" i="12"/>
  <c r="BJ22" i="12"/>
  <c r="C24" i="26"/>
  <c r="C26" i="26" s="1"/>
  <c r="BI24" i="12"/>
  <c r="AO26" i="12"/>
  <c r="E11" i="26"/>
  <c r="E12" i="26" s="1"/>
  <c r="D22" i="26"/>
  <c r="D19" i="26"/>
  <c r="D23" i="26" s="1"/>
  <c r="D12" i="26"/>
  <c r="D25" i="26" s="1"/>
  <c r="R25" i="15" l="1"/>
  <c r="O24" i="12"/>
  <c r="O26" i="12" s="1"/>
  <c r="O27" i="12" s="1"/>
  <c r="AL24" i="12"/>
  <c r="AL26" i="12" s="1"/>
  <c r="BC22" i="12"/>
  <c r="BC24" i="12" s="1"/>
  <c r="BC26" i="12" s="1"/>
  <c r="BJ24" i="12"/>
  <c r="BJ26" i="12" s="1"/>
  <c r="BJ27" i="12" s="1"/>
  <c r="AV26" i="12"/>
  <c r="AV27" i="12" s="1"/>
  <c r="D24" i="26"/>
  <c r="D26" i="26" s="1"/>
  <c r="BI26" i="12"/>
  <c r="AO27" i="12"/>
  <c r="E22" i="26"/>
  <c r="E19" i="26"/>
  <c r="E23" i="26" s="1"/>
  <c r="E25" i="26"/>
  <c r="F11" i="26"/>
  <c r="E24" i="26" l="1"/>
  <c r="E26" i="26" s="1"/>
  <c r="F19" i="26"/>
  <c r="F23" i="26" s="1"/>
  <c r="G11" i="26"/>
  <c r="F12" i="26"/>
  <c r="F25" i="26" s="1"/>
  <c r="F22" i="26"/>
  <c r="BI27" i="12"/>
  <c r="F24" i="26" l="1"/>
  <c r="F26" i="26" s="1"/>
  <c r="H11" i="26"/>
  <c r="G19" i="26"/>
  <c r="G23" i="26" s="1"/>
  <c r="G22" i="26"/>
  <c r="G12" i="26"/>
  <c r="G25" i="26" s="1"/>
  <c r="G24" i="26" l="1"/>
  <c r="G26" i="26" s="1"/>
  <c r="H19" i="26"/>
  <c r="H23" i="26" s="1"/>
  <c r="H12" i="26"/>
  <c r="H25" i="26" s="1"/>
  <c r="I11" i="26"/>
  <c r="H22" i="26"/>
  <c r="H24" i="26" l="1"/>
  <c r="H26" i="26" s="1"/>
  <c r="I22" i="26"/>
  <c r="I12" i="26"/>
  <c r="I25" i="26" s="1"/>
  <c r="J11" i="26"/>
  <c r="I19" i="26"/>
  <c r="I23" i="26" s="1"/>
  <c r="I24" i="26" l="1"/>
  <c r="I26" i="26" s="1"/>
  <c r="J12" i="26"/>
  <c r="J25" i="26" s="1"/>
  <c r="J22" i="26"/>
  <c r="K11" i="26"/>
  <c r="J19" i="26"/>
  <c r="J23" i="26" s="1"/>
  <c r="J24" i="26" l="1"/>
  <c r="J26" i="26" s="1"/>
  <c r="K19" i="26"/>
  <c r="K23" i="26" s="1"/>
  <c r="L11" i="26"/>
  <c r="K22" i="26"/>
  <c r="K12" i="26"/>
  <c r="K25" i="26" s="1"/>
  <c r="K24" i="26" l="1"/>
  <c r="K26" i="26" s="1"/>
  <c r="M11" i="26"/>
  <c r="L12" i="26"/>
  <c r="L25" i="26" s="1"/>
  <c r="L19" i="26"/>
  <c r="L23" i="26" s="1"/>
  <c r="L22" i="26"/>
  <c r="L24" i="26" l="1"/>
  <c r="L26" i="26"/>
  <c r="M22" i="26"/>
  <c r="N22" i="26" s="1"/>
  <c r="M12" i="26"/>
  <c r="M25" i="26" s="1"/>
  <c r="M19" i="26"/>
  <c r="M23" i="26" s="1"/>
  <c r="N11" i="26"/>
  <c r="N12" i="26" s="1"/>
  <c r="O12" i="26" s="1"/>
  <c r="M24" i="26" l="1"/>
  <c r="N24" i="26"/>
  <c r="N19" i="26"/>
  <c r="N23" i="26" s="1"/>
  <c r="O23" i="26" s="1"/>
  <c r="N25" i="26"/>
  <c r="M26" i="26" l="1"/>
  <c r="N26" i="26"/>
  <c r="J9" i="10"/>
  <c r="J44" i="10"/>
  <c r="H39" i="32" s="1"/>
  <c r="H51" i="32" l="1"/>
  <c r="R14" i="15" s="1"/>
  <c r="N39" i="32"/>
  <c r="N51" i="32" s="1"/>
  <c r="AL16" i="12" l="1"/>
  <c r="R17" i="15"/>
  <c r="R26" i="15" s="1"/>
  <c r="F27" i="15" s="1"/>
  <c r="BC16" i="12" l="1"/>
  <c r="BC18" i="12" s="1"/>
  <c r="BC27" i="12" s="1"/>
  <c r="AL18" i="12"/>
  <c r="AL2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Aliz</author>
  </authors>
  <commentList>
    <comment ref="C32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Aliz: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Aliz</author>
  </authors>
  <commentList>
    <comment ref="U37" authorId="0" shapeId="0" xr:uid="{00000000-0006-0000-0F00-000001000000}">
      <text>
        <r>
          <rPr>
            <b/>
            <sz val="9"/>
            <color indexed="81"/>
            <rFont val="Tahoma"/>
            <family val="2"/>
            <charset val="238"/>
          </rPr>
          <t>Aliz: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<sst xmlns="http://schemas.openxmlformats.org/spreadsheetml/2006/main" count="2725" uniqueCount="1391">
  <si>
    <t>Polgármesteri Hivatal</t>
  </si>
  <si>
    <t>Sorszám</t>
  </si>
  <si>
    <t>Rovat megnevezése</t>
  </si>
  <si>
    <t>Rovat száma</t>
  </si>
  <si>
    <t>Mindösszesen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</si>
  <si>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</si>
  <si>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</si>
  <si>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</si>
  <si>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</si>
  <si>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</si>
  <si>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</si>
  <si>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</si>
  <si>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</si>
  <si>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</si>
  <si>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</si>
  <si>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</si>
  <si>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</si>
  <si>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</si>
  <si>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</si>
  <si>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</si>
  <si>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</si>
  <si>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</si>
  <si>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</si>
  <si>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</si>
  <si>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</si>
  <si>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</si>
  <si>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</si>
  <si>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</si>
  <si>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</si>
  <si>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</si>
  <si>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</si>
  <si>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(=01+...+13)</t>
  </si>
  <si>
    <t>K11</t>
  </si>
  <si>
    <t>K121</t>
  </si>
  <si>
    <t>K122</t>
  </si>
  <si>
    <t>K123</t>
  </si>
  <si>
    <t>Külső személyi juttatások (=15+16+17)</t>
  </si>
  <si>
    <t>K12</t>
  </si>
  <si>
    <t>Személyi juttatások (=14+18)</t>
  </si>
  <si>
    <t>K1</t>
  </si>
  <si>
    <t>Munkaadókat terhelő járulékok és szociális hozzájárulási adó</t>
  </si>
  <si>
    <t>K2</t>
  </si>
  <si>
    <t xml:space="preserve">I. SZEMÉLYI JELLEGŰ RÁFORDÍTÁSOK ÉS JÁRULÉKOK MINDÖSSZESEN </t>
  </si>
  <si>
    <t>Szakmai anyagok beszerzése</t>
  </si>
  <si>
    <t>K311</t>
  </si>
  <si>
    <t>Könyvbeszerzés</t>
  </si>
  <si>
    <t>Vegyszer beszerzés</t>
  </si>
  <si>
    <t>egyéb inf.hord.szakmai anyag beszerzés DM SONE havi díja</t>
  </si>
  <si>
    <t>Egyéb verizókövetési díja</t>
  </si>
  <si>
    <t>Üzemeltetési anyagok beszerzése</t>
  </si>
  <si>
    <t>K312</t>
  </si>
  <si>
    <t>Irodaszerbeszerzés</t>
  </si>
  <si>
    <t>Munkaruha,védőruha beszerzés</t>
  </si>
  <si>
    <t>Egyéb üzemeltetési anyagok</t>
  </si>
  <si>
    <t>Karbantartási anyag beszerzési</t>
  </si>
  <si>
    <t>számítástechnikai anyag</t>
  </si>
  <si>
    <t>Tisztítószer beszerzés</t>
  </si>
  <si>
    <t>Készletbeszerzés összesen</t>
  </si>
  <si>
    <t>K31</t>
  </si>
  <si>
    <t>Informatikai szolgáltatások igénybevétele</t>
  </si>
  <si>
    <t>K321</t>
  </si>
  <si>
    <t>Rendszerkarbantartási díjak</t>
  </si>
  <si>
    <t>Egyéb informatikai szolg.kiadás (fénymásolókarbantartási díjak)</t>
  </si>
  <si>
    <t>Egyéb kommunikációs szolgáltatások</t>
  </si>
  <si>
    <t>K322</t>
  </si>
  <si>
    <t>Telefon, internet havi díjai</t>
  </si>
  <si>
    <t>Nem adatátviteli célú távközlési díjak</t>
  </si>
  <si>
    <t>Egyéb különféle informatikai szolg.</t>
  </si>
  <si>
    <t xml:space="preserve">Kommunikációs szolgáltatások </t>
  </si>
  <si>
    <t>K32</t>
  </si>
  <si>
    <t>Közüzemi díjak</t>
  </si>
  <si>
    <t>K331</t>
  </si>
  <si>
    <t>Villamos energia</t>
  </si>
  <si>
    <t>Gáz energia szolgáltatási díjak</t>
  </si>
  <si>
    <t>Víz díj</t>
  </si>
  <si>
    <t>Vásárolt élelmezés</t>
  </si>
  <si>
    <t>K332</t>
  </si>
  <si>
    <t>Gyermek étkeztetés beszerzés</t>
  </si>
  <si>
    <t>Bérleti és lízing díjak</t>
  </si>
  <si>
    <t>K333</t>
  </si>
  <si>
    <t>K334</t>
  </si>
  <si>
    <t>Közvetített szolgáltatások</t>
  </si>
  <si>
    <t>K335</t>
  </si>
  <si>
    <t>Szakmai tevékenységet segítő szolgáltatások</t>
  </si>
  <si>
    <t>K336</t>
  </si>
  <si>
    <t>Vásárolt közszolgáltatás</t>
  </si>
  <si>
    <t>Számlázott szellemi tevékenység</t>
  </si>
  <si>
    <t>Egyéb szolgáltatások</t>
  </si>
  <si>
    <t>K337</t>
  </si>
  <si>
    <t>Biztosítás, szolgáltatási díjak</t>
  </si>
  <si>
    <t>Postai szolgáltatás</t>
  </si>
  <si>
    <t>Szemétszállítási szolgáltatási díjak</t>
  </si>
  <si>
    <t>Pénzügyi,befekt.szolg.díj./Bankköltség/</t>
  </si>
  <si>
    <t>Egyéb üzemeltetési szolgáltatások (kéményseprés,rovarirtás, fogl.eü, egyéb üz.fennt.kiadási szolg.)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</si>
  <si>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</si>
  <si>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</si>
  <si>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</si>
  <si>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</si>
  <si>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</si>
  <si>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</si>
  <si>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</si>
  <si>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</si>
  <si>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</si>
  <si>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</si>
  <si>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>Fizetendő általános forgalmi adó</t>
  </si>
  <si>
    <t>K352</t>
  </si>
  <si>
    <t>Kamatkiadások</t>
  </si>
  <si>
    <t>K353</t>
  </si>
  <si>
    <t>Egyéb pénzügyi műveletek kiadásai</t>
  </si>
  <si>
    <t>K354</t>
  </si>
  <si>
    <t>Egyéb dologi kiadások</t>
  </si>
  <si>
    <t>K355</t>
  </si>
  <si>
    <t xml:space="preserve">Költség általány 2015. évi </t>
  </si>
  <si>
    <t>Díjak, egyéb befizetések-fizetési felszólítási díjak</t>
  </si>
  <si>
    <t>Késedelmi kamat</t>
  </si>
  <si>
    <t>Egyéb különféle dologi kiadások</t>
  </si>
  <si>
    <t xml:space="preserve">Különféle befizetések és egyéb dologi kiadások </t>
  </si>
  <si>
    <t>K35</t>
  </si>
  <si>
    <t xml:space="preserve">II. Dologi kiadások </t>
  </si>
  <si>
    <t>K3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</si>
  <si>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</si>
  <si>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</si>
  <si>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</si>
  <si>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</si>
  <si>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</si>
  <si>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</si>
  <si>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</si>
  <si>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</si>
  <si>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</si>
  <si>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</si>
  <si>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</si>
  <si>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</si>
  <si>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</si>
  <si>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</si>
  <si>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</si>
  <si>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</si>
  <si>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</si>
  <si>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</si>
  <si>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</si>
  <si>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</si>
  <si>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</si>
  <si>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</si>
  <si>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</si>
  <si>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</si>
  <si>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(=76+...+79)</t>
  </si>
  <si>
    <t>K7</t>
  </si>
  <si>
    <t>KIADÁSOK MINDÖSSZESEN</t>
  </si>
  <si>
    <t>K1-K8</t>
  </si>
  <si>
    <t>Bevételek</t>
  </si>
  <si>
    <t>Szolgáltatási bevételek</t>
  </si>
  <si>
    <t>B402</t>
  </si>
  <si>
    <t>Előző évi maradvány igénybevétele</t>
  </si>
  <si>
    <t>B813</t>
  </si>
  <si>
    <t>Intézményi finanszírozás</t>
  </si>
  <si>
    <t>B816</t>
  </si>
  <si>
    <t>BEVÉTELEK MINDÖSSZESEN</t>
  </si>
  <si>
    <t>Ellenőrző sor</t>
  </si>
  <si>
    <t>2018. ÉVI EREDETI ELŐIRÁNYZAT -TERV-</t>
  </si>
  <si>
    <t>Egyéb szakmaai anyag beszerzése</t>
  </si>
  <si>
    <t xml:space="preserve">Karbantartási, kisjavítási szolgáltatások </t>
  </si>
  <si>
    <t>MINDÖSSZESEN</t>
  </si>
  <si>
    <t>Támogatási forma</t>
  </si>
  <si>
    <t>Támogatás megnevezése</t>
  </si>
  <si>
    <t>Támogatás</t>
  </si>
  <si>
    <t>Mutató</t>
  </si>
  <si>
    <t>Ft/mutató</t>
  </si>
  <si>
    <t>Ft-ban</t>
  </si>
  <si>
    <t>Eredeti előirányzat</t>
  </si>
  <si>
    <t>I.1.a)</t>
  </si>
  <si>
    <t>Önkormányzati hivatal működésének támogatása (beszámítás után)</t>
  </si>
  <si>
    <t>4 580 000 Ft</t>
  </si>
  <si>
    <t>I.1.b)</t>
  </si>
  <si>
    <t>Település-üzemeltetéshez kapcsolódó feladatellátás támogatása (beszámítás után)</t>
  </si>
  <si>
    <t>I.1. b) ba)</t>
  </si>
  <si>
    <t>A zöldterület-gazdálkodással kapcsolatos feladatok ellátásának támogatása</t>
  </si>
  <si>
    <t>I.1. b) bb)</t>
  </si>
  <si>
    <t>Közvilágítás fenntartásának támogatása</t>
  </si>
  <si>
    <t>I.1. b) bc)</t>
  </si>
  <si>
    <t>Köztemető fenntartással kapcsolatos feladatok támogatása</t>
  </si>
  <si>
    <t>I.1. b) bd)</t>
  </si>
  <si>
    <t>Közutak fenntartásának támogatása</t>
  </si>
  <si>
    <t>I.1.c)</t>
  </si>
  <si>
    <t>Egyéb kötelező önkormányzati feladatok támogatása (beszámítás után)</t>
  </si>
  <si>
    <t>I.1.d)</t>
  </si>
  <si>
    <t>Lakott külterülettel kapcsolatos feladatok támogatása (beszámítás után)*</t>
  </si>
  <si>
    <t>I.1.e)</t>
  </si>
  <si>
    <t>Üdülőhelyi feladatok támogatása**</t>
  </si>
  <si>
    <t>I.</t>
  </si>
  <si>
    <t>Települési önkormányzatok általános működésének támogatása (B111)</t>
  </si>
  <si>
    <t>II.1.</t>
  </si>
  <si>
    <t>Óvodapedagógusok 8 havi támogatása</t>
  </si>
  <si>
    <t>Óvodapedagógusok 4 havi támogatása</t>
  </si>
  <si>
    <t>segítők 8 havi támogatása</t>
  </si>
  <si>
    <t>segítők 4 havi támogatása</t>
  </si>
  <si>
    <t>Óvodapedagógusok, és az óvodapedagógusok nevelőmunkáját közvetlenül segítők bértámogatása összesen (B112):</t>
  </si>
  <si>
    <t>II.2.</t>
  </si>
  <si>
    <t>óvodaműködtetési támogatás 8 havi támogatása</t>
  </si>
  <si>
    <t>óvodaműködtetési támogatás 4 havi támogatása</t>
  </si>
  <si>
    <t>Óvodaműködtetési támogatás összesen (B112):</t>
  </si>
  <si>
    <t>II.5.</t>
  </si>
  <si>
    <t>Kiegészítő támogatás az óvodapedagógusok minősítéséből adódó többlet kiadásokhoz</t>
  </si>
  <si>
    <t>Alapfokozatú végzettségű PED II. kieg támogatása</t>
  </si>
  <si>
    <t>Mesterfokozatú végzettségű MESTER PED.kat.kieg.támogatása</t>
  </si>
  <si>
    <t>II.</t>
  </si>
  <si>
    <t>Települési önkormányzatok egyes köznevelési feladatainak támogatása összesen (B112):</t>
  </si>
  <si>
    <t>III.2.</t>
  </si>
  <si>
    <t>A települési önkormányzatok szociális feladatainak egyéb támogatása</t>
  </si>
  <si>
    <t>III.3.</t>
  </si>
  <si>
    <t>Gyermekek napközbeni ellátása</t>
  </si>
  <si>
    <t>Bölcsődei ellátás</t>
  </si>
  <si>
    <t>fő</t>
  </si>
  <si>
    <t>III.5.</t>
  </si>
  <si>
    <t>Gyermekétkeztetés támogatása</t>
  </si>
  <si>
    <t>III.5.a)</t>
  </si>
  <si>
    <t>Gyermekétkeztetés szempontjából elismert dolgozók bértámogatása</t>
  </si>
  <si>
    <t>III.5.b)</t>
  </si>
  <si>
    <t>Gyermekétkezetés üzemeltetési támogatása</t>
  </si>
  <si>
    <t>III.6.</t>
  </si>
  <si>
    <t>Rászoruló gyermekek szünidei étkeztetési támogatása</t>
  </si>
  <si>
    <t>III.</t>
  </si>
  <si>
    <t>Települési önormányzatok szociális , gyermekjóléti és gyermekétkeztetési feladatainak támogatása összesen (B113)</t>
  </si>
  <si>
    <t>Könyvtári, közművelődési és múzeumi feladatok támogatása</t>
  </si>
  <si>
    <t>1140 Ft/fő</t>
  </si>
  <si>
    <t>IV.</t>
  </si>
  <si>
    <t>Települési önkormányzatok kulturális feladatok támogatása összesen (B114)</t>
  </si>
  <si>
    <t>V.</t>
  </si>
  <si>
    <t>Helyi önkormányzatok és többcélú kistérésgi társulások egyes költségvetési kapcsolatokból számított bevételei öszesen</t>
  </si>
  <si>
    <t>B16</t>
  </si>
  <si>
    <t>OEP finanszírozás</t>
  </si>
  <si>
    <t>Védőnői finanszírozás</t>
  </si>
  <si>
    <t>Orvosi feladatellátás</t>
  </si>
  <si>
    <t>Iskolai egészségügyi fin</t>
  </si>
  <si>
    <t>Elkülönített állami pénzalaptól érkező támogatás</t>
  </si>
  <si>
    <t>Közfoglalkoztatási támogatás</t>
  </si>
  <si>
    <t>I.1. jogcímekhez kapcsolódó kiegészítés Polgármesteri illetmény támogatása</t>
  </si>
  <si>
    <t>2016. évről áthúzódó bérkompenzáció támogatása</t>
  </si>
  <si>
    <t>adatok Forintban</t>
  </si>
  <si>
    <t>Általános kiadások (011130)</t>
  </si>
  <si>
    <t>Város- és községgazdálkodási feladatok (066020)</t>
  </si>
  <si>
    <t>Védőnői szolgálat (074031)</t>
  </si>
  <si>
    <t>Közfoglalkoztatási program (041233)</t>
  </si>
  <si>
    <t xml:space="preserve"> 2017. évi előirányzat Eredeti</t>
  </si>
  <si>
    <t xml:space="preserve">Készenléti, ügyeleti, helyettesítési díj, túlóra, túlszolgálat </t>
  </si>
  <si>
    <t xml:space="preserve">Béren kívüli juttatások </t>
  </si>
  <si>
    <t xml:space="preserve">Közlekedési költségtérítés </t>
  </si>
  <si>
    <t xml:space="preserve">Egyéb költségtérítések </t>
  </si>
  <si>
    <t>Egyéb személyi jellegű ráfordítások</t>
  </si>
  <si>
    <t xml:space="preserve">Foglalkoztatottak személyi juttatásai </t>
  </si>
  <si>
    <t xml:space="preserve">Választott tisztségviselők juttatásai </t>
  </si>
  <si>
    <t xml:space="preserve">Munkavégzésre irányuló egyéb jogviszonyban nem saját foglalkoztatottnak fizetett juttatások </t>
  </si>
  <si>
    <t xml:space="preserve">Egyéb külső személyi juttatások </t>
  </si>
  <si>
    <t xml:space="preserve">Külső személyi juttatások </t>
  </si>
  <si>
    <t xml:space="preserve">Személyi juttatások </t>
  </si>
  <si>
    <t xml:space="preserve">Munkaadókat terhelő járulékok és szociális hozzájárulási adó </t>
  </si>
  <si>
    <t>Kecskéd Község Önkormányzatának 2018. évi személyi jellegű ráfordításainak  táblázata</t>
  </si>
  <si>
    <t>Mindösszesen (zárójelben COFOG)</t>
  </si>
  <si>
    <t>Városüzemeltetési feladatok</t>
  </si>
  <si>
    <t>Egészségügyi feladat ellátás</t>
  </si>
  <si>
    <t>Egészségügyi feladat ellátás mindösszesen</t>
  </si>
  <si>
    <t>Kulutrális szolgáltatási tevékenység</t>
  </si>
  <si>
    <t>Közutak üzemeltetése (045160)</t>
  </si>
  <si>
    <t>Közvilágítás (064010)</t>
  </si>
  <si>
    <t>Köztemető fenntartása, üzemeltetése (013320)</t>
  </si>
  <si>
    <t>Zöldterület kezelés (066010)</t>
  </si>
  <si>
    <t>Szünidei gyermekétkeztetés (104037)</t>
  </si>
  <si>
    <t>Házi orvosi alap ellátás (072111)</t>
  </si>
  <si>
    <t>Házi orvosi ügyeleti ellátás (072112)</t>
  </si>
  <si>
    <t>ellenőrző oszlop</t>
  </si>
  <si>
    <t xml:space="preserve">Szakmai anyagok beszerzése </t>
  </si>
  <si>
    <t>Gyógyszer beszerzés</t>
  </si>
  <si>
    <t>Folyóírat</t>
  </si>
  <si>
    <t>Egyéb információ hordozó</t>
  </si>
  <si>
    <t>Egyéb szakmai anyag</t>
  </si>
  <si>
    <t xml:space="preserve">Üzemeltetési anyagok beszerzése </t>
  </si>
  <si>
    <t>Irodaszer-, nyomtatvány</t>
  </si>
  <si>
    <t>Vegyszerbeszerzés</t>
  </si>
  <si>
    <t>Hajtó- és kenőanyag beszerzés</t>
  </si>
  <si>
    <t>Karbantartási anyag beszerzés</t>
  </si>
  <si>
    <t>Egyéb üzemeltetési anyag</t>
  </si>
  <si>
    <t xml:space="preserve">Árubeszerzés </t>
  </si>
  <si>
    <t>K313</t>
  </si>
  <si>
    <t xml:space="preserve">Készletbeszerzés </t>
  </si>
  <si>
    <t xml:space="preserve">Informatikai szolgáltatások igénybevétele </t>
  </si>
  <si>
    <t>Informatikai eszközök, szolgáltatások bérleti díja</t>
  </si>
  <si>
    <t>Informatikai eszközök karbantartási díja</t>
  </si>
  <si>
    <t>Adatátviteli célú eszközök</t>
  </si>
  <si>
    <t>Egyéb különféle informatikai szolgáltatások</t>
  </si>
  <si>
    <t xml:space="preserve">Egyéb kommunikációs szolgáltatások </t>
  </si>
  <si>
    <t>Nem adatátviteli célú távközlési eszközök díja</t>
  </si>
  <si>
    <t>Egyéb különféle kommunikációs szolgáltatások díjai</t>
  </si>
  <si>
    <t xml:space="preserve">Közüzemi díjak </t>
  </si>
  <si>
    <t>Villamosenergia</t>
  </si>
  <si>
    <t>Gázenergia</t>
  </si>
  <si>
    <t>Vízdíj</t>
  </si>
  <si>
    <t xml:space="preserve">Vásárolt élelmezés </t>
  </si>
  <si>
    <t xml:space="preserve">Bérleti és lízing díjak </t>
  </si>
  <si>
    <t xml:space="preserve">Szakmai tevékenységet segítő szolgáltatások </t>
  </si>
  <si>
    <t>Egyéb szakmai szolgáltatások</t>
  </si>
  <si>
    <t xml:space="preserve">Egyéb szolgáltatások  </t>
  </si>
  <si>
    <t>Biztosítási díjak</t>
  </si>
  <si>
    <t>Bankköltségek</t>
  </si>
  <si>
    <t>Szállítási szolgáltatási díjak</t>
  </si>
  <si>
    <t>Postai díjak</t>
  </si>
  <si>
    <t>Szemétszállítási kiadások</t>
  </si>
  <si>
    <t>Egyéb üzemeltetési szolgáltatások</t>
  </si>
  <si>
    <t xml:space="preserve">Kiküldetések kiadásai </t>
  </si>
  <si>
    <t xml:space="preserve">Reklám- és propagandakiadások </t>
  </si>
  <si>
    <t xml:space="preserve">Működési célú előzetesen felszámított általános forgalmi adó </t>
  </si>
  <si>
    <t>Levonható ÁFA</t>
  </si>
  <si>
    <t>Le nem vonható ÁFA</t>
  </si>
  <si>
    <t xml:space="preserve">Fizetendő általános forgalmi adó  </t>
  </si>
  <si>
    <t xml:space="preserve">Egyéb dologi kiadások </t>
  </si>
  <si>
    <t>Díjak, egyéb kifizetések</t>
  </si>
  <si>
    <t>Késedelmi kamatok, pótlékok</t>
  </si>
  <si>
    <t>Különféle befizetések és egyéb dologi kiadások</t>
  </si>
  <si>
    <t xml:space="preserve">Dologi kiadások </t>
  </si>
  <si>
    <t>adatok Ft-ban</t>
  </si>
  <si>
    <t>Jogcímek</t>
  </si>
  <si>
    <t>4.1.1.</t>
  </si>
  <si>
    <t>Jogcím</t>
  </si>
  <si>
    <t>Egyéb kis értékű immateriális javak beszerzése (011130 COFOG, általános kiadások)</t>
  </si>
  <si>
    <t xml:space="preserve">Ingatlanok beszerzése, létesítése </t>
  </si>
  <si>
    <t xml:space="preserve">Informatikai eszközök beszerzése, létesítése </t>
  </si>
  <si>
    <t xml:space="preserve">Felújítási célú előzetesen felszámított általános forgalmi adó </t>
  </si>
  <si>
    <t xml:space="preserve">Felújítások </t>
  </si>
  <si>
    <t>Megnevezés/Intézmény felhasználó megnevezése</t>
  </si>
  <si>
    <t>Feladat</t>
  </si>
  <si>
    <t>Személyi jellegű ráfordítások K1</t>
  </si>
  <si>
    <t>Kötelező</t>
  </si>
  <si>
    <t>Munkaadókat terhelő járulékok K2</t>
  </si>
  <si>
    <t>Dologi kiadások K3</t>
  </si>
  <si>
    <t>Beruházások K6</t>
  </si>
  <si>
    <t>Felújítások K7</t>
  </si>
  <si>
    <t>Mindösszesen kiadás intézmény:</t>
  </si>
  <si>
    <t>Működési célú bevételek B16</t>
  </si>
  <si>
    <t>Működési bevételek B4</t>
  </si>
  <si>
    <t>Működési célú kapott támogatások B6</t>
  </si>
  <si>
    <t>Előző év költségvetési maradványának igénybevétele B813</t>
  </si>
  <si>
    <t>Központi, irányítószervi támogatás B816</t>
  </si>
  <si>
    <t>Mindösszesen bevétel intézmény:</t>
  </si>
  <si>
    <t>Óvoda</t>
  </si>
  <si>
    <t>Költségvetési bevételek</t>
  </si>
  <si>
    <t>Költségvetési kiadások</t>
  </si>
  <si>
    <t xml:space="preserve">Rovat megnevezése </t>
  </si>
  <si>
    <t>Önkormányzat</t>
  </si>
  <si>
    <t xml:space="preserve">Önkormányzatok működési támogatásai  </t>
  </si>
  <si>
    <t>B11</t>
  </si>
  <si>
    <t>Foglalkoztatottak személyi juttatásai</t>
  </si>
  <si>
    <t>Egyéb működési célú támogatások bevételei államháztartáson belülről</t>
  </si>
  <si>
    <t>Munkadókat terhelő járulékok és szociális hozzájárulási adó</t>
  </si>
  <si>
    <t>Működési célú támogatások államháztartáson belülről mindösszesen</t>
  </si>
  <si>
    <t>B1</t>
  </si>
  <si>
    <t>Dologi kiadások</t>
  </si>
  <si>
    <t xml:space="preserve">Felhalmozási célú támogatások államháztartáson belülről </t>
  </si>
  <si>
    <t>B2</t>
  </si>
  <si>
    <t>Ellátottak pénzbeli juttatásai  (K4)</t>
  </si>
  <si>
    <t>K4</t>
  </si>
  <si>
    <t>Közhatalmi bevételek mindösszesen:</t>
  </si>
  <si>
    <t>B3</t>
  </si>
  <si>
    <t>K5</t>
  </si>
  <si>
    <t>Működési bevételek mindösszesen</t>
  </si>
  <si>
    <t>B4</t>
  </si>
  <si>
    <t xml:space="preserve">Felhalmozási célú átvett pénzeszközök </t>
  </si>
  <si>
    <t>B7</t>
  </si>
  <si>
    <t xml:space="preserve">Költségvetési bevételek </t>
  </si>
  <si>
    <t xml:space="preserve"> (B1-B7)</t>
  </si>
  <si>
    <t xml:space="preserve">Költségvetési kiadások </t>
  </si>
  <si>
    <t>Előző év költségvetési maradványának igénybevétele</t>
  </si>
  <si>
    <t>(B8131)</t>
  </si>
  <si>
    <t xml:space="preserve">Maradvány igénybevétele </t>
  </si>
  <si>
    <t>(B813)</t>
  </si>
  <si>
    <t xml:space="preserve">Államháztartáson belüli megelőlegezések visszafizetése </t>
  </si>
  <si>
    <t>K914</t>
  </si>
  <si>
    <t xml:space="preserve">Központi, irányító szervi támogatások folyósítása </t>
  </si>
  <si>
    <t>K915</t>
  </si>
  <si>
    <t xml:space="preserve">Belföldi finanszírozás bevételei </t>
  </si>
  <si>
    <t>(B81)</t>
  </si>
  <si>
    <t xml:space="preserve">Belföldi finanszírozás kiadásai </t>
  </si>
  <si>
    <t>K91</t>
  </si>
  <si>
    <t>Finanszírozási bevételek</t>
  </si>
  <si>
    <t>(B8)</t>
  </si>
  <si>
    <t xml:space="preserve">Finanszírozási kiadások </t>
  </si>
  <si>
    <t>K9</t>
  </si>
  <si>
    <t>Mindösszesen bevétel:</t>
  </si>
  <si>
    <t>Mindösszesen kiadás:</t>
  </si>
  <si>
    <t>ellenőrző sor:</t>
  </si>
  <si>
    <t>Megnevezés</t>
  </si>
  <si>
    <t xml:space="preserve">Vagyoni tipusú adók </t>
  </si>
  <si>
    <t>B34</t>
  </si>
  <si>
    <t xml:space="preserve">ebből: építményadó  </t>
  </si>
  <si>
    <t xml:space="preserve">ebből: magánszemélyek kommunális adója </t>
  </si>
  <si>
    <t xml:space="preserve">ebből: telekadó </t>
  </si>
  <si>
    <t xml:space="preserve">Értékesítési és forgalmi adók </t>
  </si>
  <si>
    <t>B351</t>
  </si>
  <si>
    <t xml:space="preserve">ebből: állandó jeleggel végzett iparűzési tevékenység után fizetett helyi iparűzési adó </t>
  </si>
  <si>
    <t>Gépjárműadók</t>
  </si>
  <si>
    <t>B354</t>
  </si>
  <si>
    <t>Egyéb áruhasználati és szolgáltatási adók   (B355)</t>
  </si>
  <si>
    <t>Termékek és szolgáltatások adói mindösszesen</t>
  </si>
  <si>
    <t>B35</t>
  </si>
  <si>
    <t xml:space="preserve">Egyéb közhatalmi bevételek </t>
  </si>
  <si>
    <t>B36</t>
  </si>
  <si>
    <t xml:space="preserve">ebből: igazgatási szolgáltatási díjak </t>
  </si>
  <si>
    <t>ebből: egyéb települési adók</t>
  </si>
  <si>
    <t>ebből: pótlék</t>
  </si>
  <si>
    <t>1.900.000 Ft</t>
  </si>
  <si>
    <t>Kötelező feladatellátás</t>
  </si>
  <si>
    <t>Óvodai intézményi gyermekétkeztetés (COFOG:096015)</t>
  </si>
  <si>
    <t>ÓVODA MINDÖSSZESEN</t>
  </si>
  <si>
    <t>Reprezentáció</t>
  </si>
  <si>
    <t>egyéb szakmai anyag beszerzés</t>
  </si>
  <si>
    <t>óvodai éves beszámoló csomag</t>
  </si>
  <si>
    <t>Logopédiai szolgáltatás</t>
  </si>
  <si>
    <t xml:space="preserve">Orvosi ellátás </t>
  </si>
  <si>
    <t>Bankszámla vezetéshez kapcsolódó kiadások</t>
  </si>
  <si>
    <t>Szemét szállítási díj</t>
  </si>
  <si>
    <t>Egyéb üzemeltetési szolgáltatások (rágcsálóírtás, munka- és tűzvédelmi feladatok, tűzoltókészülékek cseréje)</t>
  </si>
  <si>
    <t>jénai tálak 20db</t>
  </si>
  <si>
    <t>merőkanalak</t>
  </si>
  <si>
    <t>ipari porszívó 1 db</t>
  </si>
  <si>
    <t>szőnyegek</t>
  </si>
  <si>
    <t>gyermekbútor(szükség lenne beszerzésre: 500.000 Ft)</t>
  </si>
  <si>
    <t>udvari játékok (minimum 2.000.000 Ft-os beszerzésre lenne szükség)</t>
  </si>
  <si>
    <t>egyéb (elkopott játékok pótlása)</t>
  </si>
  <si>
    <t>fejlesztőjátékok</t>
  </si>
  <si>
    <t>kézi mixer</t>
  </si>
  <si>
    <t>Sencor CD-s rádió</t>
  </si>
  <si>
    <t>III. BERUHÁZÁSI KIADÁSOK ÖSSZESEN:</t>
  </si>
  <si>
    <t>Egyéb tárgyi eszközök felújítása (KAZÁN)</t>
  </si>
  <si>
    <r>
      <t>Felújítási célú előzetesen felszámított általános forgalmi adó</t>
    </r>
    <r>
      <rPr>
        <b/>
        <sz val="11"/>
        <color indexed="10"/>
        <rFont val="Times New Roman"/>
        <family val="1"/>
        <charset val="238"/>
      </rPr>
      <t xml:space="preserve"> </t>
    </r>
  </si>
  <si>
    <t>IV. FELÚJÍTÁSI KIADÁSOK ÖSSZESEN:</t>
  </si>
  <si>
    <t>KIADÁSOK ÖSSZESEN:</t>
  </si>
  <si>
    <t>B405</t>
  </si>
  <si>
    <t>Intézményi étkeztetés ÁFA</t>
  </si>
  <si>
    <t>B406</t>
  </si>
  <si>
    <t>ebből állami normatíva dologi  kiadások</t>
  </si>
  <si>
    <t>ebből állami normatíva: Személyi jellegű ráfordítások</t>
  </si>
  <si>
    <t xml:space="preserve">ebből önkormányzati saját forrás </t>
  </si>
  <si>
    <t>Óvodai nevelés, működési feladatok (091140)</t>
  </si>
  <si>
    <t>Óvodai nevelés, szakmai feladatok (COFOG: 091130)-Nemzetiségi</t>
  </si>
  <si>
    <t>Óvodai nevelés, szakmai feladatok (COFOG: 091110)-Általános</t>
  </si>
  <si>
    <t>2017. évi előirányzat</t>
  </si>
  <si>
    <t>Karbantartási, kisjavítási szolgáltatások</t>
  </si>
  <si>
    <t>Védőnői szolgálat (074032)</t>
  </si>
  <si>
    <t>B355</t>
  </si>
  <si>
    <t>Internet díja</t>
  </si>
  <si>
    <t>Telefon díja (mobil és vezetékes)</t>
  </si>
  <si>
    <t xml:space="preserve">Egyéb szakmai szolgáltatás (tanfolyamdíj, konferenciák)     </t>
  </si>
  <si>
    <t>1. számú melléklet</t>
  </si>
  <si>
    <t>2.számú melléklet</t>
  </si>
  <si>
    <t>4. számú melléklet</t>
  </si>
  <si>
    <t>5.melléklet</t>
  </si>
  <si>
    <t>6. melléklet</t>
  </si>
  <si>
    <t>7. melléklet</t>
  </si>
  <si>
    <t>13. melléklet</t>
  </si>
  <si>
    <t>14. melléklet</t>
  </si>
  <si>
    <t>Áru- és készletértékesítés ellenértéke</t>
  </si>
  <si>
    <t xml:space="preserve">Szolgáltatások ellenértéke  / igazgatási tevékenység </t>
  </si>
  <si>
    <t xml:space="preserve">Közvetített szolgáltatások értéke </t>
  </si>
  <si>
    <t>Tulajdonosi bevételek</t>
  </si>
  <si>
    <t>Reptér bérlet</t>
  </si>
  <si>
    <t>Lakbér</t>
  </si>
  <si>
    <t>Sport bérlet</t>
  </si>
  <si>
    <t>Közterület - mozgóárus</t>
  </si>
  <si>
    <t>Ellátási díjak</t>
  </si>
  <si>
    <t>Kiszámlázott általános forgalmi adó</t>
  </si>
  <si>
    <t>Általános forgalmi adó visszatérítése</t>
  </si>
  <si>
    <t>Egyéb működési bevételek</t>
  </si>
  <si>
    <t>Működési bevételek (=18+…+26)</t>
  </si>
  <si>
    <t>Rovat</t>
  </si>
  <si>
    <t>B401</t>
  </si>
  <si>
    <t>B403</t>
  </si>
  <si>
    <t>B404</t>
  </si>
  <si>
    <t>B407</t>
  </si>
  <si>
    <t>B411</t>
  </si>
  <si>
    <t>Egyéb</t>
  </si>
  <si>
    <t>Kecskéd Község Önkormányzatának 2018. évi dologi kiadás táblázata</t>
  </si>
  <si>
    <t>2018. évi előirányzat eredeti</t>
  </si>
  <si>
    <t>Szennyvízcsatorna építése, üzemeltetése (052080)</t>
  </si>
  <si>
    <t>Közművelődési feladatok (082091)</t>
  </si>
  <si>
    <t>Kulturális szolgáltatási tevékenység mindösszesen</t>
  </si>
  <si>
    <t>Előző évhez képest eltérés</t>
  </si>
  <si>
    <t>Rendezvények</t>
  </si>
  <si>
    <t>Könyvtári tevékenység</t>
  </si>
  <si>
    <t xml:space="preserve">           Falunap </t>
  </si>
  <si>
    <r>
      <t>Szüreti mulatság</t>
    </r>
    <r>
      <rPr>
        <sz val="8"/>
        <rFont val="Arial"/>
        <family val="2"/>
        <charset val="238"/>
      </rPr>
      <t xml:space="preserve"> ( minden páros év )</t>
    </r>
  </si>
  <si>
    <t>Idősek napja</t>
  </si>
  <si>
    <t>Falukarácsony és advent</t>
  </si>
  <si>
    <t>Fogorvosi ügyeleti ellátás (072312)</t>
  </si>
  <si>
    <t>I. Települési támogatás ( szoc tv 45 §)</t>
  </si>
  <si>
    <t>107060</t>
  </si>
  <si>
    <t xml:space="preserve">1. lakhatáshoz kapcsolódó rendszeres kiadások ( szoc tv 45§(1)bek a. </t>
  </si>
  <si>
    <t>2. Ápolási díj ( szoc tv 45 § (1) b.</t>
  </si>
  <si>
    <t>3.Gyógyszertámogatás ( szoc tv 45.§ (1) c.</t>
  </si>
  <si>
    <t>II. Rendkívüli települési támogatás</t>
  </si>
  <si>
    <t>1 Átmeneti segély (Szoc.tv. 45. § )</t>
  </si>
  <si>
    <t xml:space="preserve">    - beteggyermek ellátás </t>
  </si>
  <si>
    <t>103010</t>
  </si>
  <si>
    <t>2 Temetési segély (Szoc.tv. 46.§</t>
  </si>
  <si>
    <t>3.Újszülöttek támogatás 30.000.-ft/fő</t>
  </si>
  <si>
    <t>5.Étkezés térítési díj mérséklése szociális alapon (Szoc.tv. 62.§)Oroszlány</t>
  </si>
  <si>
    <t>6. Óvoda kezdési támogatás</t>
  </si>
  <si>
    <t>9. Karácsonyi támogatás iskola, óvoda 1.000,-ft/gyerek</t>
  </si>
  <si>
    <t>Települési támogatások szoc.tv.</t>
  </si>
  <si>
    <t>Működési támogatás Német Nemzetiségi Önkormányazat</t>
  </si>
  <si>
    <t>084031</t>
  </si>
  <si>
    <t>072311</t>
  </si>
  <si>
    <t>072111</t>
  </si>
  <si>
    <t>Háziorvosi szolgálat</t>
  </si>
  <si>
    <t>Támogatás civil szervezeteknek</t>
  </si>
  <si>
    <t xml:space="preserve">Sport Egyesület TAO pályázat önrész </t>
  </si>
  <si>
    <t xml:space="preserve">Képviselői keret </t>
  </si>
  <si>
    <t>Egyéb működési célú támogatások államháztartáson belülre (K506)</t>
  </si>
  <si>
    <t>Egyéb működési célú támogatások államháztartáson kívülre (K512)</t>
  </si>
  <si>
    <t>Mindösszesen (K5)</t>
  </si>
  <si>
    <t>EMMI- Bursa Hungarica</t>
  </si>
  <si>
    <t>Vasút utcai ingatlan megvásárlása</t>
  </si>
  <si>
    <t>Kecskéd Község Önkormányzatának beruházási és felújításai tábla</t>
  </si>
  <si>
    <t>Városüzemeltetési feladatok mindösszesen 2018. évi eredeti előirányzat</t>
  </si>
  <si>
    <t>Szociális feladat ellátás mindösszesen 2018. évi eredeti előirányzat</t>
  </si>
  <si>
    <t>Gyermek étkeztetés</t>
  </si>
  <si>
    <t>Gyermekétkeztetés (096015)</t>
  </si>
  <si>
    <t>Díjak, egyéb befizetések</t>
  </si>
  <si>
    <t>IAR  hulladékszállító bérletidíj</t>
  </si>
  <si>
    <t>Almabeszerzése gyerekeknek</t>
  </si>
  <si>
    <t>Informatikai biztonság üzemeltetése (Közinformatika  Nonprofit Kft.) 20.000 Ft/hó</t>
  </si>
  <si>
    <t>Mobil szolgáltatás díja Magyar Telekom</t>
  </si>
  <si>
    <t>Karbantartási, kisjavítási szolgáltatások - hivatal épületében várható kiskarbantartási munkák</t>
  </si>
  <si>
    <t>Gazdasági szaktanácsadó (könyvelés, adatszolgáltatás)</t>
  </si>
  <si>
    <t>Bankszámla vezetési díjak - Pannon Takarék</t>
  </si>
  <si>
    <t>Munkavédelmi szolgáltatás - Fehér József</t>
  </si>
  <si>
    <t>Gyepmesteri tevékenység</t>
  </si>
  <si>
    <t>TÖOSZ tagdíj</t>
  </si>
  <si>
    <t>ÁltarÉr Vízgyűjtő Szövetség tagdíj</t>
  </si>
  <si>
    <t>Vértes- Gerecse tagdíj</t>
  </si>
  <si>
    <t>Közép-Duna Vidéke Önk.Társulás</t>
  </si>
  <si>
    <t>Komáromi Vízitársulat</t>
  </si>
  <si>
    <t>Hajtó- és kenőanyag beszerzés ÜZEMANYAG</t>
  </si>
  <si>
    <t>Fakivágás</t>
  </si>
  <si>
    <t>Hóeltakarítási munkálatok</t>
  </si>
  <si>
    <t>Közbeszerzési szakértő</t>
  </si>
  <si>
    <t>Közbeszerzési eljárási díj</t>
  </si>
  <si>
    <t>MINDÖSSZSEN</t>
  </si>
  <si>
    <t>KECSKÉD KÖZSÉG ÖNKORMÁNYZAT KIADÁSAI Gyermekétkeztetési feladatok</t>
  </si>
  <si>
    <t>9.melléklet</t>
  </si>
  <si>
    <t>KECSKÉD KÖZSÉG ÖNKORMÁNYZAT KIADÁSAI Egészségügyi feladatok</t>
  </si>
  <si>
    <t>Közművelődési szolgáltatás</t>
  </si>
  <si>
    <t>Kecskédi Új Tükör lapkiadás</t>
  </si>
  <si>
    <t>Kecskédről prospektus</t>
  </si>
  <si>
    <t>KECSKÉD KÖZSÉG ÖNKORMÁNYZAT KIADÁSAI Közfoglalkoztatás</t>
  </si>
  <si>
    <t>Építményadó</t>
  </si>
  <si>
    <t>Felhalmozási célú nyújott kölcsönök</t>
  </si>
  <si>
    <t>Általános tartalék</t>
  </si>
  <si>
    <t>K513</t>
  </si>
  <si>
    <t>Felhalmozási célú nyújtott kölcsönök</t>
  </si>
  <si>
    <t>10.melléklet</t>
  </si>
  <si>
    <t>11.melléklet</t>
  </si>
  <si>
    <t>15. melléklet</t>
  </si>
  <si>
    <t>16. melléklet</t>
  </si>
  <si>
    <t>17. melléklet</t>
  </si>
  <si>
    <t>Jogi képviseleti díj</t>
  </si>
  <si>
    <t>Közterület karbantartási munkáltatok (pl. buszmegálló)</t>
  </si>
  <si>
    <t>2155 fő</t>
  </si>
  <si>
    <t>KECSKÉD KÖZSÉG ÖNKORMÁNYZAT KIADÁSAI Közművelődési feladatok</t>
  </si>
  <si>
    <t>Rendezvények archiválása</t>
  </si>
  <si>
    <t>Gyermekjóléti és családsegítő szolgálat</t>
  </si>
  <si>
    <t>Házi segítségnyújtás</t>
  </si>
  <si>
    <t>Hitel felvétele</t>
  </si>
  <si>
    <t>Hitel felvétele beruházáshoz kapcsolódó -Út felújítás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</si>
  <si>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</si>
  <si>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</si>
  <si>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</si>
  <si>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</si>
  <si>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</si>
  <si>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</si>
  <si>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</si>
  <si>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</si>
  <si>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</si>
  <si>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</si>
  <si>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</si>
  <si>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</si>
  <si>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mindösszesen</t>
  </si>
  <si>
    <t>B E V É T E L E K</t>
  </si>
  <si>
    <t>Önkormányzat és intézményei</t>
  </si>
  <si>
    <t>Önkormányzat gazd kör. működési bevételei</t>
  </si>
  <si>
    <t>Önkormányzat gazd.kör. felhalmozási bevételei</t>
  </si>
  <si>
    <t>Bevételek összesen:</t>
  </si>
  <si>
    <t>K I A D Á S O K</t>
  </si>
  <si>
    <t>Önkormányzat és Intézményei</t>
  </si>
  <si>
    <t>Működési kiadásai</t>
  </si>
  <si>
    <t>Felújítási kiadásai</t>
  </si>
  <si>
    <t>Megelőlegezés</t>
  </si>
  <si>
    <t>Kiadások összesen:</t>
  </si>
  <si>
    <t>Önkormányzat kiadásai összesen:</t>
  </si>
  <si>
    <t>Önkormányzat bevételei összesen:</t>
  </si>
  <si>
    <t>Bevételek, kiadások egyenlege</t>
  </si>
  <si>
    <t>Intézmény /szakfeladat/</t>
  </si>
  <si>
    <t xml:space="preserve">engedélyezett létszám összesen </t>
  </si>
  <si>
    <t>Engedélyezett létszám</t>
  </si>
  <si>
    <t>szakmai létszám</t>
  </si>
  <si>
    <t>egyéb létszám</t>
  </si>
  <si>
    <t>közfoglal</t>
  </si>
  <si>
    <t>teljes munkai.</t>
  </si>
  <si>
    <t>választott köztiszt.</t>
  </si>
  <si>
    <t>részmunkaidős</t>
  </si>
  <si>
    <t>teljes munkaidős</t>
  </si>
  <si>
    <t>részmunkaid.</t>
  </si>
  <si>
    <t xml:space="preserve">Polgármesteri Hivatal </t>
  </si>
  <si>
    <t xml:space="preserve">Önkormányzat </t>
  </si>
  <si>
    <t>összeg</t>
  </si>
  <si>
    <t>Összesen</t>
  </si>
  <si>
    <t>adatok forintban</t>
  </si>
  <si>
    <t>MEGNEVEZÉS</t>
  </si>
  <si>
    <t>Saját bevétel és adósságot keletkeztető ügyletből eredő fizetési kötelezettség összegei</t>
  </si>
  <si>
    <t>ÖSSZESEN
7=(3+4+5+6)</t>
  </si>
  <si>
    <t>Helyi adók</t>
  </si>
  <si>
    <t>01</t>
  </si>
  <si>
    <t>Osztalék, koncessziós díjak</t>
  </si>
  <si>
    <t>02</t>
  </si>
  <si>
    <t>Díjak, pótlékok, bírságok</t>
  </si>
  <si>
    <t>03</t>
  </si>
  <si>
    <t>Tárgyi eszközök, immateriális javak, vagyoni értékű jog értékesítése, vagyonhasznosításból származó bevétel</t>
  </si>
  <si>
    <t>04</t>
  </si>
  <si>
    <t>Részvények, részesedések értékesítése</t>
  </si>
  <si>
    <t>05</t>
  </si>
  <si>
    <t>Vállalatértékesítésből, privatizációból származó bevételek</t>
  </si>
  <si>
    <t>06</t>
  </si>
  <si>
    <t>Kezességvállalással kapcsolatos megtérülés</t>
  </si>
  <si>
    <t>07</t>
  </si>
  <si>
    <t>Saját bevételek (01+… .+07)</t>
  </si>
  <si>
    <t>08</t>
  </si>
  <si>
    <t xml:space="preserve">Saját bevételek  (08. sor)  50%-a </t>
  </si>
  <si>
    <t>09</t>
  </si>
  <si>
    <t>Előző év(ek)ben keletkezett tárgyévi fizetési kötelezettség (11+…..+17)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</si>
  <si>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</si>
  <si>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</si>
  <si>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</si>
  <si>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</si>
  <si>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</si>
  <si>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</si>
  <si>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</si>
  <si>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Tárgyévben keletkezett, illetve keletkező, tárgyévet terhelő fizetési kötelezettség (19+…..+25)</t>
  </si>
  <si>
    <t>Fizetési kötelezettség összesen (10+18)</t>
  </si>
  <si>
    <t>Fizetési kötelezettséggel csökkentett saját bevétel (09-26)</t>
  </si>
  <si>
    <t>Kecskéd Község  Önkormányzata adósságot keletkeztető ügyleteiből eredő fizetési kötelezettségeinek bemutatása</t>
  </si>
  <si>
    <t>Kötelezettség jogcíme</t>
  </si>
  <si>
    <t>Kötelezettség vállalás éve</t>
  </si>
  <si>
    <t>Lejárat éve</t>
  </si>
  <si>
    <t>MŰKÖDÉSI CÉLÚ KÖTELEZETTSÉGEK ÖSSZESEN</t>
  </si>
  <si>
    <t>FELHALMOZÁSI CÉLÚ KÖTELEZETTSÉGEK ÖSSZESEN</t>
  </si>
  <si>
    <t>MINDÖSSZESEN:</t>
  </si>
  <si>
    <t>Kecskéd Község Önkormányzatának több éves kihatással járó kötelezettségei</t>
  </si>
  <si>
    <t>ebből: IFA</t>
  </si>
  <si>
    <t xml:space="preserve">                            Zárópénzkészlet kimutatás</t>
  </si>
  <si>
    <t>polgármester</t>
  </si>
  <si>
    <t>védőnő</t>
  </si>
  <si>
    <t>ÖSSZESEN</t>
  </si>
  <si>
    <t xml:space="preserve"> Óvoda,konyha</t>
  </si>
  <si>
    <t>Áht.24.§.(4).bek.c.pont</t>
  </si>
  <si>
    <t>KECSKÉD KÖZSÉG ÖNKORMÁNYZAT ÁLTALÁNOS KIADÁSAI 011130 COFOG</t>
  </si>
  <si>
    <t>KECSKÉD KÖZSÉG ÖNKORMÁNYZAT KIADÁSAI Településüzemeltetési feladatok</t>
  </si>
  <si>
    <t>Településüzemeltetési feladatok</t>
  </si>
  <si>
    <t xml:space="preserve">19. melléklet </t>
  </si>
  <si>
    <t>létszámkerete</t>
  </si>
  <si>
    <t xml:space="preserve">Telekadó </t>
  </si>
  <si>
    <t xml:space="preserve">Magánsz. Kom.a. </t>
  </si>
  <si>
    <t>kötelezettségeinek bemutatása</t>
  </si>
  <si>
    <t xml:space="preserve">23. melléklet </t>
  </si>
  <si>
    <t>Teljesítés %-ban</t>
  </si>
  <si>
    <t>Előirányzat</t>
  </si>
  <si>
    <r>
      <t>Gyermekétkeztetés szülői befizetés</t>
    </r>
    <r>
      <rPr>
        <b/>
        <sz val="10"/>
        <rFont val="Times New Roman"/>
        <family val="1"/>
        <charset val="238"/>
      </rPr>
      <t xml:space="preserve"> NETTÓ</t>
    </r>
  </si>
  <si>
    <t>Települési önkormányzatok működési támogatásai (B115)</t>
  </si>
  <si>
    <t>Bursa Hungarica visszatérített összege</t>
  </si>
  <si>
    <t>Teljesítés</t>
  </si>
  <si>
    <r>
      <t>Szüreti mulatság</t>
    </r>
    <r>
      <rPr>
        <sz val="10"/>
        <rFont val="Arial"/>
        <family val="2"/>
        <charset val="238"/>
      </rPr>
      <t xml:space="preserve"> ( minden páros év )</t>
    </r>
  </si>
  <si>
    <t>Személyi jellegű ráfordítás</t>
  </si>
  <si>
    <t>Járulék</t>
  </si>
  <si>
    <r>
      <t xml:space="preserve">Karbantartási, kisjavítási szolgáltatások - </t>
    </r>
    <r>
      <rPr>
        <b/>
        <sz val="8"/>
        <color rgb="FFFF0000"/>
        <rFont val="Times New Roman"/>
        <family val="1"/>
        <charset val="238"/>
      </rPr>
      <t>Városgazdálkodási feladatokhoz kapcsolódó karbantartási munkálatok, pl. hézagjavítási munkálatok az utakon</t>
    </r>
  </si>
  <si>
    <t>Szüreti mulatság ( minden páros év )</t>
  </si>
  <si>
    <t>Módosított előirányzat</t>
  </si>
  <si>
    <t>VI.</t>
  </si>
  <si>
    <t>Elszámolásból származó bevétel (B116)</t>
  </si>
  <si>
    <t>Csatorna bérleti díja</t>
  </si>
  <si>
    <t>Mercedes gépjármű bérleti díj</t>
  </si>
  <si>
    <t>ADÓALÓLMENTES</t>
  </si>
  <si>
    <t>Biztosító által fizetett kártérítés</t>
  </si>
  <si>
    <t>B410</t>
  </si>
  <si>
    <t>2018. évi módosított előirányzat</t>
  </si>
  <si>
    <t>Basic fejlesztési csomag beszerzése (pályázatok elkészítéséhez)</t>
  </si>
  <si>
    <t>Egyéb személyi jellegű kiadások</t>
  </si>
  <si>
    <t>Cafeteria</t>
  </si>
  <si>
    <t>Egyéb személyi juttatások</t>
  </si>
  <si>
    <t>Egyéb költségtérítés</t>
  </si>
  <si>
    <t>Dologi kiadás</t>
  </si>
  <si>
    <t>Maradvány</t>
  </si>
  <si>
    <t xml:space="preserve"> </t>
  </si>
  <si>
    <t>2018. évi módosított ei.</t>
  </si>
  <si>
    <t>2018.09.30. Teljesítés</t>
  </si>
  <si>
    <t>Mindösszesen teljesítés</t>
  </si>
  <si>
    <t>ÁH-n belül átvett pénzeszköz</t>
  </si>
  <si>
    <t>Felújítások</t>
  </si>
  <si>
    <t>Általános kiadás</t>
  </si>
  <si>
    <t>Egészségügyi feladatok</t>
  </si>
  <si>
    <t>Kulturális szolgáltatások</t>
  </si>
  <si>
    <t>Település támogatás</t>
  </si>
  <si>
    <t>Rovat megnevezése/Feladat ellátás</t>
  </si>
  <si>
    <t>Átadott pénzeszközök</t>
  </si>
  <si>
    <t>Személyi jellegű ráfordítás K1</t>
  </si>
  <si>
    <t>Járulékok K2</t>
  </si>
  <si>
    <t>Települési támogatások K4</t>
  </si>
  <si>
    <t>Átadott pénzeszközök K5</t>
  </si>
  <si>
    <t>Település üzemeltetés</t>
  </si>
  <si>
    <t>Kecskéd Község Önkormányzat kiadásainak összefoglaló táblázata</t>
  </si>
  <si>
    <t>Egyéb felhalmozási célú kiadások K8</t>
  </si>
  <si>
    <t>Tartalék K513</t>
  </si>
  <si>
    <t>Megelőlegezés K914</t>
  </si>
  <si>
    <t>Maradvány, intézményi finanszírozás, megelőlegezés</t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</si>
  <si>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 xml:space="preserve">Horgász Egyesület  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</si>
  <si>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 xml:space="preserve">Lovas Baráti Kör    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</si>
  <si>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 xml:space="preserve">Néptánc Egyesület   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</si>
  <si>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 xml:space="preserve">Tűzoltó Egyesület </t>
    </r>
  </si>
  <si>
    <r>
      <t>7.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 xml:space="preserve">Nyugdíjas Klub  </t>
    </r>
  </si>
  <si>
    <r>
      <t>8.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 xml:space="preserve">Bendegúz Vére Egyesület </t>
    </r>
  </si>
  <si>
    <r>
      <t>9.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Vakok és Gyengén-látók egyesülete</t>
    </r>
  </si>
  <si>
    <t>Egyéb rendezvények</t>
  </si>
  <si>
    <t>Önkormányzati Szociális Szolgálat</t>
  </si>
  <si>
    <t>Étkeztetési feladatok</t>
  </si>
  <si>
    <t>Szociális étkeztetés (107051)</t>
  </si>
  <si>
    <t>2019 év</t>
  </si>
  <si>
    <t>2019. évi előirányzat</t>
  </si>
  <si>
    <t>Önkormányzati saját bevételből átutalt</t>
  </si>
  <si>
    <t>Egyéb külső személyi juttatások-reprezentáció (Választási bérktg+ Adós bér)</t>
  </si>
  <si>
    <t>Egyéb dologi kiadások (koszorú, egyéb…)</t>
  </si>
  <si>
    <t>Ssz</t>
  </si>
  <si>
    <t>Számla száma</t>
  </si>
  <si>
    <t>Önkormányzat pénzforgalmi számla</t>
  </si>
  <si>
    <t>63300020-12000980</t>
  </si>
  <si>
    <t>Polgármesteri Hivatal pénzforgalmi szla.</t>
  </si>
  <si>
    <t>63300020-11068288</t>
  </si>
  <si>
    <t>Államigazgatási elj.ill.sz. (egyéb bevételek)</t>
  </si>
  <si>
    <t>63300020-11048606</t>
  </si>
  <si>
    <t>Állami hozzájárulás számla</t>
  </si>
  <si>
    <t>63300020-12007523</t>
  </si>
  <si>
    <t>közfoglalkoztatási áll.tám.átvez.szla</t>
  </si>
  <si>
    <t>63300020-11070863</t>
  </si>
  <si>
    <t>Napközi Otthonos Óvoda</t>
  </si>
  <si>
    <t>63300020-11072009</t>
  </si>
  <si>
    <t>Egyéb elkülönített számla (TOP rendelő, kerékpárút megnyitva: 2016.III.30.)</t>
  </si>
  <si>
    <t>63300020-11079109</t>
  </si>
  <si>
    <t>Egyéb elkülönített számla (TOP iskola megnyitva: 2017.V.11.)</t>
  </si>
  <si>
    <t>63300020-11098742</t>
  </si>
  <si>
    <t>Építményadó beszedési számla</t>
  </si>
  <si>
    <t>63300020-12006010</t>
  </si>
  <si>
    <t>Telekadóbeszedési számla</t>
  </si>
  <si>
    <t>63300020-12007035</t>
  </si>
  <si>
    <t>Termőföld bérbeadásból származó jöv. beszedési számla</t>
  </si>
  <si>
    <t>63300020-12006034</t>
  </si>
  <si>
    <t>Gépjárműadóbeszedési számla</t>
  </si>
  <si>
    <t>63300020-12001015</t>
  </si>
  <si>
    <t>Egyéb bevétel beszedési számla</t>
  </si>
  <si>
    <t>63300020-12000997</t>
  </si>
  <si>
    <t>Bírság beszedési számla</t>
  </si>
  <si>
    <t>63300020-12006041</t>
  </si>
  <si>
    <t>Talajterhelési számla</t>
  </si>
  <si>
    <t>63300020-11046965</t>
  </si>
  <si>
    <t>Késedelmi pótlék beszedési szála</t>
  </si>
  <si>
    <t>63300020-12006058</t>
  </si>
  <si>
    <t>Iparűzési adó beszedési számla</t>
  </si>
  <si>
    <t>63300020-12005239</t>
  </si>
  <si>
    <t>Magánszemélyek kommunális adója</t>
  </si>
  <si>
    <t>63300020-11048974</t>
  </si>
  <si>
    <t>Idegenbevételek számla</t>
  </si>
  <si>
    <t>63300020-11040330</t>
  </si>
  <si>
    <t>Vállalkozók kommunális adója számla</t>
  </si>
  <si>
    <t>63300020-12006027</t>
  </si>
  <si>
    <t>Tartózkodási idő utáni idegenforgalmi adó beszedési számla</t>
  </si>
  <si>
    <t>63300020-11098728</t>
  </si>
  <si>
    <t>Önkorm. beruh.célú fedezetbizt. számla</t>
  </si>
  <si>
    <t>63300020-12001046</t>
  </si>
  <si>
    <t>63300020-11077554</t>
  </si>
  <si>
    <t>Előrehozott adók számla</t>
  </si>
  <si>
    <t>63300020-00072445</t>
  </si>
  <si>
    <t>MÁK – TOP Kerékpár út</t>
  </si>
  <si>
    <t>10036004-00349305-00000017</t>
  </si>
  <si>
    <t>MÁK -TOP Orvosi rendelő</t>
  </si>
  <si>
    <t>10036004- 00349305-00000031</t>
  </si>
  <si>
    <t>MÁK – TOP Iskola</t>
  </si>
  <si>
    <t>10036004-00349305-00000024</t>
  </si>
  <si>
    <t>Betét számla</t>
  </si>
  <si>
    <t>63300020-34797514</t>
  </si>
  <si>
    <t>63300020-34800025</t>
  </si>
  <si>
    <t>63300020-34800032</t>
  </si>
  <si>
    <t>63300020-34800049</t>
  </si>
  <si>
    <t>63300020-34800070</t>
  </si>
  <si>
    <t>63300020-34932478</t>
  </si>
  <si>
    <t>Egyéb jogviszony (Fejlesztő ped.)</t>
  </si>
  <si>
    <t>Számítógép beszerzés (notebook)</t>
  </si>
  <si>
    <t>TP link, optikai kábel beszerzés, beszereléssel</t>
  </si>
  <si>
    <t>Előirányzat 2019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</si>
  <si>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Sport Egyesület   (működés+bérlet)</t>
    </r>
  </si>
  <si>
    <t xml:space="preserve">2019. évi előirányzat </t>
  </si>
  <si>
    <t>Beruházási célú előzetesen felszámított általános forgalmi adó (érdeknöv áfája)</t>
  </si>
  <si>
    <t>Banki atm kialakítás ktgei</t>
  </si>
  <si>
    <t>IBF (kamerarendszer, szerverszoba, stb…)</t>
  </si>
  <si>
    <t>Iskola beruházás (bruttó)</t>
  </si>
  <si>
    <t>Orvosi rendelő beruházás (bruttó)</t>
  </si>
  <si>
    <t>Öreg iskola melletti kerítés (bruttó)</t>
  </si>
  <si>
    <r>
      <t>V</t>
    </r>
    <r>
      <rPr>
        <b/>
        <i/>
        <sz val="10"/>
        <rFont val="Arial"/>
        <family val="2"/>
      </rPr>
      <t>ízelvezetés tervezés</t>
    </r>
    <r>
      <rPr>
        <sz val="10"/>
        <rFont val="Arial"/>
        <family val="2"/>
      </rPr>
      <t xml:space="preserve"> (Belterületi terület - Malomárok rendezés terve) (bruttó)</t>
    </r>
  </si>
  <si>
    <t>~járda Óvoda utca, Majki utca pályázati (bruttó)</t>
  </si>
  <si>
    <t>Új utca tervezési ktg</t>
  </si>
  <si>
    <t>Magyar falu program pályázathoz tervezési és egyéb költségek</t>
  </si>
  <si>
    <t>2019. évi eredeti előirányzat</t>
  </si>
  <si>
    <t>Eredeti előirányzat 2019</t>
  </si>
  <si>
    <t>Egyéb tevékenység (csekk nyomtatás 60E, DPO 800E)</t>
  </si>
  <si>
    <t>Egyéb szakmai szolgáltatás ( képzési költségek, szabályzatok felülvizsg.)</t>
  </si>
  <si>
    <t>III. Téli rezsicsökkentés</t>
  </si>
  <si>
    <t>B25</t>
  </si>
  <si>
    <t>TOP KERÉKPÁRÚT</t>
  </si>
  <si>
    <t>TOP RENDELŐ</t>
  </si>
  <si>
    <t>összesen</t>
  </si>
  <si>
    <t>2019. ÉVI EREDETI ELŐIRÁNYZAT -TERV-</t>
  </si>
  <si>
    <t>2019. évi eredeti</t>
  </si>
  <si>
    <t>Óvoda fűtés, és belső felújítás</t>
  </si>
  <si>
    <t>Hídak javítása</t>
  </si>
  <si>
    <t>Ellenőrző oszlop</t>
  </si>
  <si>
    <t>Előirányzat eredeti 2019</t>
  </si>
  <si>
    <t>Eredeti előirányzat 2018</t>
  </si>
  <si>
    <t>Módosított előirányzat 2018</t>
  </si>
  <si>
    <t>2018. évi eredeti</t>
  </si>
  <si>
    <t>2018. évi módosított</t>
  </si>
  <si>
    <t>Előirányzat eredeti 2018.</t>
  </si>
  <si>
    <t>Módosított előirányzat 2018.</t>
  </si>
  <si>
    <t>Előirányzat 2019.</t>
  </si>
  <si>
    <t>Előirányzat 2018. eredeti</t>
  </si>
  <si>
    <t>Előirányzat 2018. módosított</t>
  </si>
  <si>
    <t>Előirányzat 2018. évi eredeti</t>
  </si>
  <si>
    <t>Előirányzat 2018. évi módosított</t>
  </si>
  <si>
    <t>Eredeti előirányzat 2018. év</t>
  </si>
  <si>
    <t>Módosított előirányzat 2018. év</t>
  </si>
  <si>
    <t>2018. évi eredeti előirányzat</t>
  </si>
  <si>
    <t>Normatíva támogatás</t>
  </si>
  <si>
    <t>B21</t>
  </si>
  <si>
    <t>Felhalmozási célú beruházási összeg-Majki utca és Óvoda utca beruházás</t>
  </si>
  <si>
    <t>K8</t>
  </si>
  <si>
    <t>Rendezési terv (bruttó)</t>
  </si>
  <si>
    <t>Közvetett támogatások</t>
  </si>
  <si>
    <t>Nemzetiségi pótlék</t>
  </si>
  <si>
    <t>Beruházási kiadások</t>
  </si>
  <si>
    <t>Átadott pénzeszközök ütemezése</t>
  </si>
  <si>
    <t>Intézmények kiadásai</t>
  </si>
  <si>
    <t>Intézmények bevételei</t>
  </si>
  <si>
    <t>Városüzemeltetési feladaok</t>
  </si>
  <si>
    <t>Védőnői szolgálat (074031; 074032)</t>
  </si>
  <si>
    <t>Vagyongazdálkodás (013350)</t>
  </si>
  <si>
    <t>Egészségügyi ellátás mindösszesen</t>
  </si>
  <si>
    <t>Egybé bér jellegű</t>
  </si>
  <si>
    <t>11.Kecskédi Általános Iskolásokért Alapítvány</t>
  </si>
  <si>
    <t>10. Komáromi Vízitársulat</t>
  </si>
  <si>
    <t>Teljesítési arány</t>
  </si>
  <si>
    <t>ÉDV értéknövelő beruházás</t>
  </si>
  <si>
    <t>Egyéb kapott kamatok</t>
  </si>
  <si>
    <t>B408</t>
  </si>
  <si>
    <t>B814</t>
  </si>
  <si>
    <t>Lekötött betét megszüntetése</t>
  </si>
  <si>
    <t>B817</t>
  </si>
  <si>
    <t>Lekötött betét felbontása</t>
  </si>
  <si>
    <t>Lekötött betét</t>
  </si>
  <si>
    <t>Teljesítési adatok 2019.10.31</t>
  </si>
  <si>
    <t>Módosítás 2019.10.31.</t>
  </si>
  <si>
    <t>Módosított előirányzat 2019.10.31.</t>
  </si>
  <si>
    <t>Teljesítés 2019.10.31</t>
  </si>
  <si>
    <t>Módosítás 2019.10.31</t>
  </si>
  <si>
    <t>Módosított előirányzat 2019.10.31</t>
  </si>
  <si>
    <t>50430347-10007015</t>
  </si>
  <si>
    <t>Fogorvosi ellátás (072312; 072311)</t>
  </si>
  <si>
    <t>Házi orvosi ellátás (072112; 072111)</t>
  </si>
  <si>
    <t>Kecskédi Tükör,Prospektusok (213400 részletező)</t>
  </si>
  <si>
    <t>Állat egészségügy (042180)</t>
  </si>
  <si>
    <t>Sportlétesítmény müködtetése (081030)</t>
  </si>
  <si>
    <t>Rendezvények (016080)</t>
  </si>
  <si>
    <t>12.000 ft/háztartás (Végh)</t>
  </si>
  <si>
    <t>11.Szociális tüzifa szállítás  + önrész (Vértesi)</t>
  </si>
  <si>
    <t>12.Schmetterling Alapítvány</t>
  </si>
  <si>
    <t>Módosítás</t>
  </si>
  <si>
    <t>2019.10.31. Módosított előirányzat</t>
  </si>
  <si>
    <t>Teljesítés 2019.10.31.</t>
  </si>
  <si>
    <t>Állami támogatás (B16)</t>
  </si>
  <si>
    <t>2019.10.31. Módosított</t>
  </si>
  <si>
    <t>2019.10.31. Teljesítés</t>
  </si>
  <si>
    <t>Egyéb bevétel</t>
  </si>
  <si>
    <t>MARADVÁNY ÖSSZEGE</t>
  </si>
  <si>
    <t>Könyvelés alapján</t>
  </si>
  <si>
    <t xml:space="preserve">Kerékpárút TOP </t>
  </si>
  <si>
    <t>Iskola energetikai felújítás-TOP-3.,2.1</t>
  </si>
  <si>
    <t>Egyéb-földbérbe adás</t>
  </si>
  <si>
    <t>Technikai sor (eredeti előirányzat miatt)</t>
  </si>
  <si>
    <r>
      <t>6.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Dalárda  (K506 rovatra átcsoportosítás)</t>
    </r>
  </si>
  <si>
    <t>Egyéb támogatások (Anna napi fesztivál, gyengénlátok, mentők stb Alapítvány.)-részletezve a civil szervezeteknél</t>
  </si>
  <si>
    <t>Iskola hőcserélő</t>
  </si>
  <si>
    <t>3. számú melléklet</t>
  </si>
  <si>
    <t>18. melléklet</t>
  </si>
  <si>
    <t>2020. terv</t>
  </si>
  <si>
    <t>2020 terv</t>
  </si>
  <si>
    <t>Bölcsöde</t>
  </si>
  <si>
    <t>Kecskéd Község Önkormányzatának 2020. évi közhatalmi bevételei</t>
  </si>
  <si>
    <t>Magyar Falu program óvoda felújítás</t>
  </si>
  <si>
    <t xml:space="preserve">Magyar Falu szolg. Lakás;; </t>
  </si>
  <si>
    <t>Kliktől átvett pénzeszköz hozáadott önerő 10%</t>
  </si>
  <si>
    <t>Tatabányai Tankerületi Központ (iskola felújítás)</t>
  </si>
  <si>
    <t>Telefon, oviadmin</t>
  </si>
  <si>
    <t>mobilotthon net</t>
  </si>
  <si>
    <t>közüzem</t>
  </si>
  <si>
    <t>posta, bank, távfelügyelet, szemét</t>
  </si>
  <si>
    <t>ÁFA</t>
  </si>
  <si>
    <t>Előfizetett (ktg.levél, folyóirat)</t>
  </si>
  <si>
    <t>PR-TV előfiz, internet</t>
  </si>
  <si>
    <t>Orvosi rendelő net továbbszámlázás (8852/hó)</t>
  </si>
  <si>
    <t xml:space="preserve">posta, bank, távfelügyelet, szemét, Fehér-munkavédelem, groupama-biztosítás, Plexnet-weblap, </t>
  </si>
  <si>
    <t>ÉVES ÁFA bevallás</t>
  </si>
  <si>
    <t>2020.terv sima+dajka (6fő)</t>
  </si>
  <si>
    <t>2020.terv  nemzetiség (3fő)</t>
  </si>
  <si>
    <t>2020.terv  Márti (1fő)</t>
  </si>
  <si>
    <t>2020.terv konyha (2fő)</t>
  </si>
  <si>
    <t>Kecskéd Község Önkormányzatának 2020. évben nyújtandó közvetett támogatásai</t>
  </si>
  <si>
    <t xml:space="preserve">                                                                          Kecskéd Község Önkormányzatának 2020. évi előirányzat felhasználási és likviditási terve</t>
  </si>
  <si>
    <t>Eredeti előirányzat 2020</t>
  </si>
  <si>
    <t>II./5.</t>
  </si>
  <si>
    <t>2020. évi eredeti</t>
  </si>
  <si>
    <t xml:space="preserve">Korend-gordius, mobil,telefon, ITVK fénym.karb., Plexnet-weblap, Szűcs-inf.karb.havi 40.000,- lesz 03. hótül, E-szoft-adatmegörzés, Abacus-Winszoft, </t>
  </si>
  <si>
    <t>2020.január01</t>
  </si>
  <si>
    <t xml:space="preserve">Kecskéd Község Önkormányzatának és fenntartása alatt működő intézményeknek 2020. évi engedélyezett </t>
  </si>
  <si>
    <t xml:space="preserve">Falugondnok </t>
  </si>
  <si>
    <t>Fogl.eü. 40.000,-, Belső ellenőr 648.000,-; szakmai továbbképzések</t>
  </si>
  <si>
    <t>tavaly megmaradtból székek konyhai eszközök függönyök, felajánlás 458.826,- szekrények</t>
  </si>
  <si>
    <t>2020. Eredeti</t>
  </si>
  <si>
    <t>Teljesítési adatok 2019.12.31.</t>
  </si>
  <si>
    <t>Teljesítési adatok 2019.12.31</t>
  </si>
  <si>
    <t xml:space="preserve">Kecskéd Község Önkormányzatának 2020. évi összesített intézményi szintű mérlege </t>
  </si>
  <si>
    <t xml:space="preserve">Közfoglalkoztatás </t>
  </si>
  <si>
    <t>2019.11.31. Teljesítés bér és dollogi 12.31.</t>
  </si>
  <si>
    <r>
      <t>Beruházási célú előzetesen felszámított általános forgalmi adó</t>
    </r>
    <r>
      <rPr>
        <sz val="11"/>
        <color indexed="10"/>
        <rFont val="Times New Roman"/>
        <family val="1"/>
        <charset val="238"/>
      </rPr>
      <t xml:space="preserve"> </t>
    </r>
  </si>
  <si>
    <t>kerekítés a bérnél</t>
  </si>
  <si>
    <t>Kecskéd Község Önkormányzata fenntartása alatt működő költségvetési szervek összesített 2020. évi költségvetési tábla</t>
  </si>
  <si>
    <t xml:space="preserve">tisztitószer, munkaruha, </t>
  </si>
  <si>
    <t>karácsonyi játékvásár</t>
  </si>
  <si>
    <t>eü meszerlé miatt emelkedik</t>
  </si>
  <si>
    <t>bejárati ajtó csere</t>
  </si>
  <si>
    <t>tányérok, poharak, ipari porszívó, szőnyegek, mosógép,dolgozói hűtőgép</t>
  </si>
  <si>
    <t>Fogl.eü, képzések Márti vezetői képzés</t>
  </si>
  <si>
    <t>2019.12.31. zárópénzkészlet</t>
  </si>
  <si>
    <t>Egyéb elkülönített számla 2. (Magyar Falu program)</t>
  </si>
  <si>
    <t>TOP-4.1.1-15-K01-2016-00019 garanc.bizt. (Tomayer)</t>
  </si>
  <si>
    <t>Betét számla (főszámlás)</t>
  </si>
  <si>
    <t>Óvoda 2020. évi költségvetése</t>
  </si>
  <si>
    <t>Kecskédi Polgármesteri  Hivatal 2020. évi költségvetési táblázata - és teljesítési adatai</t>
  </si>
  <si>
    <t>Adatok</t>
  </si>
  <si>
    <t>Választások miatt volt 2019-be</t>
  </si>
  <si>
    <t>ellenőrző sor</t>
  </si>
  <si>
    <t xml:space="preserve">Átadott pénzeszközök 2020. év </t>
  </si>
  <si>
    <t>Teljesítés 2019.11.31</t>
  </si>
  <si>
    <t>Polgármesteri hivatal irattár polc vásárlás képviselői keretből</t>
  </si>
  <si>
    <t>Fidelitas orvosi rendelő telefonhálózat felújítása vársárlása (nincs ÁFA)</t>
  </si>
  <si>
    <t>Fidelitas fogorvosi eszközökvársárlása  (nincs ÁFA)</t>
  </si>
  <si>
    <t>Művház konyhabútor vársárlása  (nincs ÁFA)</t>
  </si>
  <si>
    <t>Intézmény finanszírozás K915</t>
  </si>
  <si>
    <t>Egyéb működési célú kiadások (átadott péneszközök)</t>
  </si>
  <si>
    <t>banki költségtérítés polgármester</t>
  </si>
  <si>
    <t>Polgármester</t>
  </si>
  <si>
    <t>2020. eredeti</t>
  </si>
  <si>
    <t>Mayer Gyula bér+ cafetéria</t>
  </si>
  <si>
    <t>Suhai Judit ruhapénz</t>
  </si>
  <si>
    <t>iroda és tisztitószer, munkaruha Andorné 30.000,-</t>
  </si>
  <si>
    <t>7. Általános iskolások iskolakezdési támogatás  5.000.-ft/fő</t>
  </si>
  <si>
    <t>8. Közép és felsőbbfokú intézm. tanulók iskolakezdési tám. 5.000.-ft/fő</t>
  </si>
  <si>
    <t>10. Idősek karácsonyi támogatása 5.000.-ft/fő</t>
  </si>
  <si>
    <t>Eredeti 2020. évi</t>
  </si>
  <si>
    <t>Fogorvosi szolgálat+ Dr Farkas Emilia különbözet 200.000</t>
  </si>
  <si>
    <t>MVH Magyar Falu program-traktor beszerzés támogatási összeg 10266299+ önerő 1millió tartozék</t>
  </si>
  <si>
    <t>Magyar Falu program óvodaeszközbeszerzés</t>
  </si>
  <si>
    <t xml:space="preserve"> tornapark melleti járda kb 50m 15000,- ft/m2</t>
  </si>
  <si>
    <t>óvoda felújítás önerő</t>
  </si>
  <si>
    <t>minden bruttóban szerepel a táblában</t>
  </si>
  <si>
    <t>öregiskola fészer</t>
  </si>
  <si>
    <t>Faültetés</t>
  </si>
  <si>
    <t>játszótér felülviszgálat, felújítás</t>
  </si>
  <si>
    <t>ütéscsillapító projekt játszótér</t>
  </si>
  <si>
    <t>óvóda előtti és kerékpárút melleti parkosítás</t>
  </si>
  <si>
    <t>sport területvásárlás</t>
  </si>
  <si>
    <t>tófarok Orlovits János területrendezés</t>
  </si>
  <si>
    <t>öregiskola NNÖ épület felújítás</t>
  </si>
  <si>
    <t>Óvodai szolg lakás rendbetétele</t>
  </si>
  <si>
    <t>pályázatokhoz tervezői és műszaki ellenőri díj óvoda 1030.000,-</t>
  </si>
  <si>
    <t>Dalárda jubileumi támogatás</t>
  </si>
  <si>
    <t>düllőben murvás út</t>
  </si>
  <si>
    <t>új honlap</t>
  </si>
  <si>
    <t>TOP ISKOLA előfinanszírózott többlettámogatás 26800000,- 2032000,-</t>
  </si>
  <si>
    <t>kerékpárút melleti árok tisztítása</t>
  </si>
  <si>
    <t>Bank költség, fakivágás iskola előtt, plakett készítés</t>
  </si>
  <si>
    <t>sorompó kerékpárúthoz</t>
  </si>
  <si>
    <t>Fogorvosnak átadott pénzeszköz 840.000,-</t>
  </si>
  <si>
    <t>Családsegítő és házi segítségnyújtás (072111)</t>
  </si>
  <si>
    <t>ovi riasztó rendszerkarbantartás</t>
  </si>
  <si>
    <t>ovi riasztó mobilotthon</t>
  </si>
  <si>
    <t>bérlakások közüzemi díj</t>
  </si>
  <si>
    <t>fogl. Eü PM</t>
  </si>
  <si>
    <t>Távfelügyelet, hóeltakarítás, konténeres hulladékszállítás</t>
  </si>
  <si>
    <t>ph ktgvetsében</t>
  </si>
  <si>
    <t>Terület vásárlás temető mögötti út</t>
  </si>
  <si>
    <t xml:space="preserve">Szociális szolgáltatások és Települési támogatások 2020. év </t>
  </si>
  <si>
    <t>IV. Szociális szolg.</t>
  </si>
  <si>
    <t>Házi segítségnyújtás, családsegítés br.</t>
  </si>
  <si>
    <t>Alíz 2019-re vonatkozó számlái 2154e 2017-es javítás460+ÁFA; dr. Éliás Róbert 600 e; Hanganov kft 660+áfa</t>
  </si>
  <si>
    <t>Cafetéria</t>
  </si>
  <si>
    <t>Általános és Intézményi tartalék</t>
  </si>
  <si>
    <t>Kecskéd Község Önkormányzat Működési célú bevételei  2020. év</t>
  </si>
  <si>
    <t>Kecskéd Község Önkormányzatát megillető 2020. évi normatíva és államháztartáson belüli átvett pénzeszközök</t>
  </si>
  <si>
    <t>2020. ÉVI NORMATÍVA</t>
  </si>
  <si>
    <t xml:space="preserve">                               alátámasztó dokumentuma az ebr42 rendszerben szereplő felmérés 2020. évre vonatkozóan</t>
  </si>
  <si>
    <t>Művelődési ház tetőfelújítás</t>
  </si>
  <si>
    <t>Művelődési ház térkőjavítás</t>
  </si>
  <si>
    <t>2020.12.31. Módosítás</t>
  </si>
  <si>
    <t>Intézmény</t>
  </si>
  <si>
    <t>2020.12.31. módosítás</t>
  </si>
  <si>
    <t>2020.12.31. módosítása</t>
  </si>
  <si>
    <t>Magyar Falu program</t>
  </si>
  <si>
    <t>TOP Bölcsőde</t>
  </si>
  <si>
    <t>11/C - Az önkormányzatok általános, köznevelési, szociális, gyermekjóléti és gyermekétkeztetési feladataihoz kapcsolódó támogatások elszámolása</t>
  </si>
  <si>
    <t>#</t>
  </si>
  <si>
    <t>Költségvetési törvény szerint igényelt támogatás</t>
  </si>
  <si>
    <t>Támogatás évközi változása - Május 15.</t>
  </si>
  <si>
    <t>Támogatás évközi változása - Október 5.</t>
  </si>
  <si>
    <t>Tényleges támogatás</t>
  </si>
  <si>
    <t>Évvégi eltérés (+,-) mutatószám szerinti támogatás (=6-(3+4+5))</t>
  </si>
  <si>
    <t>A 05. űrlap alapján a támogatási jogcímhez kapcsolódó kormányzati funkció szerinti kiadások összege</t>
  </si>
  <si>
    <t>Az önkormányzat által az adott célra december 31-ig ténylegesen felhasznált összeg (6. és 8. oszlop közül a kisebb érték)</t>
  </si>
  <si>
    <t>Többlettámogatás (ha a 7-6+9 &gt;0, akkor 7-6+9; egyébként 0)</t>
  </si>
  <si>
    <t>Visszafizetési kötelezettség (ha a 7-6+9 &lt;0, akkor 7-6+9 abszolútértéke; egyébként 0)</t>
  </si>
  <si>
    <t>11/A. űrlap 31. sor 13. Bölcsődei kiegészítő támogatás címen nyújtott támogatás</t>
  </si>
  <si>
    <t>11/A. űrlap 31. sor 13. Bölcsődei kiegészítő támogatás címen az elszámolás alapján az önkormányzatot megillető támogatás</t>
  </si>
  <si>
    <t>11/A. űrlap 31. sor 13. Bölcsődei kiegészítő támogatásból az adott célra december 31-ig ténylegesen felhasznált összeg</t>
  </si>
  <si>
    <t>11/A. űrlap 32. sor 16. Nemzetiségi pótlék kiegészítő támogatása címen nyújtott támogatás</t>
  </si>
  <si>
    <t>11/A. űrlap 32. sor 16. Nemzetiségi pótlék kiegészítő támogatása címen az elszámolás alapján az önkormányzatot megillető támogatás</t>
  </si>
  <si>
    <t>11/A. űrlap 32. sor 16. Nemzetiségi pótlék kiegészítő támogatása címen az adott célra december 31-ig ténylegesen felhasznált összeg</t>
  </si>
  <si>
    <t>11/A. űrlap 33. sor 23. Kiegészítő támogatás címen nyújtott támogatás</t>
  </si>
  <si>
    <t>11/A. űrlap 33. sor 23. Kiegészítő támogatás címen az elszámolás alapján az önkormányzatot megillető támogatás</t>
  </si>
  <si>
    <t>11/A. űrlap 33. sor 23. Kiegészítő támogatás címen az adott célra december 31-ig ténylegesen felhasznált összeg</t>
  </si>
  <si>
    <t>I.1. A települési  önkormányzatok működésének támogatása 09 01 01 01 00</t>
  </si>
  <si>
    <t>I.3. Határátkelőhelyek fenntartásának támogatása 09 01 01 03 00</t>
  </si>
  <si>
    <t>II. A települési önkormányzatok egyes köznevelési feladatainak támogatása 09 01 02 00 00</t>
  </si>
  <si>
    <t>III.2. Egyes szociális és gyermekjóléti feladatok támogatása - család és gyermekjóléti szolgálat/központ kivételével 09 01 03 02 02</t>
  </si>
  <si>
    <t>10</t>
  </si>
  <si>
    <t>III.5.a Intézményi gyermekétkeztetés támogatása 09 01 03 05 01</t>
  </si>
  <si>
    <t>11</t>
  </si>
  <si>
    <t>III.5.b Rászoruló gyermekek szünidei étkeztetése 09 01 03 05 02</t>
  </si>
  <si>
    <t>12</t>
  </si>
  <si>
    <t>Összesen  (=1+…+11)</t>
  </si>
  <si>
    <t>2020. évi normatíva elszámolás</t>
  </si>
  <si>
    <t>11/A - A helyi önkormányzatok legfeljebb kettő évig felhasználható támogatásainak elszámolása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</si>
  <si>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</si>
  <si>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</si>
  <si>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</si>
  <si>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</si>
  <si>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2. melléklet I.5. Polgármesteri illetmény támogatása</t>
  </si>
  <si>
    <t>2. melléklet III.1. A települési önkormányzatok szociális feladatainak egyéb támogatása</t>
  </si>
  <si>
    <t>2. melléklet IV.b) Települési önkormányzatok nyilvános könyvtári és közművelődési feladatainak támogatása</t>
  </si>
  <si>
    <t>14</t>
  </si>
  <si>
    <t>3. melléklet I.8. A települési önkormányzatok szociális célú tüzelőanyag vásárlásához kapcsolódó támogatása</t>
  </si>
  <si>
    <t>19</t>
  </si>
  <si>
    <t>3. melléklet I.10.i) A települési önkormányzatok idegenforgalmi adóhoz kapcsolódó kiegészítő támogatása</t>
  </si>
  <si>
    <t>20</t>
  </si>
  <si>
    <t>3. melléklet I.11. A költségvetési szerveknél foglalkoztatottak 2019. évi áthúzódó és 2020. évi kompenzációja</t>
  </si>
  <si>
    <t>29</t>
  </si>
  <si>
    <t>3. melléklet I. Helyi önkormányzatok működési célú költségvetési támogatásai összesen (8+….+ 28)</t>
  </si>
  <si>
    <t>33</t>
  </si>
  <si>
    <t>23. cím Kiegészítő támogatás</t>
  </si>
  <si>
    <t>34</t>
  </si>
  <si>
    <t>Mindösszesen (=1+...+7+29+…+33)</t>
  </si>
  <si>
    <t>Ingatlanok értékesítése</t>
  </si>
  <si>
    <t>B5</t>
  </si>
  <si>
    <t>Egyéb tárgyi eszközök értékesítése</t>
  </si>
  <si>
    <t>B53</t>
  </si>
  <si>
    <t>B52</t>
  </si>
  <si>
    <t>Felhalmozási bevételek mindösszesen</t>
  </si>
  <si>
    <t>Felhalmozási célú bevételek</t>
  </si>
  <si>
    <t>Kecskéd Község Önkormányzat 2020. évi maradvány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</si>
  <si>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</si>
  <si>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</si>
  <si>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</si>
  <si>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</si>
  <si>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</si>
  <si>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</si>
  <si>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</si>
  <si>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15</t>
  </si>
  <si>
    <t>C)        Összes maradvány (=A+B)</t>
  </si>
  <si>
    <t>17</t>
  </si>
  <si>
    <t>E)        Alaptevékenység szabad maradványa (=A-D)</t>
  </si>
  <si>
    <t xml:space="preserve"> Maradványkimutatás</t>
  </si>
  <si>
    <t>Módosítás 2020.12.31.</t>
  </si>
  <si>
    <t>Módosított előirányzat 2020.12.31.</t>
  </si>
  <si>
    <t>Teljesítési adat 2020.12.31.</t>
  </si>
  <si>
    <t>Kerekítési különbözet, pótlék, közbeszerzési hatósági díj, egyéb díjak</t>
  </si>
  <si>
    <t>Módosított</t>
  </si>
  <si>
    <t>2020. évi teljesítés</t>
  </si>
  <si>
    <t>2020. teljesítés</t>
  </si>
  <si>
    <t>2020. eredet</t>
  </si>
  <si>
    <t>2020. év teljesítés</t>
  </si>
  <si>
    <t>074040 Fertőző megbetegedések megelőzése, járványügyi ellátás</t>
  </si>
  <si>
    <t>Személyi jellegű ráfordítások</t>
  </si>
  <si>
    <t>082042 Könyvtári állomány gyarapítása, nyilvántartása</t>
  </si>
  <si>
    <t>Közutak üzemeltetése (045160), Kerékpárút pályázat, Út és közutak dologi kiadása</t>
  </si>
  <si>
    <t>2021.12.31 módosítás</t>
  </si>
  <si>
    <t>Tatabánya Megyei Jogú Város ÖK-fogászat</t>
  </si>
  <si>
    <t>Hivatal Képviselői keret felajánlásá-Kné Ruppert T.</t>
  </si>
  <si>
    <t>Hulladékgazd. ÖK. Társ.</t>
  </si>
  <si>
    <t>Pályázatból fel nem használt visszafizetendő támogatások (K502)</t>
  </si>
  <si>
    <t>Állami normatíva visszfizetendő része 2018</t>
  </si>
  <si>
    <t>Téli rezsi csökkentés 2019</t>
  </si>
  <si>
    <t>Elvonások és befizetések (K502)</t>
  </si>
  <si>
    <t>13 Kecskéd Községéért Alapítvány</t>
  </si>
  <si>
    <t>Földterülterület vásárlás</t>
  </si>
  <si>
    <t>Kecskéd RT.I.189-4 4.2.3. szakasz-Terv településszerk.</t>
  </si>
  <si>
    <t>orvosi rendelő telefonközpont kialakítása</t>
  </si>
  <si>
    <t>Hőlégsterilizátor (OH300 típusú 99/062 gysz. használt hőlégs</t>
  </si>
  <si>
    <t>Fogászat eszköz beszerzés</t>
  </si>
  <si>
    <t>Lázmérő-iskolának, védőnőnek</t>
  </si>
  <si>
    <t>Szenzoros kézfertőtlenítők, ózongenerátor</t>
  </si>
  <si>
    <t>Egyéb beszerzés</t>
  </si>
  <si>
    <t>Klíma beszerzése</t>
  </si>
  <si>
    <t>Kecskéd Óvoda utca 4. alatti óvoda felújítás MFP-FOB/2019-mű</t>
  </si>
  <si>
    <t>Magyar Falu Program keretében meghirdetett "Óvodafejlesztés"</t>
  </si>
  <si>
    <t>2019. évben komm. szennyvíz vizi közművén végzett ért. növ.</t>
  </si>
  <si>
    <t>2020.12.31. módosítés</t>
  </si>
  <si>
    <t>Hivatal</t>
  </si>
  <si>
    <t>2020.12.31 zárópénzkészlet</t>
  </si>
  <si>
    <t>megsz.</t>
  </si>
  <si>
    <t>11.Szociális tüzifa (K3)</t>
  </si>
  <si>
    <t>Mindösszesen szociális dologi</t>
  </si>
  <si>
    <t>K12 - Önkormányzati (irányító szervi) konszolidált beszámoló - Konszolidált mérleg</t>
  </si>
  <si>
    <t>Konszolidálás előtti összeg</t>
  </si>
  <si>
    <t>Konszolidálás</t>
  </si>
  <si>
    <t>Konszolidált összeg</t>
  </si>
  <si>
    <t>A/I Immateriális javak (=A/I/1+A/I/2+A/I/3)</t>
  </si>
  <si>
    <t>A/II Tárgyi eszközök  (=A/II/1+...+A/II/5)</t>
  </si>
  <si>
    <t>A/III Befektetett pénzügyi eszközök (=A/III/1+A/III/2+A/III/3)</t>
  </si>
  <si>
    <t>A) NEMZETI VAGYONBA TARTOZÓ BEFEKTETETT ESZKÖZÖK (=A/I+A/II+A/III+A/IV)</t>
  </si>
  <si>
    <t>C/I Lekötött bankbetétek (=C/I/1+…+C/I/2)</t>
  </si>
  <si>
    <t>C/III-IV. Forintszámlák és Devizaszámlák (=C/III/1+C/III/2+CIV/1+C/IV/2)</t>
  </si>
  <si>
    <t>C) PÉNZESZKÖZÖK (=C/I+…+C/IV)</t>
  </si>
  <si>
    <t>13</t>
  </si>
  <si>
    <t>D/I Költségvetési évben esedékes követelések (=D/I/1+…+D/I/8)</t>
  </si>
  <si>
    <t>D/II Költségvetési évet követően esedékes követelések (=D/II/1+…+D/II/8)</t>
  </si>
  <si>
    <t>D/III Követelés jellegű sajátos elszámolások (=D/III/1+…+D/III/9)</t>
  </si>
  <si>
    <t>16</t>
  </si>
  <si>
    <t>D) KÖVETELÉSEK  (=D/I+D/II+D/III)</t>
  </si>
  <si>
    <t>E) EGYÉB SAJÁTOS ELSZÁMOLÁSOK (=E/I+…+E/II)</t>
  </si>
  <si>
    <t>ESZKÖZÖK ÖSSZESEN (=A+B+C+D+E+F)</t>
  </si>
  <si>
    <t>G/I-III Nemzeti vagyon és egyéb eszközök induláskori értéke és változásai</t>
  </si>
  <si>
    <t>21</t>
  </si>
  <si>
    <t>G/IV Felhalmozott eredmény</t>
  </si>
  <si>
    <t>23</t>
  </si>
  <si>
    <t>G/VI Mérleg szerinti eredmény</t>
  </si>
  <si>
    <t>24</t>
  </si>
  <si>
    <t>G/ SAJÁT TŐKE  (= G/I+…+G/VI)</t>
  </si>
  <si>
    <t>25</t>
  </si>
  <si>
    <t>H/I Költségvetési évben esedékes kötelezettségek (=H/I/1+…+H/I/9)</t>
  </si>
  <si>
    <t>26</t>
  </si>
  <si>
    <t>H/II Költségvetési évet követően esedékes kötelezettségek (=H/II/1+…+H/II/9)</t>
  </si>
  <si>
    <t>27</t>
  </si>
  <si>
    <t>H/III Kötelezettség jellegű sajátos elszámolások (=H/III/1+…+H/III/10)</t>
  </si>
  <si>
    <t>28</t>
  </si>
  <si>
    <t>H) KÖTELEZETTSÉGEK (=H/I+H/II+H/III)</t>
  </si>
  <si>
    <t>30</t>
  </si>
  <si>
    <t>J) PASSZÍV IDŐBELI ELHATÁROLÁSOK (=J/1+J/2+J/3)</t>
  </si>
  <si>
    <t>31</t>
  </si>
  <si>
    <t>FORRÁSOK ÖSSZESEN (=G+H+I+J)</t>
  </si>
  <si>
    <t>Kecskéd Község Önkormányzata összevont konszolidált mérlege 2020. évben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</si>
  <si>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</si>
  <si>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</si>
  <si>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</si>
  <si>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</si>
  <si>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</si>
  <si>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</si>
  <si>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</si>
  <si>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</si>
  <si>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</si>
  <si>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</si>
  <si>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</si>
  <si>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</si>
  <si>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18</t>
  </si>
  <si>
    <t>14 Bérköltség</t>
  </si>
  <si>
    <t>15 Személyi jellegű egyéb kifizetések</t>
  </si>
  <si>
    <t>16 Bérjárulékok</t>
  </si>
  <si>
    <t>V Személyi jellegű ráfordítások (=14+15+16)</t>
  </si>
  <si>
    <t>22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</si>
  <si>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</si>
  <si>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</si>
  <si>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</si>
  <si>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</si>
  <si>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</si>
  <si>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</si>
  <si>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</si>
  <si>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</si>
  <si>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</si>
  <si>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</si>
  <si>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</si>
  <si>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</si>
  <si>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</si>
  <si>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MÉRLEG SZERINTI EREDMÉNY (=±A±B)</t>
  </si>
  <si>
    <t>Önkormányzati (irányító szervi) konszolidált beszámoló - Konszolidált eredménykimutatás</t>
  </si>
  <si>
    <t>Kecskéd Község Önkormányzata összevont konszolidált eredménykimutatás 2020. évben</t>
  </si>
  <si>
    <t>25. melléklet</t>
  </si>
  <si>
    <t>Pénzkészlet változás</t>
  </si>
  <si>
    <t>Vagyonkimutatás - 2020</t>
  </si>
  <si>
    <t>Előző év</t>
  </si>
  <si>
    <t>Tárgyév</t>
  </si>
  <si>
    <t>Index (%)</t>
  </si>
  <si>
    <t>ESZKÖZÖK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</si>
  <si>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</si>
  <si>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</si>
  <si>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</si>
  <si>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</si>
  <si>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</si>
  <si>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</si>
  <si>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</si>
  <si>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</si>
  <si>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</si>
  <si>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</si>
  <si>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</si>
  <si>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</si>
  <si>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</si>
  <si>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</si>
  <si>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</si>
  <si>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</si>
  <si>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</si>
  <si>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</si>
  <si>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</si>
  <si>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</si>
  <si>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</si>
  <si>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</si>
  <si>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</si>
  <si>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</si>
  <si>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</si>
  <si>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</si>
  <si>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</si>
  <si>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</si>
  <si>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</si>
  <si>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</si>
  <si>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</si>
  <si>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</si>
  <si>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</si>
  <si>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</si>
  <si>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</si>
  <si>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</si>
  <si>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</si>
  <si>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</si>
  <si>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</si>
  <si>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</si>
  <si>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</si>
  <si>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</si>
  <si>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</si>
  <si>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</si>
  <si>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</si>
  <si>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</si>
  <si>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</si>
  <si>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</si>
  <si>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</si>
  <si>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</si>
  <si>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</si>
  <si>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</si>
  <si>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</si>
  <si>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</si>
  <si>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</si>
  <si>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</si>
  <si>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</si>
  <si>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</si>
  <si>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</si>
  <si>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</si>
  <si>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</si>
  <si>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</si>
  <si>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</si>
  <si>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</si>
  <si>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</si>
  <si>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</si>
  <si>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</si>
  <si>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</si>
  <si>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</si>
  <si>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</si>
  <si>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</si>
  <si>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</si>
  <si>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</si>
  <si>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</si>
  <si>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</si>
  <si>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</si>
  <si>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</si>
  <si>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</si>
  <si>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</si>
  <si>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</si>
  <si>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</si>
  <si>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</si>
  <si>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</si>
  <si>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</si>
  <si>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</si>
  <si>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</si>
  <si>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</si>
  <si>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</si>
  <si>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</si>
  <si>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</si>
  <si>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</si>
  <si>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</si>
  <si>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</si>
  <si>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</si>
  <si>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</si>
  <si>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</si>
  <si>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</si>
  <si>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</si>
  <si>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</si>
  <si>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</si>
  <si>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</si>
  <si>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</si>
  <si>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</si>
  <si>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</si>
  <si>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</si>
  <si>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</si>
  <si>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</si>
  <si>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</si>
  <si>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</si>
  <si>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</si>
  <si>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</si>
  <si>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</si>
  <si>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</si>
  <si>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</si>
  <si>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</si>
  <si>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</si>
  <si>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</si>
  <si>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</si>
  <si>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</si>
  <si>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</si>
  <si>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</si>
  <si>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</si>
  <si>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</si>
  <si>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</si>
  <si>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</si>
  <si>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</si>
  <si>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</si>
  <si>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</si>
  <si>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</si>
  <si>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</si>
  <si>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</si>
  <si>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</si>
  <si>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</si>
  <si>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</si>
  <si>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</si>
  <si>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</si>
  <si>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</si>
  <si>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</si>
  <si>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</si>
  <si>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</si>
  <si>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</si>
  <si>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</si>
  <si>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</si>
  <si>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</si>
  <si>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</si>
  <si>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</si>
  <si>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</si>
  <si>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</si>
  <si>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</si>
  <si>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</si>
  <si>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</si>
  <si>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EGYÉB ADATOK ÉS 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</si>
  <si>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</si>
  <si>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</si>
  <si>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</si>
  <si>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</si>
  <si>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</si>
  <si>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01-02. számlacsoportban nyilvántartott eszközök (Áht-n belüli vagyonkezelésbe adott, bérbevett, letétbe, bizományba, üzemeltetésre átvett, stb.)</t>
  </si>
  <si>
    <t>L/4</t>
  </si>
  <si>
    <t>Függő követelések</t>
  </si>
  <si>
    <t>L/6</t>
  </si>
  <si>
    <t>Intézményi étkezési díj</t>
  </si>
  <si>
    <t>50430347-10011726</t>
  </si>
  <si>
    <t>MÁK TOP Bölcsöde</t>
  </si>
  <si>
    <t>10036004-00349305-00000048</t>
  </si>
  <si>
    <t>8. melléklet</t>
  </si>
  <si>
    <t>12.melléklet</t>
  </si>
  <si>
    <t>19. melléklet</t>
  </si>
  <si>
    <t>20. melléklet</t>
  </si>
  <si>
    <t xml:space="preserve">21. melléklet </t>
  </si>
  <si>
    <t>22 melléklet .</t>
  </si>
  <si>
    <t xml:space="preserve">24. melléklet </t>
  </si>
  <si>
    <t>26. melléklet</t>
  </si>
  <si>
    <t>27.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</si>
</sst>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_-* #,##0\ _F_t_-;\-* #,##0\ _F_t_-;_-* &quot;-&quot;??\ _F_t_-;_-@_-"/>
    <numFmt numFmtId="167" formatCode="_-* #,##0\ &quot;Ft&quot;_-;\-* #,##0\ &quot;Ft&quot;_-;_-* &quot;-&quot;??\ &quot;Ft&quot;_-;_-@_-"/>
    <numFmt numFmtId="168" formatCode="_-* #,##0\ [$Ft-40E]_-;\-* #,##0\ [$Ft-40E]_-;_-* &quot;-&quot;??\ [$Ft-40E]_-;_-@_-"/>
    <numFmt numFmtId="169" formatCode="#,##0\ [$Ft-40E];[Red]\-#,##0\ [$Ft-40E]"/>
    <numFmt numFmtId="170" formatCode="_-* #,##0\ &quot;HUF&quot;_-;\-* #,##0\ &quot;HUF&quot;_-;_-* &quot;-&quot;??\ &quot;HUF&quot;_-;_-@_-"/>
    <numFmt numFmtId="171" formatCode="#,##0_ ;\-#,##0\ "/>
    <numFmt numFmtId="172" formatCode="#,##0.0_ ;\-#,##0.0\ "/>
    <numFmt numFmtId="173" formatCode="#,##0.000_ ;\-#,##0.000\ "/>
    <numFmt numFmtId="174" formatCode="&quot; &quot;#,##0&quot;    &quot;;&quot;-&quot;#,##0&quot;    &quot;;&quot; -&quot;00&quot;    &quot;;&quot; &quot;@&quot; &quot;"/>
    <numFmt numFmtId="175" formatCode="_-* #,##0.00\ [$Ft-40E]_-;\-* #,##0.00\ [$Ft-40E]_-;_-* &quot;-&quot;??\ [$Ft-40E]_-;_-@_-"/>
    <numFmt numFmtId="176" formatCode="#,##0\ &quot;Ft&quot;"/>
  </numFmts>
  <fonts count="14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3.2"/>
      <color theme="1"/>
      <name val="Arial ce"/>
    </font>
    <font>
      <sz val="10"/>
      <color theme="1"/>
      <name val="Arial"/>
      <family val="2"/>
      <charset val="238"/>
    </font>
    <font>
      <b/>
      <sz val="11"/>
      <color theme="1"/>
      <name val="Arial ce"/>
      <charset val="238"/>
    </font>
    <font>
      <b/>
      <sz val="9.9"/>
      <color theme="1"/>
      <name val="Arial ce"/>
      <charset val="238"/>
    </font>
    <font>
      <sz val="11"/>
      <color rgb="FF000000"/>
      <name val="Arial ce"/>
    </font>
    <font>
      <sz val="9.9"/>
      <color rgb="FF000000"/>
      <name val="Arial ce"/>
    </font>
    <font>
      <b/>
      <sz val="7.7"/>
      <color rgb="FF000000"/>
      <name val="Arial ce"/>
    </font>
    <font>
      <i/>
      <sz val="9.9"/>
      <color rgb="FF000000"/>
      <name val="Arial"/>
      <family val="2"/>
      <charset val="238"/>
    </font>
    <font>
      <sz val="7.7"/>
      <color rgb="FF000000"/>
      <name val="Arial"/>
      <family val="2"/>
      <charset val="238"/>
    </font>
    <font>
      <i/>
      <sz val="9.9"/>
      <color rgb="FF000000"/>
      <name val="Arial ce"/>
    </font>
    <font>
      <b/>
      <sz val="9.9"/>
      <color rgb="FF000000"/>
      <name val="Arial ce"/>
    </font>
    <font>
      <sz val="12"/>
      <name val="Arial"/>
      <family val="2"/>
      <charset val="238"/>
    </font>
    <font>
      <sz val="9"/>
      <color rgb="FF000000"/>
      <name val="Arial CE"/>
      <family val="2"/>
      <charset val="238"/>
    </font>
    <font>
      <i/>
      <sz val="9"/>
      <color rgb="FF000000"/>
      <name val="Arial CE"/>
      <family val="2"/>
      <charset val="238"/>
    </font>
    <font>
      <b/>
      <sz val="9"/>
      <color rgb="FF000000"/>
      <name val="Arial CE"/>
      <family val="2"/>
      <charset val="238"/>
    </font>
    <font>
      <sz val="9"/>
      <color rgb="FF000000"/>
      <name val="Arial CE"/>
      <charset val="238"/>
    </font>
    <font>
      <b/>
      <sz val="9"/>
      <color rgb="FF000000"/>
      <name val="Arial CE"/>
      <charset val="238"/>
    </font>
    <font>
      <b/>
      <sz val="9"/>
      <color rgb="FF993300"/>
      <name val="Arial CE"/>
      <charset val="238"/>
    </font>
    <font>
      <b/>
      <sz val="9"/>
      <color rgb="FF0000FF"/>
      <name val="Arial CE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Bookman Old Style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name val="Bookman Old Style"/>
      <family val="1"/>
      <charset val="238"/>
    </font>
    <font>
      <b/>
      <sz val="9.9"/>
      <color rgb="FF000000"/>
      <name val="Arial ce"/>
      <charset val="238"/>
    </font>
    <font>
      <sz val="20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rgb="FFFF0000"/>
      <name val="Calibri"/>
      <family val="2"/>
      <charset val="238"/>
      <scheme val="minor"/>
    </font>
    <font>
      <sz val="10"/>
      <name val="MS Sans Serif"/>
      <charset val="238"/>
    </font>
    <font>
      <b/>
      <sz val="8.8000000000000007"/>
      <color theme="1"/>
      <name val="Arial ce"/>
    </font>
    <font>
      <sz val="9.9"/>
      <color theme="1"/>
      <name val="Arial ce"/>
    </font>
    <font>
      <sz val="9.9"/>
      <color theme="1"/>
      <name val="Arial"/>
      <family val="2"/>
      <charset val="238"/>
    </font>
    <font>
      <b/>
      <sz val="8.8000000000000007"/>
      <color rgb="FFFF0000"/>
      <name val="Arial ce"/>
    </font>
    <font>
      <sz val="8.8000000000000007"/>
      <color theme="1"/>
      <name val="Arial ce"/>
    </font>
    <font>
      <sz val="11"/>
      <color theme="1"/>
      <name val="Bookman Old Style"/>
      <family val="1"/>
      <charset val="238"/>
    </font>
    <font>
      <sz val="10"/>
      <name val="Bookman Old Style"/>
      <family val="1"/>
      <charset val="238"/>
    </font>
    <font>
      <sz val="12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b/>
      <sz val="11"/>
      <color rgb="FF000000"/>
      <name val="Bookman Old Style"/>
      <family val="1"/>
      <charset val="238"/>
    </font>
    <font>
      <sz val="11"/>
      <color rgb="FF000000"/>
      <name val="Bookman Old Style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 ce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7"/>
      <color theme="1"/>
      <name val="Times New Roman"/>
      <family val="1"/>
      <charset val="238"/>
    </font>
    <font>
      <sz val="9.9"/>
      <color rgb="FFFF0000"/>
      <name val="Arial ce"/>
    </font>
    <font>
      <b/>
      <sz val="14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8"/>
      <name val="Calibri"/>
      <family val="2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6"/>
      <name val="Calibri"/>
      <family val="2"/>
      <charset val="238"/>
    </font>
    <font>
      <b/>
      <sz val="16"/>
      <color rgb="FFFF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rgb="FF00000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Bookman Old Style"/>
      <family val="1"/>
      <charset val="238"/>
    </font>
    <font>
      <sz val="12"/>
      <color rgb="FF00000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6"/>
      <name val="Arial"/>
      <family val="2"/>
      <charset val="238"/>
    </font>
    <font>
      <b/>
      <sz val="18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0"/>
      <name val="Calibri"/>
      <family val="2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0"/>
      <name val="Arial"/>
    </font>
    <font>
      <b/>
      <sz val="10"/>
      <name val="Arial"/>
    </font>
    <font>
      <b/>
      <sz val="10"/>
      <color rgb="FF000000"/>
      <name val="Arial"/>
    </font>
    <font>
      <sz val="12"/>
      <name val="Arial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rgb="FF003300"/>
      </patternFill>
    </fill>
    <fill>
      <patternFill patternType="solid">
        <fgColor theme="0"/>
        <bgColor rgb="FFFF808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CB2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ED195"/>
        <bgColor indexed="64"/>
      </patternFill>
    </fill>
    <fill>
      <patternFill patternType="solid">
        <fgColor rgb="FF00FFFF"/>
        <bgColor indexed="64"/>
      </patternFill>
    </fill>
    <fill>
      <patternFill patternType="gray125">
        <fgColor indexed="8"/>
      </patternFill>
    </fill>
    <fill>
      <patternFill patternType="solid">
        <fgColor indexed="65"/>
        <bgColor indexed="8"/>
      </patternFill>
    </fill>
    <fill>
      <patternFill patternType="solid">
        <fgColor theme="0"/>
        <bgColor rgb="FFE6E6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6" fillId="0" borderId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70" fillId="0" borderId="0"/>
    <xf numFmtId="0" fontId="62" fillId="0" borderId="0"/>
    <xf numFmtId="165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16" fillId="0" borderId="0" applyNumberFormat="0" applyBorder="0" applyProtection="0"/>
    <xf numFmtId="0" fontId="7" fillId="0" borderId="0"/>
    <xf numFmtId="0" fontId="7" fillId="0" borderId="0" applyNumberFormat="0" applyBorder="0" applyProtection="0"/>
    <xf numFmtId="0" fontId="62" fillId="0" borderId="0"/>
  </cellStyleXfs>
  <cellXfs count="1489">
    <xf numFmtId="0" fontId="0" fillId="0" borderId="0" xfId="0"/>
    <xf numFmtId="0" fontId="0" fillId="0" borderId="3" xfId="0" applyBorder="1"/>
    <xf numFmtId="0" fontId="5" fillId="0" borderId="0" xfId="0" applyFont="1" applyAlignment="1">
      <alignment horizontal="center" vertical="center" wrapText="1"/>
    </xf>
    <xf numFmtId="0" fontId="0" fillId="0" borderId="3" xfId="0" applyBorder="1" applyAlignment="1">
      <alignment wrapText="1"/>
    </xf>
    <xf numFmtId="168" fontId="0" fillId="0" borderId="3" xfId="0" applyNumberFormat="1" applyBorder="1"/>
    <xf numFmtId="0" fontId="0" fillId="0" borderId="0" xfId="0" applyAlignment="1">
      <alignment wrapText="1"/>
    </xf>
    <xf numFmtId="0" fontId="6" fillId="4" borderId="0" xfId="0" applyFont="1" applyFill="1"/>
    <xf numFmtId="0" fontId="6" fillId="0" borderId="0" xfId="0" applyFont="1"/>
    <xf numFmtId="0" fontId="8" fillId="7" borderId="0" xfId="0" applyFont="1" applyFill="1"/>
    <xf numFmtId="0" fontId="6" fillId="6" borderId="0" xfId="0" applyFont="1" applyFill="1"/>
    <xf numFmtId="0" fontId="10" fillId="6" borderId="0" xfId="0" applyFont="1" applyFill="1"/>
    <xf numFmtId="0" fontId="14" fillId="2" borderId="0" xfId="0" applyFont="1" applyFill="1"/>
    <xf numFmtId="0" fontId="7" fillId="0" borderId="0" xfId="0" applyFont="1" applyAlignment="1">
      <alignment wrapText="1"/>
    </xf>
    <xf numFmtId="168" fontId="0" fillId="0" borderId="0" xfId="0" applyNumberFormat="1"/>
    <xf numFmtId="0" fontId="13" fillId="2" borderId="3" xfId="0" applyFont="1" applyFill="1" applyBorder="1" applyAlignment="1">
      <alignment horizontal="left"/>
    </xf>
    <xf numFmtId="0" fontId="4" fillId="0" borderId="0" xfId="0" applyFont="1"/>
    <xf numFmtId="0" fontId="16" fillId="0" borderId="19" xfId="0" applyFont="1" applyBorder="1" applyAlignment="1">
      <alignment wrapText="1"/>
    </xf>
    <xf numFmtId="0" fontId="18" fillId="8" borderId="3" xfId="0" applyFont="1" applyFill="1" applyBorder="1" applyAlignment="1">
      <alignment horizontal="center"/>
    </xf>
    <xf numFmtId="0" fontId="19" fillId="9" borderId="3" xfId="0" applyFont="1" applyFill="1" applyBorder="1"/>
    <xf numFmtId="0" fontId="20" fillId="9" borderId="3" xfId="0" applyFont="1" applyFill="1" applyBorder="1"/>
    <xf numFmtId="0" fontId="20" fillId="9" borderId="3" xfId="0" applyFont="1" applyFill="1" applyBorder="1" applyAlignment="1">
      <alignment horizontal="center"/>
    </xf>
    <xf numFmtId="0" fontId="20" fillId="9" borderId="3" xfId="0" applyFont="1" applyFill="1" applyBorder="1" applyAlignment="1">
      <alignment horizontal="right"/>
    </xf>
    <xf numFmtId="0" fontId="16" fillId="10" borderId="3" xfId="0" applyFont="1" applyFill="1" applyBorder="1" applyAlignment="1">
      <alignment wrapText="1"/>
    </xf>
    <xf numFmtId="0" fontId="21" fillId="0" borderId="3" xfId="0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0" fontId="23" fillId="0" borderId="3" xfId="0" applyFont="1" applyBorder="1" applyAlignment="1">
      <alignment horizontal="right"/>
    </xf>
    <xf numFmtId="0" fontId="20" fillId="9" borderId="3" xfId="0" applyFont="1" applyFill="1" applyBorder="1" applyAlignment="1">
      <alignment horizontal="left"/>
    </xf>
    <xf numFmtId="0" fontId="29" fillId="11" borderId="3" xfId="3" applyFont="1" applyFill="1" applyBorder="1" applyAlignment="1">
      <alignment horizontal="left" vertical="center" wrapText="1"/>
    </xf>
    <xf numFmtId="0" fontId="30" fillId="12" borderId="3" xfId="3" applyFont="1" applyFill="1" applyBorder="1" applyAlignment="1">
      <alignment horizontal="right" vertical="center"/>
    </xf>
    <xf numFmtId="167" fontId="30" fillId="12" borderId="3" xfId="2" applyNumberFormat="1" applyFont="1" applyFill="1" applyBorder="1" applyAlignment="1">
      <alignment horizontal="left" vertical="center"/>
    </xf>
    <xf numFmtId="0" fontId="29" fillId="13" borderId="3" xfId="3" applyFont="1" applyFill="1" applyBorder="1" applyAlignment="1">
      <alignment horizontal="center" vertical="center"/>
    </xf>
    <xf numFmtId="0" fontId="29" fillId="13" borderId="3" xfId="3" applyFont="1" applyFill="1" applyBorder="1" applyAlignment="1">
      <alignment horizontal="justify" vertical="center" wrapText="1"/>
    </xf>
    <xf numFmtId="0" fontId="29" fillId="12" borderId="3" xfId="3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/>
    </xf>
    <xf numFmtId="0" fontId="0" fillId="0" borderId="12" xfId="0" applyBorder="1"/>
    <xf numFmtId="167" fontId="0" fillId="0" borderId="0" xfId="2" applyNumberFormat="1" applyFont="1" applyAlignment="1">
      <alignment wrapText="1"/>
    </xf>
    <xf numFmtId="167" fontId="0" fillId="0" borderId="0" xfId="2" applyNumberFormat="1" applyFont="1"/>
    <xf numFmtId="167" fontId="5" fillId="0" borderId="0" xfId="2" applyNumberFormat="1" applyFont="1" applyAlignment="1">
      <alignment horizontal="center" vertical="center" wrapText="1"/>
    </xf>
    <xf numFmtId="167" fontId="0" fillId="0" borderId="3" xfId="2" applyNumberFormat="1" applyFont="1" applyBorder="1"/>
    <xf numFmtId="167" fontId="0" fillId="2" borderId="3" xfId="2" applyNumberFormat="1" applyFont="1" applyFill="1" applyBorder="1"/>
    <xf numFmtId="167" fontId="14" fillId="2" borderId="3" xfId="2" applyNumberFormat="1" applyFont="1" applyFill="1" applyBorder="1" applyAlignment="1">
      <alignment wrapText="1"/>
    </xf>
    <xf numFmtId="167" fontId="14" fillId="2" borderId="3" xfId="2" applyNumberFormat="1" applyFont="1" applyFill="1" applyBorder="1"/>
    <xf numFmtId="0" fontId="35" fillId="0" borderId="0" xfId="0" applyFont="1" applyAlignment="1">
      <alignment wrapText="1"/>
    </xf>
    <xf numFmtId="0" fontId="35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170" fontId="0" fillId="0" borderId="3" xfId="2" applyNumberFormat="1" applyFont="1" applyBorder="1"/>
    <xf numFmtId="170" fontId="0" fillId="3" borderId="21" xfId="2" applyNumberFormat="1" applyFont="1" applyFill="1" applyBorder="1"/>
    <xf numFmtId="0" fontId="4" fillId="3" borderId="10" xfId="0" applyFont="1" applyFill="1" applyBorder="1" applyAlignment="1">
      <alignment wrapText="1"/>
    </xf>
    <xf numFmtId="0" fontId="4" fillId="3" borderId="3" xfId="0" applyFont="1" applyFill="1" applyBorder="1"/>
    <xf numFmtId="170" fontId="4" fillId="3" borderId="3" xfId="2" applyNumberFormat="1" applyFont="1" applyFill="1" applyBorder="1"/>
    <xf numFmtId="170" fontId="4" fillId="3" borderId="21" xfId="2" applyNumberFormat="1" applyFont="1" applyFill="1" applyBorder="1" applyAlignment="1">
      <alignment horizontal="right"/>
    </xf>
    <xf numFmtId="0" fontId="4" fillId="15" borderId="10" xfId="0" applyFont="1" applyFill="1" applyBorder="1" applyAlignment="1">
      <alignment wrapText="1"/>
    </xf>
    <xf numFmtId="0" fontId="4" fillId="15" borderId="3" xfId="0" applyFont="1" applyFill="1" applyBorder="1"/>
    <xf numFmtId="170" fontId="4" fillId="15" borderId="3" xfId="2" applyNumberFormat="1" applyFont="1" applyFill="1" applyBorder="1"/>
    <xf numFmtId="0" fontId="0" fillId="0" borderId="11" xfId="0" applyBorder="1" applyAlignment="1">
      <alignment wrapText="1"/>
    </xf>
    <xf numFmtId="170" fontId="0" fillId="0" borderId="12" xfId="2" applyNumberFormat="1" applyFont="1" applyBorder="1"/>
    <xf numFmtId="170" fontId="0" fillId="3" borderId="23" xfId="2" applyNumberFormat="1" applyFont="1" applyFill="1" applyBorder="1"/>
    <xf numFmtId="170" fontId="0" fillId="0" borderId="0" xfId="4" applyNumberFormat="1" applyFont="1"/>
    <xf numFmtId="170" fontId="4" fillId="17" borderId="10" xfId="4" applyNumberFormat="1" applyFont="1" applyFill="1" applyBorder="1" applyAlignment="1">
      <alignment horizontal="center" vertical="center" wrapText="1"/>
    </xf>
    <xf numFmtId="170" fontId="4" fillId="17" borderId="3" xfId="4" applyNumberFormat="1" applyFont="1" applyFill="1" applyBorder="1" applyAlignment="1">
      <alignment horizontal="center" vertical="center" wrapText="1"/>
    </xf>
    <xf numFmtId="170" fontId="4" fillId="3" borderId="10" xfId="4" applyNumberFormat="1" applyFont="1" applyFill="1" applyBorder="1" applyAlignment="1">
      <alignment horizontal="center" vertical="center" wrapText="1"/>
    </xf>
    <xf numFmtId="170" fontId="4" fillId="3" borderId="3" xfId="4" applyNumberFormat="1" applyFont="1" applyFill="1" applyBorder="1" applyAlignment="1">
      <alignment horizontal="center" vertical="center" wrapText="1"/>
    </xf>
    <xf numFmtId="170" fontId="4" fillId="6" borderId="10" xfId="4" applyNumberFormat="1" applyFont="1" applyFill="1" applyBorder="1" applyAlignment="1">
      <alignment horizontal="center" vertical="center" wrapText="1"/>
    </xf>
    <xf numFmtId="170" fontId="4" fillId="6" borderId="3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0" fontId="37" fillId="15" borderId="21" xfId="4" applyNumberFormat="1" applyFont="1" applyFill="1" applyBorder="1" applyAlignment="1">
      <alignment horizontal="center" vertical="center" wrapText="1"/>
    </xf>
    <xf numFmtId="170" fontId="37" fillId="16" borderId="28" xfId="4" applyNumberFormat="1" applyFont="1" applyFill="1" applyBorder="1" applyAlignment="1">
      <alignment horizontal="center" vertical="center" wrapText="1"/>
    </xf>
    <xf numFmtId="170" fontId="37" fillId="6" borderId="0" xfId="4" applyNumberFormat="1" applyFont="1" applyFill="1" applyBorder="1" applyAlignment="1">
      <alignment horizontal="center" vertical="center" wrapText="1"/>
    </xf>
    <xf numFmtId="0" fontId="38" fillId="19" borderId="10" xfId="0" applyFont="1" applyFill="1" applyBorder="1" applyAlignment="1">
      <alignment horizontal="left" vertical="top" wrapText="1"/>
    </xf>
    <xf numFmtId="0" fontId="39" fillId="19" borderId="3" xfId="0" applyFont="1" applyFill="1" applyBorder="1" applyAlignment="1">
      <alignment horizontal="right"/>
    </xf>
    <xf numFmtId="170" fontId="38" fillId="19" borderId="21" xfId="4" applyNumberFormat="1" applyFont="1" applyFill="1" applyBorder="1" applyAlignment="1">
      <alignment horizontal="right" wrapText="1"/>
    </xf>
    <xf numFmtId="170" fontId="38" fillId="19" borderId="28" xfId="4" applyNumberFormat="1" applyFont="1" applyFill="1" applyBorder="1" applyAlignment="1">
      <alignment horizontal="right" wrapText="1"/>
    </xf>
    <xf numFmtId="170" fontId="38" fillId="17" borderId="33" xfId="4" applyNumberFormat="1" applyFont="1" applyFill="1" applyBorder="1" applyAlignment="1">
      <alignment horizontal="right" wrapText="1"/>
    </xf>
    <xf numFmtId="170" fontId="4" fillId="3" borderId="21" xfId="4" applyNumberFormat="1" applyFont="1" applyFill="1" applyBorder="1"/>
    <xf numFmtId="170" fontId="4" fillId="19" borderId="0" xfId="0" applyNumberFormat="1" applyFont="1" applyFill="1"/>
    <xf numFmtId="0" fontId="40" fillId="2" borderId="10" xfId="0" applyFont="1" applyFill="1" applyBorder="1" applyAlignment="1">
      <alignment horizontal="right" vertical="top" wrapText="1"/>
    </xf>
    <xf numFmtId="0" fontId="41" fillId="2" borderId="3" xfId="0" applyFont="1" applyFill="1" applyBorder="1" applyAlignment="1">
      <alignment horizontal="right"/>
    </xf>
    <xf numFmtId="170" fontId="40" fillId="2" borderId="21" xfId="4" applyNumberFormat="1" applyFont="1" applyFill="1" applyBorder="1" applyAlignment="1">
      <alignment horizontal="right" wrapText="1"/>
    </xf>
    <xf numFmtId="170" fontId="40" fillId="2" borderId="28" xfId="4" applyNumberFormat="1" applyFont="1" applyFill="1" applyBorder="1" applyAlignment="1">
      <alignment horizontal="right" wrapText="1"/>
    </xf>
    <xf numFmtId="170" fontId="3" fillId="2" borderId="10" xfId="4" applyNumberFormat="1" applyFont="1" applyFill="1" applyBorder="1"/>
    <xf numFmtId="170" fontId="3" fillId="2" borderId="3" xfId="4" applyNumberFormat="1" applyFont="1" applyFill="1" applyBorder="1"/>
    <xf numFmtId="170" fontId="40" fillId="2" borderId="10" xfId="4" applyNumberFormat="1" applyFont="1" applyFill="1" applyBorder="1" applyAlignment="1">
      <alignment horizontal="right" wrapText="1"/>
    </xf>
    <xf numFmtId="0" fontId="40" fillId="0" borderId="10" xfId="0" applyFont="1" applyBorder="1" applyAlignment="1">
      <alignment horizontal="right" vertical="top" wrapText="1"/>
    </xf>
    <xf numFmtId="0" fontId="41" fillId="0" borderId="3" xfId="0" applyFont="1" applyBorder="1" applyAlignment="1">
      <alignment horizontal="right"/>
    </xf>
    <xf numFmtId="170" fontId="0" fillId="0" borderId="28" xfId="4" applyNumberFormat="1" applyFont="1" applyBorder="1"/>
    <xf numFmtId="170" fontId="0" fillId="0" borderId="10" xfId="4" applyNumberFormat="1" applyFont="1" applyBorder="1"/>
    <xf numFmtId="170" fontId="0" fillId="0" borderId="3" xfId="4" applyNumberFormat="1" applyFont="1" applyBorder="1"/>
    <xf numFmtId="170" fontId="4" fillId="19" borderId="21" xfId="4" applyNumberFormat="1" applyFont="1" applyFill="1" applyBorder="1"/>
    <xf numFmtId="170" fontId="38" fillId="19" borderId="10" xfId="4" applyNumberFormat="1" applyFont="1" applyFill="1" applyBorder="1" applyAlignment="1">
      <alignment horizontal="right" wrapText="1"/>
    </xf>
    <xf numFmtId="170" fontId="4" fillId="19" borderId="3" xfId="4" applyNumberFormat="1" applyFont="1" applyFill="1" applyBorder="1"/>
    <xf numFmtId="170" fontId="38" fillId="19" borderId="3" xfId="4" applyNumberFormat="1" applyFont="1" applyFill="1" applyBorder="1" applyAlignment="1">
      <alignment horizontal="right" wrapText="1"/>
    </xf>
    <xf numFmtId="170" fontId="0" fillId="0" borderId="28" xfId="4" applyNumberFormat="1" applyFont="1" applyFill="1" applyBorder="1"/>
    <xf numFmtId="170" fontId="4" fillId="19" borderId="28" xfId="4" applyNumberFormat="1" applyFont="1" applyFill="1" applyBorder="1"/>
    <xf numFmtId="170" fontId="4" fillId="19" borderId="10" xfId="4" applyNumberFormat="1" applyFont="1" applyFill="1" applyBorder="1"/>
    <xf numFmtId="0" fontId="38" fillId="5" borderId="10" xfId="0" applyFont="1" applyFill="1" applyBorder="1" applyAlignment="1">
      <alignment horizontal="left" vertical="top" wrapText="1"/>
    </xf>
    <xf numFmtId="0" fontId="39" fillId="5" borderId="3" xfId="0" applyFont="1" applyFill="1" applyBorder="1" applyAlignment="1">
      <alignment horizontal="right"/>
    </xf>
    <xf numFmtId="170" fontId="38" fillId="5" borderId="21" xfId="4" applyNumberFormat="1" applyFont="1" applyFill="1" applyBorder="1" applyAlignment="1">
      <alignment horizontal="right" wrapText="1"/>
    </xf>
    <xf numFmtId="170" fontId="38" fillId="5" borderId="28" xfId="4" applyNumberFormat="1" applyFont="1" applyFill="1" applyBorder="1" applyAlignment="1">
      <alignment horizontal="right" wrapText="1"/>
    </xf>
    <xf numFmtId="170" fontId="38" fillId="5" borderId="10" xfId="4" applyNumberFormat="1" applyFont="1" applyFill="1" applyBorder="1" applyAlignment="1">
      <alignment horizontal="right" wrapText="1"/>
    </xf>
    <xf numFmtId="170" fontId="38" fillId="5" borderId="3" xfId="4" applyNumberFormat="1" applyFont="1" applyFill="1" applyBorder="1" applyAlignment="1">
      <alignment horizontal="right" wrapText="1"/>
    </xf>
    <xf numFmtId="0" fontId="40" fillId="0" borderId="3" xfId="0" applyFont="1" applyBorder="1" applyAlignment="1">
      <alignment vertical="top" wrapText="1"/>
    </xf>
    <xf numFmtId="0" fontId="40" fillId="0" borderId="10" xfId="0" applyFont="1" applyBorder="1" applyAlignment="1">
      <alignment horizontal="left" vertical="top" wrapText="1"/>
    </xf>
    <xf numFmtId="0" fontId="0" fillId="0" borderId="28" xfId="0" applyBorder="1"/>
    <xf numFmtId="0" fontId="38" fillId="5" borderId="11" xfId="0" applyFont="1" applyFill="1" applyBorder="1" applyAlignment="1">
      <alignment horizontal="left" vertical="top" wrapText="1"/>
    </xf>
    <xf numFmtId="0" fontId="39" fillId="5" borderId="12" xfId="0" applyFont="1" applyFill="1" applyBorder="1" applyAlignment="1">
      <alignment horizontal="right"/>
    </xf>
    <xf numFmtId="170" fontId="38" fillId="5" borderId="23" xfId="4" applyNumberFormat="1" applyFont="1" applyFill="1" applyBorder="1" applyAlignment="1">
      <alignment horizontal="right" wrapText="1"/>
    </xf>
    <xf numFmtId="170" fontId="38" fillId="5" borderId="34" xfId="4" applyNumberFormat="1" applyFont="1" applyFill="1" applyBorder="1" applyAlignment="1">
      <alignment horizontal="right" wrapText="1"/>
    </xf>
    <xf numFmtId="170" fontId="38" fillId="5" borderId="11" xfId="4" applyNumberFormat="1" applyFont="1" applyFill="1" applyBorder="1" applyAlignment="1">
      <alignment horizontal="right" wrapText="1"/>
    </xf>
    <xf numFmtId="170" fontId="38" fillId="5" borderId="12" xfId="4" applyNumberFormat="1" applyFont="1" applyFill="1" applyBorder="1" applyAlignment="1">
      <alignment horizontal="right" wrapText="1"/>
    </xf>
    <xf numFmtId="170" fontId="4" fillId="3" borderId="23" xfId="4" applyNumberFormat="1" applyFont="1" applyFill="1" applyBorder="1"/>
    <xf numFmtId="0" fontId="16" fillId="0" borderId="0" xfId="0" applyFont="1"/>
    <xf numFmtId="0" fontId="16" fillId="0" borderId="0" xfId="0" applyFont="1" applyAlignment="1">
      <alignment horizontal="right"/>
    </xf>
    <xf numFmtId="0" fontId="39" fillId="2" borderId="3" xfId="0" applyFont="1" applyFill="1" applyBorder="1" applyAlignment="1">
      <alignment horizontal="right"/>
    </xf>
    <xf numFmtId="0" fontId="0" fillId="0" borderId="0" xfId="0" applyAlignment="1">
      <alignment horizontal="right"/>
    </xf>
    <xf numFmtId="170" fontId="3" fillId="0" borderId="3" xfId="2" applyNumberFormat="1" applyFont="1" applyBorder="1"/>
    <xf numFmtId="170" fontId="4" fillId="0" borderId="3" xfId="2" applyNumberFormat="1" applyFont="1" applyBorder="1"/>
    <xf numFmtId="170" fontId="4" fillId="18" borderId="3" xfId="2" applyNumberFormat="1" applyFont="1" applyFill="1" applyBorder="1"/>
    <xf numFmtId="170" fontId="4" fillId="14" borderId="3" xfId="2" applyNumberFormat="1" applyFont="1" applyFill="1" applyBorder="1"/>
    <xf numFmtId="0" fontId="50" fillId="0" borderId="3" xfId="0" applyFont="1" applyBorder="1" applyAlignment="1">
      <alignment horizontal="left" vertical="top" wrapText="1"/>
    </xf>
    <xf numFmtId="0" fontId="37" fillId="8" borderId="3" xfId="0" applyFont="1" applyFill="1" applyBorder="1" applyAlignment="1">
      <alignment horizontal="center" vertical="center" wrapText="1"/>
    </xf>
    <xf numFmtId="166" fontId="37" fillId="8" borderId="3" xfId="7" applyNumberFormat="1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left" vertical="top" wrapText="1"/>
    </xf>
    <xf numFmtId="0" fontId="41" fillId="2" borderId="3" xfId="0" applyFont="1" applyFill="1" applyBorder="1"/>
    <xf numFmtId="3" fontId="49" fillId="2" borderId="3" xfId="7" applyNumberFormat="1" applyFont="1" applyFill="1" applyBorder="1" applyAlignment="1">
      <alignment horizontal="right" vertical="center"/>
    </xf>
    <xf numFmtId="49" fontId="49" fillId="0" borderId="3" xfId="0" applyNumberFormat="1" applyFont="1" applyBorder="1" applyAlignment="1">
      <alignment horizontal="left" wrapText="1"/>
    </xf>
    <xf numFmtId="49" fontId="49" fillId="0" borderId="3" xfId="0" applyNumberFormat="1" applyFont="1" applyBorder="1" applyAlignment="1">
      <alignment horizontal="left" vertical="center" wrapText="1"/>
    </xf>
    <xf numFmtId="3" fontId="49" fillId="2" borderId="3" xfId="7" applyNumberFormat="1" applyFont="1" applyFill="1" applyBorder="1" applyAlignment="1">
      <alignment horizontal="right" vertical="top"/>
    </xf>
    <xf numFmtId="0" fontId="40" fillId="2" borderId="3" xfId="0" applyFont="1" applyFill="1" applyBorder="1" applyAlignment="1">
      <alignment vertical="top" wrapText="1"/>
    </xf>
    <xf numFmtId="171" fontId="49" fillId="2" borderId="3" xfId="7" applyNumberFormat="1" applyFont="1" applyFill="1" applyBorder="1" applyAlignment="1">
      <alignment horizontal="right" vertical="top"/>
    </xf>
    <xf numFmtId="0" fontId="38" fillId="8" borderId="3" xfId="0" applyFont="1" applyFill="1" applyBorder="1" applyAlignment="1">
      <alignment horizontal="left" vertical="top" wrapText="1"/>
    </xf>
    <xf numFmtId="0" fontId="39" fillId="8" borderId="3" xfId="0" applyFont="1" applyFill="1" applyBorder="1" applyAlignment="1">
      <alignment horizontal="left"/>
    </xf>
    <xf numFmtId="171" fontId="48" fillId="8" borderId="3" xfId="7" applyNumberFormat="1" applyFont="1" applyFill="1" applyBorder="1" applyAlignment="1">
      <alignment horizontal="right" vertical="top"/>
    </xf>
    <xf numFmtId="170" fontId="4" fillId="8" borderId="3" xfId="2" applyNumberFormat="1" applyFont="1" applyFill="1" applyBorder="1"/>
    <xf numFmtId="0" fontId="41" fillId="0" borderId="3" xfId="0" applyFont="1" applyBorder="1"/>
    <xf numFmtId="171" fontId="49" fillId="0" borderId="3" xfId="7" applyNumberFormat="1" applyFont="1" applyBorder="1" applyAlignment="1">
      <alignment horizontal="right" vertical="top"/>
    </xf>
    <xf numFmtId="0" fontId="50" fillId="2" borderId="3" xfId="0" applyFont="1" applyFill="1" applyBorder="1" applyAlignment="1">
      <alignment horizontal="left" vertical="top" wrapText="1"/>
    </xf>
    <xf numFmtId="0" fontId="39" fillId="8" borderId="3" xfId="0" applyFont="1" applyFill="1" applyBorder="1"/>
    <xf numFmtId="3" fontId="48" fillId="8" borderId="3" xfId="7" applyNumberFormat="1" applyFont="1" applyFill="1" applyBorder="1" applyAlignment="1">
      <alignment horizontal="right" vertical="top"/>
    </xf>
    <xf numFmtId="0" fontId="39" fillId="8" borderId="3" xfId="0" applyFont="1" applyFill="1" applyBorder="1" applyAlignment="1">
      <alignment wrapText="1"/>
    </xf>
    <xf numFmtId="3" fontId="52" fillId="8" borderId="3" xfId="7" applyNumberFormat="1" applyFont="1" applyFill="1" applyBorder="1" applyAlignment="1">
      <alignment horizontal="right" vertical="top"/>
    </xf>
    <xf numFmtId="3" fontId="0" fillId="0" borderId="0" xfId="0" applyNumberFormat="1"/>
    <xf numFmtId="0" fontId="38" fillId="0" borderId="3" xfId="0" applyFont="1" applyBorder="1" applyAlignment="1">
      <alignment horizontal="left" vertical="top" wrapText="1"/>
    </xf>
    <xf numFmtId="0" fontId="39" fillId="0" borderId="3" xfId="0" applyFont="1" applyBorder="1" applyAlignment="1">
      <alignment horizontal="right"/>
    </xf>
    <xf numFmtId="0" fontId="38" fillId="15" borderId="3" xfId="0" applyFont="1" applyFill="1" applyBorder="1" applyAlignment="1">
      <alignment horizontal="left" vertical="top" wrapText="1"/>
    </xf>
    <xf numFmtId="0" fontId="39" fillId="15" borderId="3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6" fillId="8" borderId="3" xfId="0" applyFont="1" applyFill="1" applyBorder="1" applyAlignment="1">
      <alignment horizontal="center" vertical="center" wrapText="1"/>
    </xf>
    <xf numFmtId="0" fontId="49" fillId="0" borderId="3" xfId="0" applyFont="1" applyBorder="1" applyAlignment="1">
      <alignment wrapText="1"/>
    </xf>
    <xf numFmtId="0" fontId="54" fillId="0" borderId="0" xfId="0" applyFont="1" applyAlignment="1">
      <alignment wrapText="1"/>
    </xf>
    <xf numFmtId="0" fontId="4" fillId="0" borderId="0" xfId="0" applyFont="1" applyAlignment="1"/>
    <xf numFmtId="49" fontId="44" fillId="0" borderId="0" xfId="0" applyNumberFormat="1" applyFont="1" applyAlignment="1">
      <alignment horizontal="left" vertical="center" wrapText="1"/>
    </xf>
    <xf numFmtId="170" fontId="4" fillId="19" borderId="14" xfId="4" applyNumberFormat="1" applyFont="1" applyFill="1" applyBorder="1"/>
    <xf numFmtId="170" fontId="4" fillId="6" borderId="1" xfId="0" applyNumberFormat="1" applyFont="1" applyFill="1" applyBorder="1"/>
    <xf numFmtId="170" fontId="4" fillId="18" borderId="3" xfId="4" applyNumberFormat="1" applyFont="1" applyFill="1" applyBorder="1" applyAlignment="1">
      <alignment horizontal="center" vertical="center" wrapText="1"/>
    </xf>
    <xf numFmtId="170" fontId="4" fillId="18" borderId="3" xfId="4" applyNumberFormat="1" applyFont="1" applyFill="1" applyBorder="1" applyAlignment="1">
      <alignment horizontal="center" vertical="center" wrapText="1"/>
    </xf>
    <xf numFmtId="170" fontId="37" fillId="18" borderId="3" xfId="4" applyNumberFormat="1" applyFont="1" applyFill="1" applyBorder="1" applyAlignment="1">
      <alignment horizontal="center" vertical="center" wrapText="1"/>
    </xf>
    <xf numFmtId="167" fontId="35" fillId="0" borderId="0" xfId="2" applyNumberFormat="1" applyFont="1" applyAlignment="1">
      <alignment horizontal="left" wrapText="1"/>
    </xf>
    <xf numFmtId="167" fontId="4" fillId="0" borderId="0" xfId="2" applyNumberFormat="1" applyFont="1"/>
    <xf numFmtId="167" fontId="38" fillId="19" borderId="28" xfId="2" applyNumberFormat="1" applyFont="1" applyFill="1" applyBorder="1" applyAlignment="1">
      <alignment horizontal="right" wrapText="1"/>
    </xf>
    <xf numFmtId="167" fontId="39" fillId="19" borderId="1" xfId="2" applyNumberFormat="1" applyFont="1" applyFill="1" applyBorder="1" applyAlignment="1">
      <alignment horizontal="right"/>
    </xf>
    <xf numFmtId="167" fontId="41" fillId="0" borderId="1" xfId="2" applyNumberFormat="1" applyFont="1" applyBorder="1" applyAlignment="1">
      <alignment horizontal="right"/>
    </xf>
    <xf numFmtId="167" fontId="39" fillId="19" borderId="2" xfId="2" applyNumberFormat="1" applyFont="1" applyFill="1" applyBorder="1" applyAlignment="1">
      <alignment horizontal="right"/>
    </xf>
    <xf numFmtId="170" fontId="4" fillId="19" borderId="15" xfId="4" applyNumberFormat="1" applyFont="1" applyFill="1" applyBorder="1"/>
    <xf numFmtId="170" fontId="0" fillId="0" borderId="0" xfId="0" applyNumberFormat="1"/>
    <xf numFmtId="167" fontId="40" fillId="0" borderId="6" xfId="2" applyNumberFormat="1" applyFont="1" applyBorder="1" applyAlignment="1">
      <alignment horizontal="center" vertical="top" wrapText="1"/>
    </xf>
    <xf numFmtId="0" fontId="63" fillId="0" borderId="2" xfId="0" applyFont="1" applyBorder="1" applyAlignment="1">
      <alignment wrapText="1"/>
    </xf>
    <xf numFmtId="0" fontId="63" fillId="0" borderId="1" xfId="0" applyFont="1" applyBorder="1" applyAlignment="1">
      <alignment wrapText="1"/>
    </xf>
    <xf numFmtId="0" fontId="35" fillId="2" borderId="3" xfId="0" applyFont="1" applyFill="1" applyBorder="1"/>
    <xf numFmtId="167" fontId="35" fillId="0" borderId="3" xfId="2" applyNumberFormat="1" applyFont="1" applyFill="1" applyBorder="1"/>
    <xf numFmtId="167" fontId="2" fillId="0" borderId="3" xfId="2" applyNumberFormat="1" applyFont="1" applyBorder="1" applyAlignment="1"/>
    <xf numFmtId="49" fontId="1" fillId="0" borderId="3" xfId="0" applyNumberFormat="1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left"/>
    </xf>
    <xf numFmtId="0" fontId="63" fillId="0" borderId="3" xfId="0" applyFont="1" applyBorder="1" applyAlignment="1">
      <alignment horizontal="left" wrapText="1"/>
    </xf>
    <xf numFmtId="170" fontId="65" fillId="0" borderId="10" xfId="4" applyNumberFormat="1" applyFont="1" applyBorder="1"/>
    <xf numFmtId="170" fontId="65" fillId="0" borderId="3" xfId="4" applyNumberFormat="1" applyFont="1" applyBorder="1"/>
    <xf numFmtId="170" fontId="69" fillId="19" borderId="10" xfId="4" applyNumberFormat="1" applyFont="1" applyFill="1" applyBorder="1"/>
    <xf numFmtId="170" fontId="65" fillId="2" borderId="10" xfId="4" applyNumberFormat="1" applyFont="1" applyFill="1" applyBorder="1"/>
    <xf numFmtId="0" fontId="40" fillId="2" borderId="10" xfId="0" applyFont="1" applyFill="1" applyBorder="1" applyAlignment="1">
      <alignment horizontal="left" vertical="top" wrapText="1"/>
    </xf>
    <xf numFmtId="167" fontId="0" fillId="0" borderId="0" xfId="0" applyNumberFormat="1"/>
    <xf numFmtId="0" fontId="35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1" fillId="15" borderId="7" xfId="0" applyFont="1" applyFill="1" applyBorder="1" applyAlignment="1">
      <alignment horizontal="center" vertical="center"/>
    </xf>
    <xf numFmtId="0" fontId="71" fillId="15" borderId="8" xfId="0" applyFont="1" applyFill="1" applyBorder="1" applyAlignment="1">
      <alignment horizontal="center" vertical="center"/>
    </xf>
    <xf numFmtId="0" fontId="41" fillId="0" borderId="10" xfId="0" applyFont="1" applyBorder="1" applyAlignment="1">
      <alignment wrapText="1"/>
    </xf>
    <xf numFmtId="167" fontId="72" fillId="0" borderId="3" xfId="4" applyNumberFormat="1" applyFont="1" applyBorder="1" applyAlignment="1">
      <alignment horizontal="right"/>
    </xf>
    <xf numFmtId="167" fontId="73" fillId="0" borderId="3" xfId="4" applyNumberFormat="1" applyFont="1" applyBorder="1" applyAlignment="1">
      <alignment wrapText="1"/>
    </xf>
    <xf numFmtId="167" fontId="0" fillId="0" borderId="3" xfId="4" applyNumberFormat="1" applyFont="1" applyBorder="1"/>
    <xf numFmtId="0" fontId="74" fillId="15" borderId="10" xfId="0" applyFont="1" applyFill="1" applyBorder="1"/>
    <xf numFmtId="167" fontId="74" fillId="15" borderId="3" xfId="4" applyNumberFormat="1" applyFont="1" applyFill="1" applyBorder="1" applyAlignment="1">
      <alignment horizontal="right"/>
    </xf>
    <xf numFmtId="0" fontId="75" fillId="0" borderId="10" xfId="0" applyFont="1" applyBorder="1"/>
    <xf numFmtId="167" fontId="75" fillId="0" borderId="3" xfId="0" applyNumberFormat="1" applyFont="1" applyBorder="1" applyAlignment="1">
      <alignment horizontal="right"/>
    </xf>
    <xf numFmtId="0" fontId="71" fillId="0" borderId="10" xfId="0" applyFont="1" applyBorder="1"/>
    <xf numFmtId="0" fontId="74" fillId="21" borderId="11" xfId="0" applyFont="1" applyFill="1" applyBorder="1"/>
    <xf numFmtId="167" fontId="74" fillId="21" borderId="12" xfId="0" applyNumberFormat="1" applyFont="1" applyFill="1" applyBorder="1" applyAlignment="1">
      <alignment horizontal="right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9" fillId="0" borderId="16" xfId="0" applyFont="1" applyBorder="1" applyAlignment="1">
      <alignment horizontal="center" vertical="center"/>
    </xf>
    <xf numFmtId="0" fontId="79" fillId="0" borderId="3" xfId="0" applyFont="1" applyBorder="1" applyAlignment="1">
      <alignment horizontal="center" vertical="center"/>
    </xf>
    <xf numFmtId="0" fontId="79" fillId="0" borderId="12" xfId="0" applyFont="1" applyBorder="1" applyAlignment="1">
      <alignment horizontal="center" vertical="center"/>
    </xf>
    <xf numFmtId="0" fontId="79" fillId="0" borderId="8" xfId="0" applyFont="1" applyBorder="1" applyAlignment="1">
      <alignment horizontal="center" vertical="center"/>
    </xf>
    <xf numFmtId="0" fontId="81" fillId="0" borderId="45" xfId="0" applyFont="1" applyBorder="1" applyAlignment="1">
      <alignment horizontal="center"/>
    </xf>
    <xf numFmtId="0" fontId="81" fillId="0" borderId="3" xfId="0" applyFont="1" applyBorder="1" applyAlignment="1">
      <alignment horizontal="center"/>
    </xf>
    <xf numFmtId="166" fontId="81" fillId="0" borderId="44" xfId="11" applyNumberFormat="1" applyFont="1" applyBorder="1" applyAlignment="1">
      <alignment horizontal="right"/>
    </xf>
    <xf numFmtId="170" fontId="81" fillId="0" borderId="44" xfId="2" applyNumberFormat="1" applyFont="1" applyBorder="1" applyAlignment="1">
      <alignment horizontal="right" vertical="center"/>
    </xf>
    <xf numFmtId="0" fontId="80" fillId="0" borderId="46" xfId="0" applyFont="1" applyBorder="1" applyAlignment="1">
      <alignment horizontal="center"/>
    </xf>
    <xf numFmtId="0" fontId="80" fillId="0" borderId="47" xfId="0" applyFont="1" applyBorder="1" applyAlignment="1">
      <alignment horizontal="center"/>
    </xf>
    <xf numFmtId="170" fontId="80" fillId="0" borderId="47" xfId="2" applyNumberFormat="1" applyFont="1" applyBorder="1" applyAlignment="1">
      <alignment horizontal="center"/>
    </xf>
    <xf numFmtId="0" fontId="83" fillId="0" borderId="0" xfId="0" applyFont="1"/>
    <xf numFmtId="0" fontId="84" fillId="0" borderId="0" xfId="0" applyFont="1" applyAlignment="1">
      <alignment horizontal="right"/>
    </xf>
    <xf numFmtId="0" fontId="86" fillId="0" borderId="12" xfId="0" applyFont="1" applyBorder="1" applyAlignment="1">
      <alignment horizontal="center" vertical="center" wrapText="1"/>
    </xf>
    <xf numFmtId="0" fontId="87" fillId="0" borderId="7" xfId="0" applyFont="1" applyBorder="1" applyAlignment="1">
      <alignment horizontal="center" wrapText="1"/>
    </xf>
    <xf numFmtId="0" fontId="87" fillId="0" borderId="8" xfId="0" applyFont="1" applyBorder="1" applyAlignment="1">
      <alignment horizontal="center" wrapText="1"/>
    </xf>
    <xf numFmtId="0" fontId="87" fillId="0" borderId="9" xfId="0" applyFont="1" applyBorder="1" applyAlignment="1">
      <alignment horizontal="center" wrapText="1"/>
    </xf>
    <xf numFmtId="0" fontId="87" fillId="0" borderId="10" xfId="0" applyFont="1" applyBorder="1" applyAlignment="1">
      <alignment horizontal="left" vertical="center" wrapText="1"/>
    </xf>
    <xf numFmtId="49" fontId="87" fillId="0" borderId="3" xfId="0" applyNumberFormat="1" applyFont="1" applyBorder="1" applyAlignment="1">
      <alignment horizontal="center" wrapText="1"/>
    </xf>
    <xf numFmtId="166" fontId="86" fillId="0" borderId="3" xfId="7" applyNumberFormat="1" applyFont="1" applyBorder="1" applyAlignment="1" applyProtection="1">
      <alignment horizontal="right" vertical="center" wrapText="1"/>
      <protection locked="0"/>
    </xf>
    <xf numFmtId="166" fontId="86" fillId="0" borderId="28" xfId="7" applyNumberFormat="1" applyFont="1" applyBorder="1" applyAlignment="1">
      <alignment horizontal="right" vertical="center" wrapText="1"/>
    </xf>
    <xf numFmtId="166" fontId="86" fillId="0" borderId="1" xfId="7" applyNumberFormat="1" applyFont="1" applyBorder="1" applyAlignment="1" applyProtection="1">
      <alignment horizontal="right" vertical="center" wrapText="1"/>
      <protection locked="0"/>
    </xf>
    <xf numFmtId="0" fontId="87" fillId="0" borderId="41" xfId="0" applyFont="1" applyBorder="1" applyAlignment="1">
      <alignment horizontal="left" vertical="center" wrapText="1"/>
    </xf>
    <xf numFmtId="166" fontId="86" fillId="0" borderId="4" xfId="7" applyNumberFormat="1" applyFont="1" applyBorder="1" applyAlignment="1" applyProtection="1">
      <alignment horizontal="right" vertical="center" wrapText="1"/>
      <protection locked="0"/>
    </xf>
    <xf numFmtId="166" fontId="86" fillId="0" borderId="13" xfId="7" applyNumberFormat="1" applyFont="1" applyBorder="1" applyAlignment="1" applyProtection="1">
      <alignment horizontal="right" vertical="center" wrapText="1"/>
      <protection locked="0"/>
    </xf>
    <xf numFmtId="166" fontId="86" fillId="0" borderId="39" xfId="7" applyNumberFormat="1" applyFont="1" applyBorder="1" applyAlignment="1">
      <alignment horizontal="right" vertical="center" wrapText="1"/>
    </xf>
    <xf numFmtId="0" fontId="86" fillId="0" borderId="56" xfId="0" applyFont="1" applyBorder="1" applyAlignment="1">
      <alignment horizontal="left" vertical="center" wrapText="1"/>
    </xf>
    <xf numFmtId="49" fontId="86" fillId="0" borderId="57" xfId="0" applyNumberFormat="1" applyFont="1" applyBorder="1" applyAlignment="1">
      <alignment horizontal="center" wrapText="1"/>
    </xf>
    <xf numFmtId="166" fontId="86" fillId="0" borderId="57" xfId="7" applyNumberFormat="1" applyFont="1" applyBorder="1" applyAlignment="1">
      <alignment horizontal="right" vertical="center" wrapText="1"/>
    </xf>
    <xf numFmtId="166" fontId="86" fillId="0" borderId="58" xfId="7" applyNumberFormat="1" applyFont="1" applyBorder="1" applyAlignment="1">
      <alignment horizontal="right" vertical="center" wrapText="1"/>
    </xf>
    <xf numFmtId="166" fontId="86" fillId="0" borderId="59" xfId="7" applyNumberFormat="1" applyFont="1" applyBorder="1" applyAlignment="1">
      <alignment horizontal="right" vertical="center" wrapText="1"/>
    </xf>
    <xf numFmtId="0" fontId="86" fillId="0" borderId="53" xfId="0" applyFont="1" applyBorder="1" applyAlignment="1">
      <alignment horizontal="left" vertical="center" wrapText="1"/>
    </xf>
    <xf numFmtId="49" fontId="86" fillId="0" borderId="54" xfId="0" applyNumberFormat="1" applyFont="1" applyBorder="1" applyAlignment="1">
      <alignment horizontal="center" wrapText="1"/>
    </xf>
    <xf numFmtId="166" fontId="86" fillId="0" borderId="54" xfId="7" applyNumberFormat="1" applyFont="1" applyBorder="1" applyAlignment="1">
      <alignment horizontal="right" vertical="center" wrapText="1"/>
    </xf>
    <xf numFmtId="166" fontId="86" fillId="0" borderId="60" xfId="7" applyNumberFormat="1" applyFont="1" applyBorder="1" applyAlignment="1">
      <alignment horizontal="right" vertical="center" wrapText="1"/>
    </xf>
    <xf numFmtId="0" fontId="86" fillId="0" borderId="57" xfId="0" applyFont="1" applyBorder="1" applyAlignment="1">
      <alignment horizontal="center" wrapText="1"/>
    </xf>
    <xf numFmtId="0" fontId="87" fillId="0" borderId="61" xfId="0" applyFont="1" applyBorder="1" applyAlignment="1">
      <alignment horizontal="left" vertical="center" wrapText="1"/>
    </xf>
    <xf numFmtId="0" fontId="87" fillId="0" borderId="16" xfId="0" applyFont="1" applyBorder="1" applyAlignment="1">
      <alignment horizontal="center" wrapText="1"/>
    </xf>
    <xf numFmtId="166" fontId="86" fillId="0" borderId="16" xfId="7" applyNumberFormat="1" applyFont="1" applyBorder="1" applyAlignment="1" applyProtection="1">
      <alignment horizontal="right" vertical="center" wrapText="1"/>
      <protection locked="0"/>
    </xf>
    <xf numFmtId="166" fontId="86" fillId="0" borderId="36" xfId="7" applyNumberFormat="1" applyFont="1" applyBorder="1" applyAlignment="1" applyProtection="1">
      <alignment horizontal="right" vertical="center" wrapText="1"/>
      <protection locked="0"/>
    </xf>
    <xf numFmtId="166" fontId="86" fillId="0" borderId="32" xfId="7" applyNumberFormat="1" applyFont="1" applyBorder="1" applyAlignment="1">
      <alignment horizontal="right" vertical="center" wrapText="1"/>
    </xf>
    <xf numFmtId="0" fontId="87" fillId="0" borderId="3" xfId="0" applyFont="1" applyBorder="1" applyAlignment="1">
      <alignment horizontal="center" wrapText="1"/>
    </xf>
    <xf numFmtId="0" fontId="87" fillId="0" borderId="4" xfId="0" applyFont="1" applyBorder="1" applyAlignment="1">
      <alignment horizontal="center" wrapText="1"/>
    </xf>
    <xf numFmtId="0" fontId="86" fillId="0" borderId="54" xfId="0" applyFont="1" applyBorder="1" applyAlignment="1">
      <alignment horizontal="center" wrapText="1"/>
    </xf>
    <xf numFmtId="166" fontId="86" fillId="0" borderId="55" xfId="7" applyNumberFormat="1" applyFont="1" applyBorder="1" applyAlignment="1">
      <alignment horizontal="right" vertical="center" wrapText="1"/>
    </xf>
    <xf numFmtId="0" fontId="0" fillId="0" borderId="15" xfId="0" applyBorder="1"/>
    <xf numFmtId="0" fontId="88" fillId="0" borderId="3" xfId="12" applyFont="1" applyBorder="1" applyAlignment="1">
      <alignment horizontal="center"/>
    </xf>
    <xf numFmtId="0" fontId="88" fillId="0" borderId="3" xfId="12" applyFont="1" applyBorder="1" applyAlignment="1">
      <alignment horizontal="center" wrapText="1"/>
    </xf>
    <xf numFmtId="0" fontId="88" fillId="22" borderId="3" xfId="12" applyFont="1" applyFill="1" applyBorder="1" applyAlignment="1">
      <alignment horizontal="center"/>
    </xf>
    <xf numFmtId="0" fontId="88" fillId="0" borderId="3" xfId="12" applyFont="1" applyBorder="1" applyAlignment="1">
      <alignment wrapText="1"/>
    </xf>
    <xf numFmtId="0" fontId="88" fillId="23" borderId="3" xfId="12" applyFont="1" applyFill="1" applyBorder="1"/>
    <xf numFmtId="0" fontId="88" fillId="0" borderId="3" xfId="12" applyFont="1" applyBorder="1"/>
    <xf numFmtId="0" fontId="89" fillId="0" borderId="3" xfId="12" applyFont="1" applyBorder="1" applyAlignment="1">
      <alignment wrapText="1"/>
    </xf>
    <xf numFmtId="0" fontId="89" fillId="0" borderId="3" xfId="12" applyFont="1" applyBorder="1"/>
    <xf numFmtId="0" fontId="89" fillId="0" borderId="3" xfId="12" applyFont="1" applyBorder="1" applyAlignment="1">
      <alignment horizontal="right"/>
    </xf>
    <xf numFmtId="0" fontId="0" fillId="0" borderId="0" xfId="0" applyAlignment="1"/>
    <xf numFmtId="0" fontId="82" fillId="0" borderId="0" xfId="0" applyFont="1"/>
    <xf numFmtId="0" fontId="90" fillId="0" borderId="0" xfId="0" applyFont="1"/>
    <xf numFmtId="10" fontId="0" fillId="0" borderId="3" xfId="13" applyNumberFormat="1" applyFont="1" applyBorder="1"/>
    <xf numFmtId="167" fontId="39" fillId="0" borderId="3" xfId="2" applyNumberFormat="1" applyFont="1" applyBorder="1" applyAlignment="1">
      <alignment horizontal="right"/>
    </xf>
    <xf numFmtId="167" fontId="4" fillId="0" borderId="0" xfId="2" applyNumberFormat="1" applyFont="1" applyAlignment="1">
      <alignment horizontal="center"/>
    </xf>
    <xf numFmtId="167" fontId="41" fillId="0" borderId="3" xfId="2" applyNumberFormat="1" applyFont="1" applyBorder="1" applyAlignment="1">
      <alignment horizontal="right"/>
    </xf>
    <xf numFmtId="167" fontId="39" fillId="15" borderId="3" xfId="2" applyNumberFormat="1" applyFont="1" applyFill="1" applyBorder="1" applyAlignment="1">
      <alignment horizontal="right"/>
    </xf>
    <xf numFmtId="167" fontId="38" fillId="15" borderId="3" xfId="2" applyNumberFormat="1" applyFont="1" applyFill="1" applyBorder="1" applyAlignment="1">
      <alignment horizontal="center" vertical="center" wrapText="1"/>
    </xf>
    <xf numFmtId="0" fontId="38" fillId="15" borderId="3" xfId="0" applyFont="1" applyFill="1" applyBorder="1" applyAlignment="1">
      <alignment horizontal="center" vertical="center" wrapText="1"/>
    </xf>
    <xf numFmtId="0" fontId="41" fillId="0" borderId="3" xfId="0" applyFont="1" applyBorder="1" applyAlignment="1">
      <alignment wrapText="1"/>
    </xf>
    <xf numFmtId="10" fontId="0" fillId="0" borderId="0" xfId="13" applyNumberFormat="1" applyFont="1"/>
    <xf numFmtId="38" fontId="92" fillId="2" borderId="1" xfId="1" applyNumberFormat="1" applyFont="1" applyFill="1" applyBorder="1" applyAlignment="1">
      <alignment vertical="center"/>
    </xf>
    <xf numFmtId="167" fontId="92" fillId="2" borderId="3" xfId="2" applyNumberFormat="1" applyFont="1" applyFill="1" applyBorder="1" applyAlignment="1">
      <alignment horizontal="right" vertical="center"/>
    </xf>
    <xf numFmtId="38" fontId="92" fillId="2" borderId="6" xfId="1" applyNumberFormat="1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vertical="center" wrapText="1"/>
    </xf>
    <xf numFmtId="38" fontId="40" fillId="2" borderId="1" xfId="1" applyNumberFormat="1" applyFont="1" applyFill="1" applyBorder="1" applyAlignment="1">
      <alignment vertical="center"/>
    </xf>
    <xf numFmtId="167" fontId="40" fillId="2" borderId="3" xfId="2" applyNumberFormat="1" applyFont="1" applyFill="1" applyBorder="1" applyAlignment="1">
      <alignment horizontal="right" vertical="center"/>
    </xf>
    <xf numFmtId="167" fontId="92" fillId="0" borderId="3" xfId="2" applyNumberFormat="1" applyFont="1" applyFill="1" applyBorder="1" applyAlignment="1">
      <alignment horizontal="right" vertical="center"/>
    </xf>
    <xf numFmtId="38" fontId="90" fillId="2" borderId="1" xfId="1" applyNumberFormat="1" applyFont="1" applyFill="1" applyBorder="1" applyAlignment="1">
      <alignment vertical="center"/>
    </xf>
    <xf numFmtId="167" fontId="90" fillId="0" borderId="3" xfId="2" applyNumberFormat="1" applyFont="1" applyFill="1" applyBorder="1" applyAlignment="1">
      <alignment vertical="center"/>
    </xf>
    <xf numFmtId="0" fontId="16" fillId="2" borderId="3" xfId="0" applyFont="1" applyFill="1" applyBorder="1" applyAlignment="1">
      <alignment wrapText="1"/>
    </xf>
    <xf numFmtId="0" fontId="28" fillId="2" borderId="3" xfId="3" applyFont="1" applyFill="1" applyBorder="1" applyAlignment="1">
      <alignment horizontal="right"/>
    </xf>
    <xf numFmtId="0" fontId="28" fillId="2" borderId="3" xfId="3" applyFont="1" applyFill="1" applyBorder="1" applyAlignment="1">
      <alignment horizontal="center"/>
    </xf>
    <xf numFmtId="169" fontId="28" fillId="2" borderId="3" xfId="3" applyNumberFormat="1" applyFont="1" applyFill="1" applyBorder="1"/>
    <xf numFmtId="0" fontId="28" fillId="2" borderId="3" xfId="3" applyFont="1" applyFill="1" applyBorder="1"/>
    <xf numFmtId="0" fontId="29" fillId="11" borderId="3" xfId="3" applyFont="1" applyFill="1" applyBorder="1" applyAlignment="1">
      <alignment horizontal="left" vertical="center"/>
    </xf>
    <xf numFmtId="0" fontId="29" fillId="12" borderId="3" xfId="3" applyFont="1" applyFill="1" applyBorder="1" applyAlignment="1">
      <alignment horizontal="left" vertical="center"/>
    </xf>
    <xf numFmtId="0" fontId="31" fillId="24" borderId="3" xfId="3" applyFont="1" applyFill="1" applyBorder="1" applyAlignment="1">
      <alignment horizontal="left"/>
    </xf>
    <xf numFmtId="0" fontId="32" fillId="12" borderId="3" xfId="3" applyFont="1" applyFill="1" applyBorder="1"/>
    <xf numFmtId="0" fontId="33" fillId="12" borderId="3" xfId="3" applyFont="1" applyFill="1" applyBorder="1"/>
    <xf numFmtId="0" fontId="34" fillId="2" borderId="3" xfId="0" applyFont="1" applyFill="1" applyBorder="1" applyAlignment="1">
      <alignment wrapText="1"/>
    </xf>
    <xf numFmtId="0" fontId="34" fillId="2" borderId="3" xfId="0" applyFont="1" applyFill="1" applyBorder="1"/>
    <xf numFmtId="0" fontId="16" fillId="2" borderId="3" xfId="0" applyFont="1" applyFill="1" applyBorder="1"/>
    <xf numFmtId="167" fontId="16" fillId="0" borderId="19" xfId="2" applyNumberFormat="1" applyFont="1" applyBorder="1" applyAlignment="1">
      <alignment wrapText="1"/>
    </xf>
    <xf numFmtId="167" fontId="20" fillId="9" borderId="3" xfId="2" applyNumberFormat="1" applyFont="1" applyFill="1" applyBorder="1" applyAlignment="1">
      <alignment horizontal="right"/>
    </xf>
    <xf numFmtId="167" fontId="16" fillId="0" borderId="3" xfId="2" applyNumberFormat="1" applyFont="1" applyBorder="1" applyAlignment="1">
      <alignment wrapText="1"/>
    </xf>
    <xf numFmtId="167" fontId="24" fillId="0" borderId="3" xfId="2" applyNumberFormat="1" applyFont="1" applyBorder="1" applyAlignment="1">
      <alignment horizontal="right"/>
    </xf>
    <xf numFmtId="167" fontId="25" fillId="2" borderId="3" xfId="2" applyNumberFormat="1" applyFont="1" applyFill="1" applyBorder="1" applyAlignment="1">
      <alignment horizontal="right"/>
    </xf>
    <xf numFmtId="167" fontId="28" fillId="2" borderId="3" xfId="2" applyNumberFormat="1" applyFont="1" applyFill="1" applyBorder="1" applyAlignment="1" applyProtection="1">
      <alignment horizontal="right"/>
    </xf>
    <xf numFmtId="167" fontId="29" fillId="11" borderId="3" xfId="2" applyNumberFormat="1" applyFont="1" applyFill="1" applyBorder="1" applyAlignment="1" applyProtection="1">
      <alignment horizontal="right"/>
    </xf>
    <xf numFmtId="167" fontId="30" fillId="11" borderId="3" xfId="2" applyNumberFormat="1" applyFont="1" applyFill="1" applyBorder="1" applyAlignment="1" applyProtection="1">
      <alignment horizontal="right"/>
    </xf>
    <xf numFmtId="167" fontId="29" fillId="13" borderId="3" xfId="2" applyNumberFormat="1" applyFont="1" applyFill="1" applyBorder="1" applyAlignment="1" applyProtection="1">
      <alignment horizontal="right"/>
    </xf>
    <xf numFmtId="167" fontId="31" fillId="24" borderId="3" xfId="2" applyNumberFormat="1" applyFont="1" applyFill="1" applyBorder="1" applyAlignment="1" applyProtection="1"/>
    <xf numFmtId="0" fontId="25" fillId="2" borderId="3" xfId="0" applyFont="1" applyFill="1" applyBorder="1" applyAlignment="1">
      <alignment wrapText="1"/>
    </xf>
    <xf numFmtId="167" fontId="53" fillId="2" borderId="3" xfId="2" applyNumberFormat="1" applyFont="1" applyFill="1" applyBorder="1" applyAlignment="1">
      <alignment horizontal="right"/>
    </xf>
    <xf numFmtId="0" fontId="25" fillId="2" borderId="3" xfId="0" applyFont="1" applyFill="1" applyBorder="1" applyAlignment="1">
      <alignment horizontal="left"/>
    </xf>
    <xf numFmtId="167" fontId="20" fillId="2" borderId="3" xfId="2" applyNumberFormat="1" applyFont="1" applyFill="1" applyBorder="1" applyAlignment="1">
      <alignment horizontal="right"/>
    </xf>
    <xf numFmtId="0" fontId="20" fillId="2" borderId="3" xfId="0" applyFont="1" applyFill="1" applyBorder="1" applyAlignment="1">
      <alignment horizontal="right"/>
    </xf>
    <xf numFmtId="0" fontId="24" fillId="2" borderId="3" xfId="0" applyFont="1" applyFill="1" applyBorder="1" applyAlignment="1">
      <alignment horizontal="right"/>
    </xf>
    <xf numFmtId="0" fontId="24" fillId="2" borderId="3" xfId="0" applyFont="1" applyFill="1" applyBorder="1"/>
    <xf numFmtId="167" fontId="24" fillId="2" borderId="3" xfId="2" applyNumberFormat="1" applyFont="1" applyFill="1" applyBorder="1" applyAlignment="1">
      <alignment horizontal="right"/>
    </xf>
    <xf numFmtId="0" fontId="25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/>
    <xf numFmtId="0" fontId="20" fillId="2" borderId="3" xfId="0" applyFont="1" applyFill="1" applyBorder="1" applyAlignment="1">
      <alignment horizontal="center"/>
    </xf>
    <xf numFmtId="167" fontId="34" fillId="2" borderId="3" xfId="2" applyNumberFormat="1" applyFont="1" applyFill="1" applyBorder="1"/>
    <xf numFmtId="167" fontId="16" fillId="2" borderId="3" xfId="2" applyNumberFormat="1" applyFont="1" applyFill="1" applyBorder="1"/>
    <xf numFmtId="167" fontId="34" fillId="2" borderId="3" xfId="2" applyNumberFormat="1" applyFont="1" applyFill="1" applyBorder="1" applyAlignment="1">
      <alignment wrapText="1"/>
    </xf>
    <xf numFmtId="0" fontId="0" fillId="2" borderId="3" xfId="0" applyFill="1" applyBorder="1"/>
    <xf numFmtId="0" fontId="16" fillId="2" borderId="3" xfId="0" applyFont="1" applyFill="1" applyBorder="1" applyAlignment="1">
      <alignment horizontal="right" wrapText="1"/>
    </xf>
    <xf numFmtId="167" fontId="94" fillId="2" borderId="3" xfId="2" applyNumberFormat="1" applyFont="1" applyFill="1" applyBorder="1" applyAlignment="1">
      <alignment horizontal="right"/>
    </xf>
    <xf numFmtId="168" fontId="0" fillId="0" borderId="0" xfId="2" applyNumberFormat="1" applyFont="1"/>
    <xf numFmtId="0" fontId="4" fillId="3" borderId="3" xfId="0" applyFont="1" applyFill="1" applyBorder="1" applyAlignment="1">
      <alignment wrapText="1"/>
    </xf>
    <xf numFmtId="167" fontId="4" fillId="0" borderId="3" xfId="2" applyNumberFormat="1" applyFont="1" applyBorder="1" applyAlignment="1">
      <alignment horizontal="center" vertical="center" wrapText="1"/>
    </xf>
    <xf numFmtId="167" fontId="4" fillId="3" borderId="3" xfId="2" applyNumberFormat="1" applyFont="1" applyFill="1" applyBorder="1"/>
    <xf numFmtId="167" fontId="4" fillId="15" borderId="3" xfId="2" applyNumberFormat="1" applyFont="1" applyFill="1" applyBorder="1"/>
    <xf numFmtId="170" fontId="37" fillId="2" borderId="3" xfId="4" applyNumberFormat="1" applyFont="1" applyFill="1" applyBorder="1" applyAlignment="1">
      <alignment vertical="center" wrapText="1"/>
    </xf>
    <xf numFmtId="170" fontId="37" fillId="2" borderId="3" xfId="4" applyNumberFormat="1" applyFont="1" applyFill="1" applyBorder="1" applyAlignment="1">
      <alignment horizontal="center" vertical="center" wrapText="1"/>
    </xf>
    <xf numFmtId="0" fontId="38" fillId="19" borderId="3" xfId="0" applyFont="1" applyFill="1" applyBorder="1" applyAlignment="1">
      <alignment horizontal="left" vertical="top" wrapText="1"/>
    </xf>
    <xf numFmtId="0" fontId="40" fillId="2" borderId="3" xfId="0" applyFont="1" applyFill="1" applyBorder="1" applyAlignment="1">
      <alignment horizontal="right" vertical="top" wrapText="1"/>
    </xf>
    <xf numFmtId="170" fontId="40" fillId="2" borderId="3" xfId="4" applyNumberFormat="1" applyFont="1" applyFill="1" applyBorder="1" applyAlignment="1">
      <alignment horizontal="right" wrapText="1"/>
    </xf>
    <xf numFmtId="0" fontId="40" fillId="0" borderId="3" xfId="0" applyFont="1" applyBorder="1" applyAlignment="1">
      <alignment horizontal="right" vertical="top" wrapText="1"/>
    </xf>
    <xf numFmtId="0" fontId="38" fillId="5" borderId="3" xfId="0" applyFont="1" applyFill="1" applyBorder="1" applyAlignment="1">
      <alignment horizontal="left" vertical="top" wrapText="1"/>
    </xf>
    <xf numFmtId="0" fontId="38" fillId="2" borderId="3" xfId="0" applyFont="1" applyFill="1" applyBorder="1" applyAlignment="1">
      <alignment horizontal="left" vertical="top" wrapText="1"/>
    </xf>
    <xf numFmtId="170" fontId="38" fillId="2" borderId="3" xfId="4" applyNumberFormat="1" applyFont="1" applyFill="1" applyBorder="1" applyAlignment="1">
      <alignment horizontal="right" wrapText="1"/>
    </xf>
    <xf numFmtId="0" fontId="63" fillId="2" borderId="3" xfId="0" applyFont="1" applyFill="1" applyBorder="1" applyAlignment="1">
      <alignment wrapText="1"/>
    </xf>
    <xf numFmtId="0" fontId="95" fillId="0" borderId="3" xfId="0" applyFont="1" applyBorder="1"/>
    <xf numFmtId="170" fontId="91" fillId="2" borderId="3" xfId="4" applyNumberFormat="1" applyFont="1" applyFill="1" applyBorder="1"/>
    <xf numFmtId="170" fontId="91" fillId="0" borderId="3" xfId="4" applyNumberFormat="1" applyFont="1" applyBorder="1"/>
    <xf numFmtId="170" fontId="95" fillId="19" borderId="3" xfId="4" applyNumberFormat="1" applyFont="1" applyFill="1" applyBorder="1"/>
    <xf numFmtId="170" fontId="95" fillId="2" borderId="3" xfId="4" applyNumberFormat="1" applyFont="1" applyFill="1" applyBorder="1"/>
    <xf numFmtId="0" fontId="40" fillId="2" borderId="2" xfId="0" applyFont="1" applyFill="1" applyBorder="1" applyAlignment="1">
      <alignment wrapText="1"/>
    </xf>
    <xf numFmtId="0" fontId="40" fillId="2" borderId="1" xfId="0" applyFont="1" applyFill="1" applyBorder="1" applyAlignment="1">
      <alignment wrapText="1"/>
    </xf>
    <xf numFmtId="0" fontId="88" fillId="2" borderId="10" xfId="0" applyFont="1" applyFill="1" applyBorder="1" applyAlignment="1">
      <alignment horizontal="left" vertical="top" wrapText="1"/>
    </xf>
    <xf numFmtId="0" fontId="96" fillId="2" borderId="3" xfId="0" applyFont="1" applyFill="1" applyBorder="1" applyAlignment="1">
      <alignment horizontal="right"/>
    </xf>
    <xf numFmtId="0" fontId="89" fillId="2" borderId="10" xfId="0" applyFont="1" applyFill="1" applyBorder="1" applyAlignment="1">
      <alignment horizontal="right" vertical="top" wrapText="1"/>
    </xf>
    <xf numFmtId="0" fontId="97" fillId="2" borderId="3" xfId="0" applyFont="1" applyFill="1" applyBorder="1" applyAlignment="1">
      <alignment horizontal="right"/>
    </xf>
    <xf numFmtId="170" fontId="97" fillId="2" borderId="3" xfId="4" applyNumberFormat="1" applyFont="1" applyFill="1" applyBorder="1"/>
    <xf numFmtId="170" fontId="96" fillId="2" borderId="3" xfId="4" applyNumberFormat="1" applyFont="1" applyFill="1" applyBorder="1"/>
    <xf numFmtId="170" fontId="88" fillId="2" borderId="3" xfId="4" applyNumberFormat="1" applyFont="1" applyFill="1" applyBorder="1" applyAlignment="1">
      <alignment horizontal="right" wrapText="1"/>
    </xf>
    <xf numFmtId="0" fontId="89" fillId="2" borderId="3" xfId="0" applyFont="1" applyFill="1" applyBorder="1" applyAlignment="1">
      <alignment vertical="top" wrapText="1"/>
    </xf>
    <xf numFmtId="0" fontId="89" fillId="2" borderId="2" xfId="0" applyFont="1" applyFill="1" applyBorder="1" applyAlignment="1">
      <alignment wrapText="1"/>
    </xf>
    <xf numFmtId="0" fontId="89" fillId="2" borderId="1" xfId="0" applyFont="1" applyFill="1" applyBorder="1" applyAlignment="1">
      <alignment wrapText="1"/>
    </xf>
    <xf numFmtId="0" fontId="89" fillId="2" borderId="10" xfId="0" applyFont="1" applyFill="1" applyBorder="1" applyAlignment="1">
      <alignment horizontal="left" vertical="top" wrapText="1"/>
    </xf>
    <xf numFmtId="164" fontId="41" fillId="2" borderId="0" xfId="2" applyNumberFormat="1" applyFont="1" applyFill="1"/>
    <xf numFmtId="0" fontId="39" fillId="2" borderId="0" xfId="0" applyFont="1" applyFill="1" applyAlignment="1">
      <alignment horizontal="center" wrapText="1"/>
    </xf>
    <xf numFmtId="164" fontId="39" fillId="2" borderId="0" xfId="2" applyNumberFormat="1" applyFont="1" applyFill="1" applyAlignment="1">
      <alignment horizontal="center" wrapText="1"/>
    </xf>
    <xf numFmtId="0" fontId="41" fillId="2" borderId="10" xfId="0" applyFont="1" applyFill="1" applyBorder="1" applyAlignment="1">
      <alignment wrapText="1"/>
    </xf>
    <xf numFmtId="0" fontId="39" fillId="2" borderId="3" xfId="0" applyFont="1" applyFill="1" applyBorder="1"/>
    <xf numFmtId="0" fontId="41" fillId="2" borderId="0" xfId="0" applyFont="1" applyFill="1"/>
    <xf numFmtId="0" fontId="41" fillId="2" borderId="1" xfId="0" applyFont="1" applyFill="1" applyBorder="1" applyAlignment="1">
      <alignment horizontal="right"/>
    </xf>
    <xf numFmtId="0" fontId="40" fillId="2" borderId="1" xfId="0" applyFont="1" applyFill="1" applyBorder="1" applyAlignment="1">
      <alignment vertical="top" wrapText="1"/>
    </xf>
    <xf numFmtId="3" fontId="0" fillId="0" borderId="0" xfId="0" applyNumberFormat="1" applyAlignment="1">
      <alignment horizontal="right"/>
    </xf>
    <xf numFmtId="3" fontId="38" fillId="2" borderId="3" xfId="4" applyNumberFormat="1" applyFont="1" applyFill="1" applyBorder="1" applyAlignment="1">
      <alignment horizontal="right" wrapText="1"/>
    </xf>
    <xf numFmtId="3" fontId="38" fillId="2" borderId="3" xfId="4" applyNumberFormat="1" applyFont="1" applyFill="1" applyBorder="1" applyAlignment="1">
      <alignment vertical="center" wrapText="1"/>
    </xf>
    <xf numFmtId="3" fontId="40" fillId="2" borderId="3" xfId="4" applyNumberFormat="1" applyFont="1" applyFill="1" applyBorder="1" applyAlignment="1">
      <alignment horizontal="right" wrapText="1"/>
    </xf>
    <xf numFmtId="3" fontId="40" fillId="2" borderId="3" xfId="4" applyNumberFormat="1" applyFont="1" applyFill="1" applyBorder="1" applyAlignment="1">
      <alignment horizontal="right" vertical="center" wrapText="1"/>
    </xf>
    <xf numFmtId="0" fontId="41" fillId="2" borderId="1" xfId="0" applyFont="1" applyFill="1" applyBorder="1"/>
    <xf numFmtId="3" fontId="41" fillId="2" borderId="3" xfId="0" applyNumberFormat="1" applyFont="1" applyFill="1" applyBorder="1" applyAlignment="1">
      <alignment horizontal="right"/>
    </xf>
    <xf numFmtId="3" fontId="41" fillId="2" borderId="3" xfId="4" applyNumberFormat="1" applyFont="1" applyFill="1" applyBorder="1" applyAlignment="1">
      <alignment horizontal="right"/>
    </xf>
    <xf numFmtId="3" fontId="41" fillId="2" borderId="3" xfId="4" applyNumberFormat="1" applyFont="1" applyFill="1" applyBorder="1"/>
    <xf numFmtId="3" fontId="39" fillId="2" borderId="3" xfId="4" applyNumberFormat="1" applyFont="1" applyFill="1" applyBorder="1"/>
    <xf numFmtId="3" fontId="92" fillId="2" borderId="3" xfId="0" applyNumberFormat="1" applyFont="1" applyFill="1" applyBorder="1"/>
    <xf numFmtId="0" fontId="99" fillId="0" borderId="0" xfId="0" applyFont="1"/>
    <xf numFmtId="0" fontId="88" fillId="2" borderId="11" xfId="0" applyFont="1" applyFill="1" applyBorder="1" applyAlignment="1">
      <alignment horizontal="left" vertical="top" wrapText="1"/>
    </xf>
    <xf numFmtId="0" fontId="96" fillId="2" borderId="12" xfId="0" applyFont="1" applyFill="1" applyBorder="1" applyAlignment="1">
      <alignment horizontal="right"/>
    </xf>
    <xf numFmtId="0" fontId="64" fillId="2" borderId="3" xfId="0" applyFont="1" applyFill="1" applyBorder="1" applyAlignment="1">
      <alignment wrapText="1"/>
    </xf>
    <xf numFmtId="0" fontId="47" fillId="2" borderId="3" xfId="0" applyFont="1" applyFill="1" applyBorder="1" applyAlignment="1">
      <alignment horizontal="right"/>
    </xf>
    <xf numFmtId="0" fontId="0" fillId="0" borderId="0" xfId="0" applyAlignment="1">
      <alignment horizontal="left"/>
    </xf>
    <xf numFmtId="9" fontId="40" fillId="0" borderId="17" xfId="0" applyNumberFormat="1" applyFont="1" applyFill="1" applyBorder="1" applyAlignment="1">
      <alignment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70" fontId="88" fillId="17" borderId="3" xfId="4" applyNumberFormat="1" applyFont="1" applyFill="1" applyBorder="1" applyAlignment="1">
      <alignment vertical="center" wrapText="1"/>
    </xf>
    <xf numFmtId="0" fontId="88" fillId="2" borderId="3" xfId="0" applyFont="1" applyFill="1" applyBorder="1" applyAlignment="1">
      <alignment horizontal="left" vertical="top" wrapText="1"/>
    </xf>
    <xf numFmtId="170" fontId="88" fillId="2" borderId="3" xfId="4" applyNumberFormat="1" applyFont="1" applyFill="1" applyBorder="1" applyAlignment="1">
      <alignment vertical="center" wrapText="1"/>
    </xf>
    <xf numFmtId="0" fontId="97" fillId="0" borderId="3" xfId="0" applyFont="1" applyBorder="1"/>
    <xf numFmtId="0" fontId="89" fillId="2" borderId="3" xfId="0" applyFont="1" applyFill="1" applyBorder="1" applyAlignment="1">
      <alignment horizontal="right" vertical="top" wrapText="1"/>
    </xf>
    <xf numFmtId="0" fontId="89" fillId="2" borderId="3" xfId="0" applyFont="1" applyFill="1" applyBorder="1" applyAlignment="1">
      <alignment wrapText="1"/>
    </xf>
    <xf numFmtId="0" fontId="89" fillId="2" borderId="3" xfId="0" applyFont="1" applyFill="1" applyBorder="1" applyAlignment="1">
      <alignment horizontal="left" vertical="top" wrapText="1"/>
    </xf>
    <xf numFmtId="0" fontId="41" fillId="2" borderId="41" xfId="0" applyFont="1" applyFill="1" applyBorder="1" applyAlignment="1">
      <alignment wrapText="1"/>
    </xf>
    <xf numFmtId="0" fontId="41" fillId="2" borderId="13" xfId="0" applyFont="1" applyFill="1" applyBorder="1"/>
    <xf numFmtId="0" fontId="45" fillId="0" borderId="50" xfId="0" applyFont="1" applyBorder="1" applyAlignment="1">
      <alignment wrapText="1"/>
    </xf>
    <xf numFmtId="0" fontId="45" fillId="0" borderId="40" xfId="0" applyFont="1" applyBorder="1"/>
    <xf numFmtId="168" fontId="45" fillId="0" borderId="3" xfId="2" applyNumberFormat="1" applyFont="1" applyFill="1" applyBorder="1"/>
    <xf numFmtId="168" fontId="35" fillId="0" borderId="3" xfId="2" applyNumberFormat="1" applyFont="1" applyFill="1" applyBorder="1"/>
    <xf numFmtId="0" fontId="63" fillId="0" borderId="3" xfId="0" applyFont="1" applyBorder="1" applyAlignment="1">
      <alignment wrapText="1"/>
    </xf>
    <xf numFmtId="168" fontId="64" fillId="0" borderId="3" xfId="2" applyNumberFormat="1" applyFont="1" applyBorder="1" applyAlignment="1">
      <alignment horizontal="right" wrapText="1"/>
    </xf>
    <xf numFmtId="168" fontId="35" fillId="2" borderId="3" xfId="2" applyNumberFormat="1" applyFont="1" applyFill="1" applyBorder="1"/>
    <xf numFmtId="0" fontId="62" fillId="0" borderId="3" xfId="0" applyFont="1" applyBorder="1" applyAlignment="1">
      <alignment horizontal="left" wrapText="1"/>
    </xf>
    <xf numFmtId="168" fontId="45" fillId="8" borderId="3" xfId="2" applyNumberFormat="1" applyFont="1" applyFill="1" applyBorder="1"/>
    <xf numFmtId="167" fontId="0" fillId="0" borderId="3" xfId="0" applyNumberFormat="1" applyBorder="1"/>
    <xf numFmtId="0" fontId="14" fillId="2" borderId="3" xfId="0" applyFont="1" applyFill="1" applyBorder="1"/>
    <xf numFmtId="10" fontId="0" fillId="0" borderId="0" xfId="13" applyNumberFormat="1" applyFont="1" applyAlignment="1">
      <alignment horizontal="left"/>
    </xf>
    <xf numFmtId="10" fontId="5" fillId="0" borderId="0" xfId="13" applyNumberFormat="1" applyFont="1" applyAlignment="1">
      <alignment horizontal="center" vertical="center" wrapText="1"/>
    </xf>
    <xf numFmtId="168" fontId="14" fillId="2" borderId="3" xfId="0" applyNumberFormat="1" applyFont="1" applyFill="1" applyBorder="1"/>
    <xf numFmtId="0" fontId="11" fillId="2" borderId="3" xfId="0" applyFont="1" applyFill="1" applyBorder="1" applyAlignment="1">
      <alignment horizontal="left"/>
    </xf>
    <xf numFmtId="10" fontId="11" fillId="2" borderId="3" xfId="13" applyNumberFormat="1" applyFont="1" applyFill="1" applyBorder="1" applyAlignment="1">
      <alignment horizontal="left"/>
    </xf>
    <xf numFmtId="0" fontId="100" fillId="2" borderId="3" xfId="0" applyFont="1" applyFill="1" applyBorder="1" applyAlignment="1">
      <alignment horizontal="left"/>
    </xf>
    <xf numFmtId="0" fontId="0" fillId="2" borderId="0" xfId="0" applyFill="1"/>
    <xf numFmtId="0" fontId="0" fillId="0" borderId="16" xfId="0" applyBorder="1"/>
    <xf numFmtId="168" fontId="0" fillId="0" borderId="8" xfId="0" applyNumberFormat="1" applyBorder="1"/>
    <xf numFmtId="0" fontId="0" fillId="0" borderId="3" xfId="0" applyBorder="1" applyAlignment="1">
      <alignment horizontal="left" vertical="center"/>
    </xf>
    <xf numFmtId="168" fontId="0" fillId="0" borderId="4" xfId="0" applyNumberFormat="1" applyBorder="1"/>
    <xf numFmtId="168" fontId="0" fillId="2" borderId="3" xfId="0" applyNumberFormat="1" applyFill="1" applyBorder="1"/>
    <xf numFmtId="168" fontId="37" fillId="8" borderId="3" xfId="7" applyNumberFormat="1" applyFont="1" applyFill="1" applyBorder="1" applyAlignment="1">
      <alignment horizontal="center" vertical="center" wrapText="1"/>
    </xf>
    <xf numFmtId="168" fontId="49" fillId="2" borderId="3" xfId="0" applyNumberFormat="1" applyFont="1" applyFill="1" applyBorder="1" applyAlignment="1">
      <alignment vertical="center"/>
    </xf>
    <xf numFmtId="168" fontId="0" fillId="0" borderId="3" xfId="2" applyNumberFormat="1" applyFont="1" applyBorder="1"/>
    <xf numFmtId="168" fontId="48" fillId="8" borderId="3" xfId="7" applyNumberFormat="1" applyFont="1" applyFill="1" applyBorder="1" applyAlignment="1">
      <alignment horizontal="right" vertical="top"/>
    </xf>
    <xf numFmtId="168" fontId="49" fillId="0" borderId="3" xfId="7" applyNumberFormat="1" applyFont="1" applyBorder="1" applyAlignment="1">
      <alignment horizontal="right" vertical="top"/>
    </xf>
    <xf numFmtId="168" fontId="52" fillId="8" borderId="3" xfId="7" applyNumberFormat="1" applyFont="1" applyFill="1" applyBorder="1"/>
    <xf numFmtId="168" fontId="0" fillId="0" borderId="16" xfId="0" applyNumberFormat="1" applyBorder="1"/>
    <xf numFmtId="168" fontId="49" fillId="2" borderId="3" xfId="7" applyNumberFormat="1" applyFont="1" applyFill="1" applyBorder="1" applyAlignment="1">
      <alignment horizontal="right" vertical="center"/>
    </xf>
    <xf numFmtId="168" fontId="49" fillId="2" borderId="3" xfId="7" applyNumberFormat="1" applyFont="1" applyFill="1" applyBorder="1" applyAlignment="1">
      <alignment horizontal="right" vertical="top"/>
    </xf>
    <xf numFmtId="168" fontId="52" fillId="8" borderId="3" xfId="7" applyNumberFormat="1" applyFont="1" applyFill="1" applyBorder="1" applyAlignment="1">
      <alignment horizontal="right" vertical="top"/>
    </xf>
    <xf numFmtId="0" fontId="41" fillId="0" borderId="3" xfId="0" applyFont="1" applyBorder="1" applyAlignment="1">
      <alignment vertical="center" wrapText="1"/>
    </xf>
    <xf numFmtId="0" fontId="41" fillId="0" borderId="3" xfId="0" applyFont="1" applyBorder="1" applyAlignment="1">
      <alignment horizontal="left" vertical="center" wrapText="1"/>
    </xf>
    <xf numFmtId="168" fontId="4" fillId="0" borderId="8" xfId="0" applyNumberFormat="1" applyFont="1" applyBorder="1"/>
    <xf numFmtId="0" fontId="0" fillId="0" borderId="3" xfId="0" applyBorder="1" applyAlignment="1">
      <alignment horizontal="center" vertical="center"/>
    </xf>
    <xf numFmtId="167" fontId="103" fillId="9" borderId="3" xfId="2" applyNumberFormat="1" applyFont="1" applyFill="1" applyBorder="1" applyAlignment="1">
      <alignment horizontal="right"/>
    </xf>
    <xf numFmtId="1" fontId="41" fillId="0" borderId="3" xfId="2" applyNumberFormat="1" applyFont="1" applyBorder="1"/>
    <xf numFmtId="0" fontId="63" fillId="0" borderId="15" xfId="0" applyFont="1" applyBorder="1" applyAlignment="1">
      <alignment horizontal="left" wrapText="1"/>
    </xf>
    <xf numFmtId="167" fontId="104" fillId="0" borderId="0" xfId="2" applyNumberFormat="1" applyFont="1" applyFill="1" applyAlignment="1">
      <alignment horizontal="center" vertical="center" wrapText="1"/>
    </xf>
    <xf numFmtId="167" fontId="93" fillId="0" borderId="0" xfId="2" applyNumberFormat="1" applyFont="1" applyFill="1"/>
    <xf numFmtId="0" fontId="64" fillId="0" borderId="10" xfId="8" applyFont="1" applyBorder="1" applyAlignment="1">
      <alignment horizontal="center" vertical="top" wrapText="1"/>
    </xf>
    <xf numFmtId="0" fontId="96" fillId="0" borderId="3" xfId="0" applyFont="1" applyBorder="1" applyAlignment="1">
      <alignment vertical="center" wrapText="1"/>
    </xf>
    <xf numFmtId="0" fontId="97" fillId="0" borderId="3" xfId="0" applyFont="1" applyBorder="1" applyAlignment="1">
      <alignment vertical="center" wrapText="1"/>
    </xf>
    <xf numFmtId="166" fontId="97" fillId="0" borderId="0" xfId="1" applyNumberFormat="1" applyFont="1"/>
    <xf numFmtId="3" fontId="40" fillId="2" borderId="3" xfId="4" applyNumberFormat="1" applyFont="1" applyFill="1" applyBorder="1" applyAlignment="1">
      <alignment horizontal="right"/>
    </xf>
    <xf numFmtId="170" fontId="112" fillId="2" borderId="3" xfId="4" applyNumberFormat="1" applyFont="1" applyFill="1" applyBorder="1"/>
    <xf numFmtId="49" fontId="1" fillId="0" borderId="1" xfId="0" applyNumberFormat="1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0" xfId="0" applyFont="1" applyAlignment="1">
      <alignment horizontal="left" wrapText="1"/>
    </xf>
    <xf numFmtId="49" fontId="44" fillId="0" borderId="0" xfId="0" applyNumberFormat="1" applyFont="1" applyAlignment="1">
      <alignment horizontal="left" vertical="center" wrapText="1"/>
    </xf>
    <xf numFmtId="0" fontId="34" fillId="8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6" fontId="0" fillId="0" borderId="3" xfId="1" applyNumberFormat="1" applyFont="1" applyBorder="1"/>
    <xf numFmtId="166" fontId="4" fillId="3" borderId="3" xfId="1" applyNumberFormat="1" applyFont="1" applyFill="1" applyBorder="1"/>
    <xf numFmtId="166" fontId="4" fillId="15" borderId="3" xfId="1" applyNumberFormat="1" applyFont="1" applyFill="1" applyBorder="1"/>
    <xf numFmtId="168" fontId="64" fillId="0" borderId="3" xfId="0" applyNumberFormat="1" applyFont="1" applyBorder="1" applyAlignment="1">
      <alignment horizontal="right" wrapText="1"/>
    </xf>
    <xf numFmtId="168" fontId="63" fillId="0" borderId="3" xfId="0" applyNumberFormat="1" applyFont="1" applyBorder="1" applyAlignment="1">
      <alignment horizontal="right" wrapText="1"/>
    </xf>
    <xf numFmtId="168" fontId="62" fillId="0" borderId="3" xfId="0" applyNumberFormat="1" applyFont="1" applyBorder="1" applyAlignment="1">
      <alignment horizontal="right" wrapText="1"/>
    </xf>
    <xf numFmtId="166" fontId="67" fillId="0" borderId="3" xfId="1" applyNumberFormat="1" applyFont="1" applyBorder="1" applyAlignment="1">
      <alignment horizontal="right" wrapText="1"/>
    </xf>
    <xf numFmtId="166" fontId="63" fillId="0" borderId="3" xfId="1" applyNumberFormat="1" applyFont="1" applyBorder="1" applyAlignment="1">
      <alignment horizontal="right" wrapText="1"/>
    </xf>
    <xf numFmtId="166" fontId="4" fillId="0" borderId="0" xfId="1" applyNumberFormat="1" applyFont="1"/>
    <xf numFmtId="166" fontId="0" fillId="0" borderId="0" xfId="1" applyNumberFormat="1" applyFont="1"/>
    <xf numFmtId="166" fontId="39" fillId="2" borderId="3" xfId="1" applyNumberFormat="1" applyFont="1" applyFill="1" applyBorder="1" applyAlignment="1">
      <alignment horizontal="right"/>
    </xf>
    <xf numFmtId="166" fontId="41" fillId="2" borderId="3" xfId="1" applyNumberFormat="1" applyFont="1" applyFill="1" applyBorder="1" applyAlignment="1">
      <alignment horizontal="right"/>
    </xf>
    <xf numFmtId="166" fontId="64" fillId="2" borderId="3" xfId="1" applyNumberFormat="1" applyFont="1" applyFill="1" applyBorder="1" applyAlignment="1">
      <alignment wrapText="1"/>
    </xf>
    <xf numFmtId="0" fontId="62" fillId="2" borderId="3" xfId="0" applyFont="1" applyFill="1" applyBorder="1" applyAlignment="1">
      <alignment horizontal="left" wrapText="1"/>
    </xf>
    <xf numFmtId="0" fontId="68" fillId="2" borderId="3" xfId="0" applyFont="1" applyFill="1" applyBorder="1" applyAlignment="1">
      <alignment wrapText="1"/>
    </xf>
    <xf numFmtId="166" fontId="68" fillId="2" borderId="3" xfId="1" applyNumberFormat="1" applyFont="1" applyFill="1" applyBorder="1" applyAlignment="1">
      <alignment wrapText="1"/>
    </xf>
    <xf numFmtId="0" fontId="113" fillId="2" borderId="3" xfId="0" applyFont="1" applyFill="1" applyBorder="1" applyAlignment="1">
      <alignment horizontal="left" vertical="top" wrapText="1"/>
    </xf>
    <xf numFmtId="0" fontId="46" fillId="2" borderId="3" xfId="0" applyFont="1" applyFill="1" applyBorder="1" applyAlignment="1">
      <alignment horizontal="left" vertical="top" wrapText="1"/>
    </xf>
    <xf numFmtId="166" fontId="47" fillId="2" borderId="3" xfId="1" applyNumberFormat="1" applyFont="1" applyFill="1" applyBorder="1" applyAlignment="1">
      <alignment horizontal="right"/>
    </xf>
    <xf numFmtId="0" fontId="62" fillId="2" borderId="3" xfId="0" applyFont="1" applyFill="1" applyBorder="1" applyAlignment="1">
      <alignment wrapText="1"/>
    </xf>
    <xf numFmtId="0" fontId="38" fillId="2" borderId="3" xfId="0" applyFont="1" applyFill="1" applyBorder="1" applyAlignment="1">
      <alignment horizontal="right" vertical="top" wrapText="1"/>
    </xf>
    <xf numFmtId="166" fontId="4" fillId="0" borderId="3" xfId="1" applyNumberFormat="1" applyFont="1" applyBorder="1"/>
    <xf numFmtId="166" fontId="49" fillId="2" borderId="3" xfId="1" applyNumberFormat="1" applyFont="1" applyFill="1" applyBorder="1"/>
    <xf numFmtId="166" fontId="49" fillId="2" borderId="3" xfId="1" applyNumberFormat="1" applyFont="1" applyFill="1" applyBorder="1" applyAlignment="1"/>
    <xf numFmtId="166" fontId="49" fillId="2" borderId="3" xfId="1" applyNumberFormat="1" applyFont="1" applyFill="1" applyBorder="1" applyAlignment="1">
      <alignment horizontal="left" vertical="center"/>
    </xf>
    <xf numFmtId="166" fontId="4" fillId="14" borderId="3" xfId="1" applyNumberFormat="1" applyFont="1" applyFill="1" applyBorder="1"/>
    <xf numFmtId="166" fontId="50" fillId="0" borderId="3" xfId="1" applyNumberFormat="1" applyFont="1" applyBorder="1" applyAlignment="1">
      <alignment horizontal="left" vertical="top" wrapText="1"/>
    </xf>
    <xf numFmtId="166" fontId="11" fillId="2" borderId="3" xfId="1" applyNumberFormat="1" applyFont="1" applyFill="1" applyBorder="1" applyAlignment="1">
      <alignment horizontal="right"/>
    </xf>
    <xf numFmtId="166" fontId="13" fillId="2" borderId="3" xfId="1" applyNumberFormat="1" applyFont="1" applyFill="1" applyBorder="1" applyAlignment="1">
      <alignment horizontal="right"/>
    </xf>
    <xf numFmtId="38" fontId="92" fillId="2" borderId="1" xfId="1" applyNumberFormat="1" applyFont="1" applyFill="1" applyBorder="1" applyAlignment="1">
      <alignment horizontal="right" vertical="center"/>
    </xf>
    <xf numFmtId="38" fontId="92" fillId="2" borderId="3" xfId="1" applyNumberFormat="1" applyFont="1" applyFill="1" applyBorder="1" applyAlignment="1">
      <alignment horizontal="right" vertical="center"/>
    </xf>
    <xf numFmtId="38" fontId="92" fillId="2" borderId="6" xfId="1" applyNumberFormat="1" applyFont="1" applyFill="1" applyBorder="1" applyAlignment="1">
      <alignment horizontal="right" vertical="center"/>
    </xf>
    <xf numFmtId="38" fontId="40" fillId="2" borderId="1" xfId="1" applyNumberFormat="1" applyFont="1" applyFill="1" applyBorder="1" applyAlignment="1">
      <alignment horizontal="right" vertical="center"/>
    </xf>
    <xf numFmtId="38" fontId="90" fillId="2" borderId="1" xfId="1" applyNumberFormat="1" applyFont="1" applyFill="1" applyBorder="1" applyAlignment="1">
      <alignment horizontal="right" vertical="center"/>
    </xf>
    <xf numFmtId="168" fontId="49" fillId="0" borderId="3" xfId="0" applyNumberFormat="1" applyFont="1" applyBorder="1" applyAlignment="1">
      <alignment vertical="center"/>
    </xf>
    <xf numFmtId="0" fontId="18" fillId="8" borderId="3" xfId="0" applyFont="1" applyFill="1" applyBorder="1" applyAlignment="1">
      <alignment vertical="center"/>
    </xf>
    <xf numFmtId="166" fontId="16" fillId="2" borderId="3" xfId="1" applyNumberFormat="1" applyFont="1" applyFill="1" applyBorder="1" applyAlignment="1">
      <alignment wrapText="1"/>
    </xf>
    <xf numFmtId="166" fontId="28" fillId="2" borderId="3" xfId="1" applyNumberFormat="1" applyFont="1" applyFill="1" applyBorder="1"/>
    <xf numFmtId="166" fontId="29" fillId="12" borderId="3" xfId="1" applyNumberFormat="1" applyFont="1" applyFill="1" applyBorder="1" applyAlignment="1">
      <alignment horizontal="left" vertical="center" wrapText="1"/>
    </xf>
    <xf numFmtId="166" fontId="29" fillId="12" borderId="3" xfId="1" applyNumberFormat="1" applyFont="1" applyFill="1" applyBorder="1" applyAlignment="1">
      <alignment horizontal="left" vertical="center"/>
    </xf>
    <xf numFmtId="166" fontId="30" fillId="12" borderId="3" xfId="1" applyNumberFormat="1" applyFont="1" applyFill="1" applyBorder="1" applyAlignment="1">
      <alignment horizontal="left" vertical="center"/>
    </xf>
    <xf numFmtId="166" fontId="33" fillId="12" borderId="3" xfId="1" applyNumberFormat="1" applyFont="1" applyFill="1" applyBorder="1"/>
    <xf numFmtId="166" fontId="24" fillId="2" borderId="3" xfId="1" applyNumberFormat="1" applyFont="1" applyFill="1" applyBorder="1"/>
    <xf numFmtId="166" fontId="20" fillId="2" borderId="3" xfId="1" applyNumberFormat="1" applyFont="1" applyFill="1" applyBorder="1" applyAlignment="1">
      <alignment horizontal="center"/>
    </xf>
    <xf numFmtId="166" fontId="86" fillId="0" borderId="2" xfId="7" applyNumberFormat="1" applyFont="1" applyBorder="1" applyAlignment="1" applyProtection="1">
      <alignment horizontal="right" vertical="center" wrapText="1"/>
      <protection locked="0"/>
    </xf>
    <xf numFmtId="166" fontId="86" fillId="0" borderId="5" xfId="7" applyNumberFormat="1" applyFont="1" applyBorder="1" applyAlignment="1" applyProtection="1">
      <alignment horizontal="right" vertical="center" wrapText="1"/>
      <protection locked="0"/>
    </xf>
    <xf numFmtId="166" fontId="86" fillId="0" borderId="64" xfId="7" applyNumberFormat="1" applyFont="1" applyBorder="1" applyAlignment="1">
      <alignment horizontal="right" vertical="center" wrapText="1"/>
    </xf>
    <xf numFmtId="166" fontId="86" fillId="0" borderId="6" xfId="7" applyNumberFormat="1" applyFont="1" applyBorder="1" applyAlignment="1" applyProtection="1">
      <alignment horizontal="right" vertical="center" wrapText="1"/>
      <protection locked="0"/>
    </xf>
    <xf numFmtId="166" fontId="86" fillId="0" borderId="0" xfId="7" applyNumberFormat="1" applyFont="1" applyBorder="1" applyAlignment="1" applyProtection="1">
      <alignment horizontal="right" vertical="center" wrapText="1"/>
      <protection locked="0"/>
    </xf>
    <xf numFmtId="168" fontId="4" fillId="2" borderId="3" xfId="0" applyNumberFormat="1" applyFont="1" applyFill="1" applyBorder="1"/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3" fillId="0" borderId="15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/>
    </xf>
    <xf numFmtId="9" fontId="0" fillId="0" borderId="0" xfId="13" applyFont="1"/>
    <xf numFmtId="164" fontId="0" fillId="0" borderId="3" xfId="0" applyNumberFormat="1" applyBorder="1"/>
    <xf numFmtId="166" fontId="4" fillId="0" borderId="3" xfId="1" applyNumberFormat="1" applyFont="1" applyBorder="1" applyAlignment="1">
      <alignment horizontal="center" vertical="center" wrapText="1"/>
    </xf>
    <xf numFmtId="168" fontId="0" fillId="0" borderId="21" xfId="0" applyNumberFormat="1" applyBorder="1"/>
    <xf numFmtId="170" fontId="0" fillId="0" borderId="3" xfId="0" applyNumberFormat="1" applyBorder="1"/>
    <xf numFmtId="3" fontId="0" fillId="0" borderId="3" xfId="0" applyNumberFormat="1" applyBorder="1"/>
    <xf numFmtId="166" fontId="63" fillId="0" borderId="3" xfId="1" applyNumberFormat="1" applyFont="1" applyBorder="1" applyAlignment="1">
      <alignment horizontal="left" wrapText="1"/>
    </xf>
    <xf numFmtId="0" fontId="38" fillId="2" borderId="3" xfId="0" applyFont="1" applyFill="1" applyBorder="1" applyAlignment="1">
      <alignment horizontal="center" vertical="center" wrapText="1"/>
    </xf>
    <xf numFmtId="166" fontId="38" fillId="2" borderId="3" xfId="1" applyNumberFormat="1" applyFont="1" applyFill="1" applyBorder="1" applyAlignment="1">
      <alignment horizontal="center" vertical="center" wrapText="1"/>
    </xf>
    <xf numFmtId="166" fontId="41" fillId="0" borderId="0" xfId="1" applyNumberFormat="1" applyFont="1"/>
    <xf numFmtId="166" fontId="39" fillId="2" borderId="3" xfId="1" applyNumberFormat="1" applyFont="1" applyFill="1" applyBorder="1"/>
    <xf numFmtId="166" fontId="41" fillId="2" borderId="3" xfId="1" applyNumberFormat="1" applyFont="1" applyFill="1" applyBorder="1"/>
    <xf numFmtId="166" fontId="92" fillId="2" borderId="3" xfId="1" applyNumberFormat="1" applyFont="1" applyFill="1" applyBorder="1"/>
    <xf numFmtId="166" fontId="114" fillId="2" borderId="3" xfId="1" applyNumberFormat="1" applyFont="1" applyFill="1" applyBorder="1"/>
    <xf numFmtId="166" fontId="38" fillId="2" borderId="3" xfId="1" applyNumberFormat="1" applyFont="1" applyFill="1" applyBorder="1" applyAlignment="1">
      <alignment horizontal="right" wrapText="1"/>
    </xf>
    <xf numFmtId="166" fontId="0" fillId="2" borderId="3" xfId="1" applyNumberFormat="1" applyFont="1" applyFill="1" applyBorder="1"/>
    <xf numFmtId="167" fontId="0" fillId="2" borderId="3" xfId="0" applyNumberFormat="1" applyFill="1" applyBorder="1"/>
    <xf numFmtId="167" fontId="18" fillId="8" borderId="3" xfId="2" applyNumberFormat="1" applyFont="1" applyFill="1" applyBorder="1" applyAlignment="1">
      <alignment horizontal="center"/>
    </xf>
    <xf numFmtId="0" fontId="0" fillId="0" borderId="3" xfId="0" applyFill="1" applyBorder="1"/>
    <xf numFmtId="10" fontId="38" fillId="15" borderId="3" xfId="13" applyNumberFormat="1" applyFont="1" applyFill="1" applyBorder="1" applyAlignment="1">
      <alignment horizontal="center" vertical="center" wrapText="1"/>
    </xf>
    <xf numFmtId="10" fontId="3" fillId="0" borderId="3" xfId="13" applyNumberFormat="1" applyFont="1" applyBorder="1"/>
    <xf numFmtId="10" fontId="0" fillId="0" borderId="0" xfId="13" applyNumberFormat="1" applyFont="1" applyAlignment="1">
      <alignment horizontal="center" vertical="center"/>
    </xf>
    <xf numFmtId="3" fontId="52" fillId="8" borderId="3" xfId="7" applyNumberFormat="1" applyFont="1" applyFill="1" applyBorder="1"/>
    <xf numFmtId="0" fontId="63" fillId="0" borderId="15" xfId="0" applyFont="1" applyBorder="1" applyAlignment="1">
      <alignment horizontal="left" wrapText="1"/>
    </xf>
    <xf numFmtId="166" fontId="0" fillId="0" borderId="3" xfId="1" applyNumberFormat="1" applyFont="1" applyBorder="1" applyAlignment="1">
      <alignment horizontal="center" vertical="center" wrapText="1"/>
    </xf>
    <xf numFmtId="166" fontId="2" fillId="0" borderId="3" xfId="1" applyNumberFormat="1" applyFont="1" applyBorder="1" applyAlignment="1"/>
    <xf numFmtId="0" fontId="0" fillId="0" borderId="0" xfId="0" applyAlignment="1">
      <alignment horizontal="left"/>
    </xf>
    <xf numFmtId="0" fontId="4" fillId="0" borderId="0" xfId="0" applyFont="1"/>
    <xf numFmtId="0" fontId="0" fillId="2" borderId="3" xfId="0" applyFill="1" applyBorder="1" applyAlignment="1">
      <alignment wrapText="1"/>
    </xf>
    <xf numFmtId="0" fontId="0" fillId="0" borderId="0" xfId="0"/>
    <xf numFmtId="0" fontId="63" fillId="0" borderId="15" xfId="0" applyFont="1" applyBorder="1" applyAlignment="1">
      <alignment horizontal="left" wrapText="1"/>
    </xf>
    <xf numFmtId="10" fontId="11" fillId="2" borderId="4" xfId="13" applyNumberFormat="1" applyFont="1" applyFill="1" applyBorder="1" applyAlignment="1">
      <alignment horizontal="left"/>
    </xf>
    <xf numFmtId="167" fontId="14" fillId="2" borderId="4" xfId="2" applyNumberFormat="1" applyFont="1" applyFill="1" applyBorder="1"/>
    <xf numFmtId="167" fontId="93" fillId="2" borderId="3" xfId="2" applyNumberFormat="1" applyFont="1" applyFill="1" applyBorder="1"/>
    <xf numFmtId="10" fontId="0" fillId="2" borderId="3" xfId="13" applyNumberFormat="1" applyFont="1" applyFill="1" applyBorder="1"/>
    <xf numFmtId="167" fontId="0" fillId="2" borderId="3" xfId="2" applyNumberFormat="1" applyFont="1" applyFill="1" applyBorder="1" applyAlignment="1">
      <alignment wrapText="1"/>
    </xf>
    <xf numFmtId="0" fontId="6" fillId="2" borderId="3" xfId="0" applyFont="1" applyFill="1" applyBorder="1"/>
    <xf numFmtId="0" fontId="6" fillId="2" borderId="3" xfId="0" applyFont="1" applyFill="1" applyBorder="1" applyAlignment="1">
      <alignment wrapText="1"/>
    </xf>
    <xf numFmtId="166" fontId="6" fillId="2" borderId="3" xfId="1" applyNumberFormat="1" applyFont="1" applyFill="1" applyBorder="1"/>
    <xf numFmtId="0" fontId="7" fillId="2" borderId="3" xfId="0" applyFont="1" applyFill="1" applyBorder="1"/>
    <xf numFmtId="166" fontId="7" fillId="2" borderId="3" xfId="1" applyNumberFormat="1" applyFont="1" applyFill="1" applyBorder="1"/>
    <xf numFmtId="0" fontId="7" fillId="2" borderId="3" xfId="0" applyFont="1" applyFill="1" applyBorder="1" applyAlignment="1">
      <alignment wrapText="1"/>
    </xf>
    <xf numFmtId="167" fontId="6" fillId="2" borderId="3" xfId="2" applyNumberFormat="1" applyFont="1" applyFill="1" applyBorder="1"/>
    <xf numFmtId="168" fontId="6" fillId="2" borderId="3" xfId="2" applyNumberFormat="1" applyFont="1" applyFill="1" applyBorder="1"/>
    <xf numFmtId="166" fontId="8" fillId="2" borderId="3" xfId="1" applyNumberFormat="1" applyFont="1" applyFill="1" applyBorder="1" applyAlignment="1">
      <alignment horizontal="center" wrapText="1"/>
    </xf>
    <xf numFmtId="168" fontId="106" fillId="2" borderId="3" xfId="0" applyNumberFormat="1" applyFont="1" applyFill="1" applyBorder="1"/>
    <xf numFmtId="168" fontId="6" fillId="2" borderId="3" xfId="0" applyNumberFormat="1" applyFont="1" applyFill="1" applyBorder="1"/>
    <xf numFmtId="0" fontId="7" fillId="2" borderId="3" xfId="0" applyFont="1" applyFill="1" applyBorder="1" applyAlignment="1">
      <alignment horizontal="right" wrapText="1"/>
    </xf>
    <xf numFmtId="168" fontId="93" fillId="2" borderId="3" xfId="0" applyNumberFormat="1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166" fontId="9" fillId="2" borderId="3" xfId="1" applyNumberFormat="1" applyFont="1" applyFill="1" applyBorder="1"/>
    <xf numFmtId="168" fontId="107" fillId="2" borderId="3" xfId="0" applyNumberFormat="1" applyFont="1" applyFill="1" applyBorder="1"/>
    <xf numFmtId="0" fontId="0" fillId="2" borderId="3" xfId="0" applyFill="1" applyBorder="1" applyAlignment="1">
      <alignment horizontal="right" wrapText="1"/>
    </xf>
    <xf numFmtId="10" fontId="6" fillId="2" borderId="3" xfId="13" applyNumberFormat="1" applyFont="1" applyFill="1" applyBorder="1"/>
    <xf numFmtId="0" fontId="8" fillId="2" borderId="3" xfId="0" applyFont="1" applyFill="1" applyBorder="1"/>
    <xf numFmtId="166" fontId="8" fillId="2" borderId="3" xfId="1" applyNumberFormat="1" applyFont="1" applyFill="1" applyBorder="1"/>
    <xf numFmtId="168" fontId="108" fillId="2" borderId="3" xfId="0" applyNumberFormat="1" applyFont="1" applyFill="1" applyBorder="1"/>
    <xf numFmtId="0" fontId="10" fillId="2" borderId="3" xfId="0" applyFont="1" applyFill="1" applyBorder="1"/>
    <xf numFmtId="0" fontId="10" fillId="2" borderId="3" xfId="0" applyFont="1" applyFill="1" applyBorder="1" applyAlignment="1">
      <alignment wrapText="1"/>
    </xf>
    <xf numFmtId="166" fontId="10" fillId="2" borderId="3" xfId="1" applyNumberFormat="1" applyFont="1" applyFill="1" applyBorder="1"/>
    <xf numFmtId="168" fontId="109" fillId="2" borderId="3" xfId="0" applyNumberFormat="1" applyFont="1" applyFill="1" applyBorder="1"/>
    <xf numFmtId="166" fontId="7" fillId="2" borderId="3" xfId="1" applyNumberFormat="1" applyFont="1" applyFill="1" applyBorder="1" applyAlignment="1">
      <alignment horizontal="right"/>
    </xf>
    <xf numFmtId="167" fontId="7" fillId="2" borderId="3" xfId="2" applyNumberFormat="1" applyFont="1" applyFill="1" applyBorder="1"/>
    <xf numFmtId="0" fontId="0" fillId="2" borderId="4" xfId="0" applyFill="1" applyBorder="1"/>
    <xf numFmtId="0" fontId="0" fillId="2" borderId="4" xfId="0" applyFill="1" applyBorder="1" applyAlignment="1">
      <alignment wrapText="1"/>
    </xf>
    <xf numFmtId="168" fontId="0" fillId="2" borderId="4" xfId="0" applyNumberFormat="1" applyFill="1" applyBorder="1"/>
    <xf numFmtId="167" fontId="0" fillId="2" borderId="4" xfId="2" applyNumberFormat="1" applyFont="1" applyFill="1" applyBorder="1"/>
    <xf numFmtId="167" fontId="0" fillId="2" borderId="4" xfId="0" applyNumberFormat="1" applyFill="1" applyBorder="1"/>
    <xf numFmtId="167" fontId="0" fillId="2" borderId="16" xfId="0" applyNumberFormat="1" applyFill="1" applyBorder="1"/>
    <xf numFmtId="168" fontId="0" fillId="2" borderId="16" xfId="0" applyNumberFormat="1" applyFill="1" applyBorder="1"/>
    <xf numFmtId="0" fontId="11" fillId="2" borderId="56" xfId="0" applyFont="1" applyFill="1" applyBorder="1"/>
    <xf numFmtId="0" fontId="12" fillId="2" borderId="57" xfId="0" applyFont="1" applyFill="1" applyBorder="1" applyAlignment="1">
      <alignment wrapText="1"/>
    </xf>
    <xf numFmtId="0" fontId="12" fillId="2" borderId="57" xfId="0" applyFont="1" applyFill="1" applyBorder="1"/>
    <xf numFmtId="0" fontId="7" fillId="2" borderId="4" xfId="0" applyFont="1" applyFill="1" applyBorder="1" applyAlignment="1">
      <alignment wrapText="1"/>
    </xf>
    <xf numFmtId="0" fontId="7" fillId="2" borderId="4" xfId="0" applyFont="1" applyFill="1" applyBorder="1"/>
    <xf numFmtId="167" fontId="93" fillId="2" borderId="4" xfId="2" applyNumberFormat="1" applyFont="1" applyFill="1" applyBorder="1"/>
    <xf numFmtId="167" fontId="7" fillId="2" borderId="4" xfId="2" applyNumberFormat="1" applyFont="1" applyFill="1" applyBorder="1"/>
    <xf numFmtId="166" fontId="11" fillId="2" borderId="8" xfId="1" applyNumberFormat="1" applyFont="1" applyFill="1" applyBorder="1" applyAlignment="1">
      <alignment horizontal="right"/>
    </xf>
    <xf numFmtId="167" fontId="118" fillId="2" borderId="8" xfId="2" applyNumberFormat="1" applyFont="1" applyFill="1" applyBorder="1"/>
    <xf numFmtId="166" fontId="100" fillId="2" borderId="12" xfId="1" applyNumberFormat="1" applyFont="1" applyFill="1" applyBorder="1" applyAlignment="1">
      <alignment horizontal="right"/>
    </xf>
    <xf numFmtId="167" fontId="119" fillId="2" borderId="12" xfId="2" applyNumberFormat="1" applyFont="1" applyFill="1" applyBorder="1"/>
    <xf numFmtId="167" fontId="120" fillId="2" borderId="12" xfId="2" applyNumberFormat="1" applyFont="1" applyFill="1" applyBorder="1"/>
    <xf numFmtId="0" fontId="4" fillId="2" borderId="3" xfId="0" applyFont="1" applyFill="1" applyBorder="1"/>
    <xf numFmtId="167" fontId="4" fillId="2" borderId="3" xfId="2" applyNumberFormat="1" applyFont="1" applyFill="1" applyBorder="1"/>
    <xf numFmtId="0" fontId="4" fillId="0" borderId="0" xfId="0" applyFont="1" applyAlignment="1">
      <alignment horizontal="center" vertical="center"/>
    </xf>
    <xf numFmtId="0" fontId="14" fillId="0" borderId="0" xfId="0" applyFont="1"/>
    <xf numFmtId="166" fontId="14" fillId="2" borderId="3" xfId="1" applyNumberFormat="1" applyFont="1" applyFill="1" applyBorder="1"/>
    <xf numFmtId="3" fontId="62" fillId="0" borderId="0" xfId="0" applyNumberFormat="1" applyFont="1" applyAlignment="1">
      <alignment horizontal="right" vertical="top" wrapText="1"/>
    </xf>
    <xf numFmtId="3" fontId="64" fillId="0" borderId="0" xfId="0" applyNumberFormat="1" applyFont="1" applyAlignment="1">
      <alignment horizontal="right" vertical="top" wrapText="1"/>
    </xf>
    <xf numFmtId="166" fontId="0" fillId="0" borderId="0" xfId="0" applyNumberFormat="1"/>
    <xf numFmtId="1" fontId="0" fillId="0" borderId="3" xfId="0" applyNumberFormat="1" applyBorder="1"/>
    <xf numFmtId="1" fontId="0" fillId="2" borderId="3" xfId="0" applyNumberFormat="1" applyFill="1" applyBorder="1"/>
    <xf numFmtId="3" fontId="49" fillId="0" borderId="3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wrapText="1"/>
    </xf>
    <xf numFmtId="3" fontId="62" fillId="0" borderId="3" xfId="0" applyNumberFormat="1" applyFont="1" applyBorder="1" applyAlignment="1">
      <alignment horizontal="right" vertical="top" wrapText="1"/>
    </xf>
    <xf numFmtId="168" fontId="39" fillId="0" borderId="3" xfId="2" applyNumberFormat="1" applyFont="1" applyBorder="1" applyAlignment="1">
      <alignment horizontal="right"/>
    </xf>
    <xf numFmtId="168" fontId="39" fillId="15" borderId="3" xfId="2" applyNumberFormat="1" applyFont="1" applyFill="1" applyBorder="1" applyAlignment="1">
      <alignment horizontal="right"/>
    </xf>
    <xf numFmtId="164" fontId="39" fillId="2" borderId="3" xfId="2" applyNumberFormat="1" applyFont="1" applyFill="1" applyBorder="1"/>
    <xf numFmtId="164" fontId="38" fillId="2" borderId="3" xfId="2" applyNumberFormat="1" applyFont="1" applyFill="1" applyBorder="1" applyAlignment="1">
      <alignment horizontal="right" wrapText="1"/>
    </xf>
    <xf numFmtId="0" fontId="41" fillId="2" borderId="3" xfId="0" applyFont="1" applyFill="1" applyBorder="1" applyAlignment="1">
      <alignment wrapText="1"/>
    </xf>
    <xf numFmtId="164" fontId="41" fillId="2" borderId="3" xfId="2" applyNumberFormat="1" applyFont="1" applyFill="1" applyBorder="1"/>
    <xf numFmtId="164" fontId="41" fillId="0" borderId="3" xfId="2" applyNumberFormat="1" applyFont="1" applyFill="1" applyBorder="1"/>
    <xf numFmtId="0" fontId="39" fillId="2" borderId="3" xfId="0" applyFont="1" applyFill="1" applyBorder="1" applyAlignment="1">
      <alignment wrapText="1"/>
    </xf>
    <xf numFmtId="164" fontId="40" fillId="2" borderId="3" xfId="2" applyNumberFormat="1" applyFont="1" applyFill="1" applyBorder="1"/>
    <xf numFmtId="3" fontId="64" fillId="0" borderId="3" xfId="0" applyNumberFormat="1" applyFont="1" applyBorder="1" applyAlignment="1">
      <alignment horizontal="right" vertical="top" wrapText="1"/>
    </xf>
    <xf numFmtId="167" fontId="123" fillId="2" borderId="3" xfId="2" applyNumberFormat="1" applyFont="1" applyFill="1" applyBorder="1"/>
    <xf numFmtId="168" fontId="123" fillId="2" borderId="3" xfId="2" applyNumberFormat="1" applyFont="1" applyFill="1" applyBorder="1"/>
    <xf numFmtId="0" fontId="117" fillId="0" borderId="0" xfId="0" applyFont="1"/>
    <xf numFmtId="170" fontId="88" fillId="17" borderId="3" xfId="4" applyNumberFormat="1" applyFont="1" applyFill="1" applyBorder="1" applyAlignment="1">
      <alignment horizontal="center" vertical="center" wrapText="1"/>
    </xf>
    <xf numFmtId="173" fontId="0" fillId="0" borderId="0" xfId="1" applyNumberFormat="1" applyFont="1"/>
    <xf numFmtId="167" fontId="105" fillId="2" borderId="3" xfId="2" applyNumberFormat="1" applyFont="1" applyFill="1" applyBorder="1"/>
    <xf numFmtId="168" fontId="105" fillId="2" borderId="3" xfId="2" applyNumberFormat="1" applyFont="1" applyFill="1" applyBorder="1"/>
    <xf numFmtId="167" fontId="4" fillId="0" borderId="3" xfId="2" applyNumberFormat="1" applyFont="1" applyBorder="1"/>
    <xf numFmtId="167" fontId="45" fillId="0" borderId="3" xfId="2" applyNumberFormat="1" applyFont="1" applyFill="1" applyBorder="1"/>
    <xf numFmtId="166" fontId="4" fillId="0" borderId="3" xfId="1" applyNumberFormat="1" applyFont="1" applyBorder="1" applyAlignment="1">
      <alignment horizontal="center"/>
    </xf>
    <xf numFmtId="167" fontId="4" fillId="0" borderId="0" xfId="0" applyNumberFormat="1" applyFont="1"/>
    <xf numFmtId="0" fontId="38" fillId="2" borderId="10" xfId="0" applyFont="1" applyFill="1" applyBorder="1" applyAlignment="1">
      <alignment horizontal="left" vertical="top" wrapText="1"/>
    </xf>
    <xf numFmtId="0" fontId="39" fillId="2" borderId="1" xfId="0" applyFont="1" applyFill="1" applyBorder="1" applyAlignment="1">
      <alignment horizontal="right"/>
    </xf>
    <xf numFmtId="0" fontId="4" fillId="0" borderId="3" xfId="0" applyFont="1" applyBorder="1"/>
    <xf numFmtId="0" fontId="124" fillId="2" borderId="10" xfId="0" applyFont="1" applyFill="1" applyBorder="1" applyAlignment="1">
      <alignment horizontal="left" vertical="top" wrapText="1"/>
    </xf>
    <xf numFmtId="0" fontId="125" fillId="2" borderId="1" xfId="0" applyFont="1" applyFill="1" applyBorder="1" applyAlignment="1">
      <alignment horizontal="right"/>
    </xf>
    <xf numFmtId="3" fontId="124" fillId="2" borderId="3" xfId="4" applyNumberFormat="1" applyFont="1" applyFill="1" applyBorder="1" applyAlignment="1">
      <alignment horizontal="right" wrapText="1"/>
    </xf>
    <xf numFmtId="3" fontId="125" fillId="2" borderId="3" xfId="0" applyNumberFormat="1" applyFont="1" applyFill="1" applyBorder="1" applyAlignment="1">
      <alignment horizontal="right"/>
    </xf>
    <xf numFmtId="0" fontId="126" fillId="0" borderId="3" xfId="0" applyFont="1" applyBorder="1"/>
    <xf numFmtId="3" fontId="126" fillId="0" borderId="3" xfId="0" applyNumberFormat="1" applyFont="1" applyBorder="1"/>
    <xf numFmtId="0" fontId="126" fillId="0" borderId="0" xfId="0" applyFont="1"/>
    <xf numFmtId="0" fontId="95" fillId="0" borderId="0" xfId="0" applyFont="1"/>
    <xf numFmtId="0" fontId="51" fillId="0" borderId="0" xfId="0" applyFont="1"/>
    <xf numFmtId="170" fontId="0" fillId="0" borderId="3" xfId="0" applyNumberFormat="1" applyFont="1" applyBorder="1"/>
    <xf numFmtId="170" fontId="39" fillId="2" borderId="3" xfId="0" applyNumberFormat="1" applyFont="1" applyFill="1" applyBorder="1"/>
    <xf numFmtId="168" fontId="4" fillId="0" borderId="3" xfId="0" applyNumberFormat="1" applyFont="1" applyBorder="1"/>
    <xf numFmtId="0" fontId="0" fillId="0" borderId="12" xfId="0" applyBorder="1" applyAlignment="1">
      <alignment horizontal="left" vertical="center"/>
    </xf>
    <xf numFmtId="168" fontId="4" fillId="0" borderId="12" xfId="0" applyNumberFormat="1" applyFont="1" applyBorder="1"/>
    <xf numFmtId="0" fontId="0" fillId="0" borderId="0" xfId="0" applyAlignment="1">
      <alignment horizontal="left"/>
    </xf>
    <xf numFmtId="0" fontId="8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8" fillId="0" borderId="3" xfId="12" applyFont="1" applyBorder="1" applyAlignment="1">
      <alignment horizontal="center"/>
    </xf>
    <xf numFmtId="0" fontId="4" fillId="0" borderId="0" xfId="0" applyFont="1" applyAlignment="1">
      <alignment horizontal="center"/>
    </xf>
    <xf numFmtId="0" fontId="92" fillId="2" borderId="0" xfId="0" applyFont="1" applyFill="1" applyAlignment="1">
      <alignment horizontal="left" wrapText="1"/>
    </xf>
    <xf numFmtId="0" fontId="4" fillId="0" borderId="0" xfId="0" applyFont="1" applyAlignment="1">
      <alignment horizontal="center" wrapText="1"/>
    </xf>
    <xf numFmtId="0" fontId="39" fillId="2" borderId="3" xfId="0" applyFont="1" applyFill="1" applyBorder="1" applyAlignment="1">
      <alignment horizontal="center" vertical="center" wrapText="1"/>
    </xf>
    <xf numFmtId="0" fontId="65" fillId="0" borderId="3" xfId="0" applyFont="1" applyBorder="1"/>
    <xf numFmtId="0" fontId="40" fillId="0" borderId="3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168" fontId="38" fillId="0" borderId="3" xfId="2" applyNumberFormat="1" applyFont="1" applyBorder="1" applyAlignment="1">
      <alignment horizontal="right"/>
    </xf>
    <xf numFmtId="167" fontId="93" fillId="0" borderId="3" xfId="0" applyNumberFormat="1" applyFont="1" applyBorder="1"/>
    <xf numFmtId="167" fontId="38" fillId="15" borderId="3" xfId="2" applyNumberFormat="1" applyFont="1" applyFill="1" applyBorder="1" applyAlignment="1">
      <alignment horizontal="right"/>
    </xf>
    <xf numFmtId="167" fontId="90" fillId="2" borderId="3" xfId="2" applyNumberFormat="1" applyFont="1" applyFill="1" applyBorder="1" applyAlignment="1">
      <alignment horizontal="right" vertical="center"/>
    </xf>
    <xf numFmtId="167" fontId="4" fillId="0" borderId="3" xfId="0" applyNumberFormat="1" applyFont="1" applyBorder="1"/>
    <xf numFmtId="38" fontId="90" fillId="2" borderId="3" xfId="1" applyNumberFormat="1" applyFont="1" applyFill="1" applyBorder="1" applyAlignment="1">
      <alignment horizontal="right" vertical="center"/>
    </xf>
    <xf numFmtId="167" fontId="38" fillId="0" borderId="3" xfId="2" applyNumberFormat="1" applyFont="1" applyBorder="1" applyAlignment="1">
      <alignment horizontal="right"/>
    </xf>
    <xf numFmtId="0" fontId="38" fillId="0" borderId="3" xfId="0" applyFont="1" applyBorder="1" applyAlignment="1">
      <alignment horizontal="right"/>
    </xf>
    <xf numFmtId="0" fontId="105" fillId="0" borderId="3" xfId="0" applyFont="1" applyBorder="1"/>
    <xf numFmtId="167" fontId="105" fillId="0" borderId="3" xfId="0" applyNumberFormat="1" applyFont="1" applyBorder="1"/>
    <xf numFmtId="0" fontId="105" fillId="0" borderId="0" xfId="0" applyFont="1"/>
    <xf numFmtId="168" fontId="48" fillId="2" borderId="3" xfId="7" applyNumberFormat="1" applyFont="1" applyFill="1" applyBorder="1" applyAlignment="1">
      <alignment horizontal="right" vertical="top"/>
    </xf>
    <xf numFmtId="0" fontId="38" fillId="0" borderId="3" xfId="0" applyFont="1" applyFill="1" applyBorder="1" applyAlignment="1">
      <alignment horizontal="left" vertical="top" wrapText="1"/>
    </xf>
    <xf numFmtId="0" fontId="39" fillId="0" borderId="3" xfId="0" applyFont="1" applyFill="1" applyBorder="1"/>
    <xf numFmtId="168" fontId="48" fillId="0" borderId="3" xfId="7" applyNumberFormat="1" applyFont="1" applyFill="1" applyBorder="1" applyAlignment="1">
      <alignment horizontal="right" vertical="top"/>
    </xf>
    <xf numFmtId="0" fontId="39" fillId="0" borderId="3" xfId="0" applyFont="1" applyBorder="1"/>
    <xf numFmtId="168" fontId="48" fillId="0" borderId="3" xfId="7" applyNumberFormat="1" applyFont="1" applyBorder="1" applyAlignment="1">
      <alignment horizontal="right" vertical="top"/>
    </xf>
    <xf numFmtId="168" fontId="0" fillId="0" borderId="3" xfId="0" applyNumberFormat="1" applyFill="1" applyBorder="1"/>
    <xf numFmtId="171" fontId="48" fillId="0" borderId="3" xfId="7" applyNumberFormat="1" applyFont="1" applyBorder="1" applyAlignment="1">
      <alignment horizontal="right" vertical="top"/>
    </xf>
    <xf numFmtId="171" fontId="48" fillId="2" borderId="3" xfId="7" applyNumberFormat="1" applyFont="1" applyFill="1" applyBorder="1" applyAlignment="1">
      <alignment horizontal="right" vertical="top"/>
    </xf>
    <xf numFmtId="166" fontId="86" fillId="0" borderId="33" xfId="7" applyNumberFormat="1" applyFont="1" applyBorder="1" applyAlignment="1">
      <alignment horizontal="right" vertical="center" wrapText="1"/>
    </xf>
    <xf numFmtId="166" fontId="86" fillId="0" borderId="71" xfId="7" applyNumberFormat="1" applyFont="1" applyBorder="1" applyAlignment="1">
      <alignment horizontal="right" vertical="center" wrapText="1"/>
    </xf>
    <xf numFmtId="0" fontId="88" fillId="0" borderId="53" xfId="0" applyFont="1" applyBorder="1" applyAlignment="1">
      <alignment horizontal="left" vertical="center" wrapText="1"/>
    </xf>
    <xf numFmtId="0" fontId="78" fillId="0" borderId="3" xfId="0" applyFont="1" applyBorder="1"/>
    <xf numFmtId="0" fontId="78" fillId="0" borderId="3" xfId="0" applyFont="1" applyBorder="1" applyAlignment="1">
      <alignment wrapText="1"/>
    </xf>
    <xf numFmtId="0" fontId="76" fillId="0" borderId="3" xfId="0" applyFont="1" applyBorder="1" applyAlignment="1"/>
    <xf numFmtId="16" fontId="78" fillId="0" borderId="8" xfId="0" applyNumberFormat="1" applyFont="1" applyBorder="1"/>
    <xf numFmtId="172" fontId="76" fillId="0" borderId="22" xfId="11" applyNumberFormat="1" applyFont="1" applyBorder="1" applyAlignment="1">
      <alignment horizontal="center" vertical="center"/>
    </xf>
    <xf numFmtId="172" fontId="76" fillId="0" borderId="21" xfId="11" applyNumberFormat="1" applyFont="1" applyBorder="1" applyAlignment="1">
      <alignment horizontal="center" vertical="center"/>
    </xf>
    <xf numFmtId="0" fontId="78" fillId="0" borderId="12" xfId="0" applyFont="1" applyBorder="1"/>
    <xf numFmtId="172" fontId="76" fillId="0" borderId="23" xfId="11" applyNumberFormat="1" applyFont="1" applyBorder="1" applyAlignment="1">
      <alignment horizontal="center" vertical="center"/>
    </xf>
    <xf numFmtId="16" fontId="52" fillId="0" borderId="8" xfId="0" applyNumberFormat="1" applyFont="1" applyBorder="1"/>
    <xf numFmtId="0" fontId="129" fillId="0" borderId="8" xfId="0" applyFont="1" applyBorder="1" applyAlignment="1">
      <alignment horizontal="center" vertical="center"/>
    </xf>
    <xf numFmtId="0" fontId="129" fillId="0" borderId="22" xfId="0" applyFont="1" applyBorder="1" applyAlignment="1">
      <alignment horizontal="center" vertical="center"/>
    </xf>
    <xf numFmtId="166" fontId="77" fillId="0" borderId="22" xfId="11" applyNumberFormat="1" applyFont="1" applyBorder="1" applyAlignment="1">
      <alignment horizontal="center" vertical="center"/>
    </xf>
    <xf numFmtId="166" fontId="77" fillId="0" borderId="21" xfId="11" applyNumberFormat="1" applyFont="1" applyBorder="1" applyAlignment="1">
      <alignment horizontal="center" vertical="center" wrapText="1"/>
    </xf>
    <xf numFmtId="0" fontId="76" fillId="0" borderId="12" xfId="0" applyFont="1" applyBorder="1" applyAlignment="1"/>
    <xf numFmtId="166" fontId="77" fillId="0" borderId="23" xfId="11" applyNumberFormat="1" applyFont="1" applyBorder="1" applyAlignment="1">
      <alignment horizontal="center" vertical="center" wrapText="1"/>
    </xf>
    <xf numFmtId="165" fontId="76" fillId="0" borderId="3" xfId="11" applyFont="1" applyBorder="1" applyAlignment="1">
      <alignment horizontal="center" vertical="center"/>
    </xf>
    <xf numFmtId="165" fontId="76" fillId="0" borderId="3" xfId="11" applyNumberFormat="1" applyFont="1" applyBorder="1" applyAlignment="1">
      <alignment horizontal="center" vertical="center"/>
    </xf>
    <xf numFmtId="165" fontId="76" fillId="0" borderId="12" xfId="11" applyFont="1" applyBorder="1" applyAlignment="1">
      <alignment horizontal="center" vertical="center"/>
    </xf>
    <xf numFmtId="165" fontId="76" fillId="0" borderId="12" xfId="11" applyNumberFormat="1" applyFont="1" applyBorder="1" applyAlignment="1">
      <alignment horizontal="center" vertical="center"/>
    </xf>
    <xf numFmtId="0" fontId="78" fillId="0" borderId="8" xfId="10" applyFont="1" applyBorder="1" applyAlignment="1">
      <alignment horizontal="center" vertical="center" wrapText="1"/>
    </xf>
    <xf numFmtId="165" fontId="77" fillId="0" borderId="8" xfId="11" applyFont="1" applyBorder="1" applyAlignment="1">
      <alignment horizontal="center" vertical="center" wrapText="1"/>
    </xf>
    <xf numFmtId="165" fontId="77" fillId="0" borderId="8" xfId="11" applyNumberFormat="1" applyFont="1" applyBorder="1" applyAlignment="1">
      <alignment horizontal="center" vertical="center" wrapText="1"/>
    </xf>
    <xf numFmtId="0" fontId="37" fillId="0" borderId="3" xfId="10" applyFont="1" applyBorder="1" applyAlignment="1">
      <alignment horizontal="center" vertical="center" wrapText="1"/>
    </xf>
    <xf numFmtId="0" fontId="77" fillId="0" borderId="3" xfId="10" applyFont="1" applyBorder="1" applyAlignment="1">
      <alignment horizontal="center" vertical="center" wrapText="1"/>
    </xf>
    <xf numFmtId="165" fontId="77" fillId="0" borderId="3" xfId="11" applyFont="1" applyBorder="1" applyAlignment="1">
      <alignment horizontal="center" vertical="center" wrapText="1"/>
    </xf>
    <xf numFmtId="165" fontId="77" fillId="0" borderId="3" xfId="11" applyNumberFormat="1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77" fillId="0" borderId="12" xfId="10" applyFont="1" applyBorder="1" applyAlignment="1">
      <alignment horizontal="center" vertical="center" wrapText="1"/>
    </xf>
    <xf numFmtId="165" fontId="77" fillId="0" borderId="12" xfId="11" applyFont="1" applyBorder="1" applyAlignment="1">
      <alignment horizontal="center" vertical="center" wrapText="1"/>
    </xf>
    <xf numFmtId="165" fontId="77" fillId="0" borderId="12" xfId="11" applyNumberFormat="1" applyFont="1" applyBorder="1" applyAlignment="1">
      <alignment horizontal="center" vertical="center" wrapText="1"/>
    </xf>
    <xf numFmtId="165" fontId="76" fillId="0" borderId="8" xfId="11" applyFont="1" applyBorder="1" applyAlignment="1">
      <alignment horizontal="center" vertical="center"/>
    </xf>
    <xf numFmtId="0" fontId="79" fillId="0" borderId="22" xfId="0" applyFont="1" applyBorder="1" applyAlignment="1">
      <alignment horizontal="center" vertical="center"/>
    </xf>
    <xf numFmtId="0" fontId="79" fillId="0" borderId="21" xfId="0" applyFont="1" applyBorder="1" applyAlignment="1">
      <alignment horizontal="center" vertical="center"/>
    </xf>
    <xf numFmtId="0" fontId="79" fillId="0" borderId="23" xfId="0" applyFont="1" applyBorder="1" applyAlignment="1">
      <alignment horizontal="center" vertical="center"/>
    </xf>
    <xf numFmtId="0" fontId="0" fillId="0" borderId="0" xfId="0" applyFont="1"/>
    <xf numFmtId="167" fontId="4" fillId="2" borderId="3" xfId="0" applyNumberFormat="1" applyFont="1" applyFill="1" applyBorder="1"/>
    <xf numFmtId="0" fontId="55" fillId="0" borderId="3" xfId="0" applyFont="1" applyFill="1" applyBorder="1"/>
    <xf numFmtId="0" fontId="55" fillId="0" borderId="3" xfId="0" applyFont="1" applyFill="1" applyBorder="1" applyAlignment="1">
      <alignment wrapText="1"/>
    </xf>
    <xf numFmtId="167" fontId="55" fillId="0" borderId="3" xfId="2" applyNumberFormat="1" applyFont="1" applyFill="1" applyBorder="1"/>
    <xf numFmtId="168" fontId="55" fillId="0" borderId="3" xfId="2" applyNumberFormat="1" applyFont="1" applyFill="1" applyBorder="1"/>
    <xf numFmtId="168" fontId="56" fillId="0" borderId="3" xfId="0" applyNumberFormat="1" applyFont="1" applyFill="1" applyBorder="1"/>
    <xf numFmtId="167" fontId="4" fillId="0" borderId="3" xfId="0" applyNumberFormat="1" applyFont="1" applyFill="1" applyBorder="1"/>
    <xf numFmtId="168" fontId="4" fillId="0" borderId="3" xfId="0" applyNumberFormat="1" applyFont="1" applyFill="1" applyBorder="1"/>
    <xf numFmtId="3" fontId="64" fillId="0" borderId="3" xfId="0" applyNumberFormat="1" applyFont="1" applyFill="1" applyBorder="1" applyAlignment="1">
      <alignment horizontal="right" vertical="top" wrapText="1"/>
    </xf>
    <xf numFmtId="0" fontId="4" fillId="0" borderId="0" xfId="0" applyFont="1" applyFill="1"/>
    <xf numFmtId="166" fontId="4" fillId="0" borderId="3" xfId="1" applyNumberFormat="1" applyFont="1" applyFill="1" applyBorder="1"/>
    <xf numFmtId="167" fontId="5" fillId="0" borderId="3" xfId="2" applyNumberFormat="1" applyFont="1" applyFill="1" applyBorder="1" applyAlignment="1">
      <alignment wrapText="1"/>
    </xf>
    <xf numFmtId="168" fontId="130" fillId="0" borderId="3" xfId="0" applyNumberFormat="1" applyFont="1" applyFill="1" applyBorder="1"/>
    <xf numFmtId="0" fontId="0" fillId="0" borderId="3" xfId="0" applyFont="1" applyBorder="1"/>
    <xf numFmtId="168" fontId="123" fillId="0" borderId="3" xfId="0" applyNumberFormat="1" applyFont="1" applyFill="1" applyBorder="1"/>
    <xf numFmtId="170" fontId="0" fillId="0" borderId="0" xfId="13" applyNumberFormat="1" applyFont="1"/>
    <xf numFmtId="0" fontId="49" fillId="2" borderId="3" xfId="0" applyFont="1" applyFill="1" applyBorder="1" applyAlignment="1">
      <alignment wrapText="1"/>
    </xf>
    <xf numFmtId="0" fontId="49" fillId="2" borderId="3" xfId="0" applyFont="1" applyFill="1" applyBorder="1" applyAlignment="1">
      <alignment horizontal="left" vertical="center" wrapText="1"/>
    </xf>
    <xf numFmtId="0" fontId="4" fillId="14" borderId="3" xfId="0" applyFont="1" applyFill="1" applyBorder="1" applyAlignment="1">
      <alignment wrapText="1"/>
    </xf>
    <xf numFmtId="3" fontId="49" fillId="0" borderId="3" xfId="7" applyNumberFormat="1" applyFont="1" applyFill="1" applyBorder="1" applyAlignment="1">
      <alignment horizontal="right" vertical="center"/>
    </xf>
    <xf numFmtId="3" fontId="48" fillId="2" borderId="3" xfId="7" applyNumberFormat="1" applyFont="1" applyFill="1" applyBorder="1" applyAlignment="1">
      <alignment horizontal="right" vertical="center"/>
    </xf>
    <xf numFmtId="3" fontId="48" fillId="2" borderId="3" xfId="7" applyNumberFormat="1" applyFont="1" applyFill="1" applyBorder="1" applyAlignment="1">
      <alignment horizontal="right" vertical="top"/>
    </xf>
    <xf numFmtId="171" fontId="48" fillId="0" borderId="3" xfId="7" applyNumberFormat="1" applyFont="1" applyFill="1" applyBorder="1" applyAlignment="1">
      <alignment horizontal="right" vertical="top"/>
    </xf>
    <xf numFmtId="171" fontId="49" fillId="0" borderId="3" xfId="7" applyNumberFormat="1" applyFont="1" applyFill="1" applyBorder="1" applyAlignment="1">
      <alignment horizontal="right" vertical="top"/>
    </xf>
    <xf numFmtId="0" fontId="4" fillId="4" borderId="0" xfId="0" applyFont="1" applyFill="1"/>
    <xf numFmtId="10" fontId="4" fillId="2" borderId="3" xfId="13" applyNumberFormat="1" applyFont="1" applyFill="1" applyBorder="1"/>
    <xf numFmtId="166" fontId="6" fillId="2" borderId="3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0" fontId="88" fillId="15" borderId="3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wrapText="1"/>
    </xf>
    <xf numFmtId="0" fontId="63" fillId="0" borderId="15" xfId="0" applyFont="1" applyBorder="1" applyAlignment="1">
      <alignment horizontal="left" wrapText="1"/>
    </xf>
    <xf numFmtId="0" fontId="93" fillId="0" borderId="0" xfId="0" applyFont="1"/>
    <xf numFmtId="0" fontId="39" fillId="0" borderId="3" xfId="0" applyFont="1" applyBorder="1" applyAlignment="1">
      <alignment vertical="center" wrapText="1"/>
    </xf>
    <xf numFmtId="0" fontId="91" fillId="0" borderId="0" xfId="0" applyFont="1"/>
    <xf numFmtId="166" fontId="88" fillId="0" borderId="3" xfId="7" applyNumberFormat="1" applyFont="1" applyBorder="1" applyAlignment="1" applyProtection="1">
      <alignment horizontal="right" vertical="center" wrapText="1"/>
      <protection locked="0"/>
    </xf>
    <xf numFmtId="0" fontId="87" fillId="0" borderId="27" xfId="0" applyFont="1" applyBorder="1" applyAlignment="1">
      <alignment horizontal="center" wrapText="1"/>
    </xf>
    <xf numFmtId="166" fontId="86" fillId="0" borderId="21" xfId="7" applyNumberFormat="1" applyFont="1" applyBorder="1" applyAlignment="1" applyProtection="1">
      <alignment horizontal="right" vertical="center" wrapText="1"/>
      <protection locked="0"/>
    </xf>
    <xf numFmtId="166" fontId="86" fillId="0" borderId="33" xfId="7" applyNumberFormat="1" applyFont="1" applyBorder="1" applyAlignment="1" applyProtection="1">
      <alignment horizontal="right" vertical="center" wrapText="1"/>
      <protection locked="0"/>
    </xf>
    <xf numFmtId="0" fontId="87" fillId="0" borderId="11" xfId="0" applyFont="1" applyBorder="1" applyAlignment="1">
      <alignment horizontal="left" vertical="center" wrapText="1"/>
    </xf>
    <xf numFmtId="49" fontId="87" fillId="0" borderId="12" xfId="0" applyNumberFormat="1" applyFont="1" applyBorder="1" applyAlignment="1">
      <alignment horizontal="center" wrapText="1"/>
    </xf>
    <xf numFmtId="166" fontId="86" fillId="0" borderId="12" xfId="7" applyNumberFormat="1" applyFont="1" applyBorder="1" applyAlignment="1" applyProtection="1">
      <alignment horizontal="right" vertical="center" wrapText="1"/>
      <protection locked="0"/>
    </xf>
    <xf numFmtId="166" fontId="86" fillId="0" borderId="23" xfId="7" applyNumberFormat="1" applyFont="1" applyBorder="1" applyAlignment="1" applyProtection="1">
      <alignment horizontal="right" vertical="center" wrapText="1"/>
      <protection locked="0"/>
    </xf>
    <xf numFmtId="167" fontId="121" fillId="2" borderId="3" xfId="2" applyNumberFormat="1" applyFont="1" applyFill="1" applyBorder="1"/>
    <xf numFmtId="0" fontId="121" fillId="0" borderId="0" xfId="0" applyFont="1"/>
    <xf numFmtId="0" fontId="65" fillId="0" borderId="0" xfId="0" applyFont="1"/>
    <xf numFmtId="3" fontId="93" fillId="0" borderId="0" xfId="0" applyNumberFormat="1" applyFont="1" applyFill="1"/>
    <xf numFmtId="3" fontId="38" fillId="0" borderId="3" xfId="4" applyNumberFormat="1" applyFont="1" applyFill="1" applyBorder="1" applyAlignment="1">
      <alignment horizontal="right" wrapText="1"/>
    </xf>
    <xf numFmtId="0" fontId="93" fillId="0" borderId="3" xfId="0" applyFont="1" applyBorder="1"/>
    <xf numFmtId="3" fontId="93" fillId="0" borderId="3" xfId="0" applyNumberFormat="1" applyFont="1" applyBorder="1"/>
    <xf numFmtId="10" fontId="93" fillId="0" borderId="0" xfId="13" applyNumberFormat="1" applyFont="1"/>
    <xf numFmtId="3" fontId="40" fillId="0" borderId="3" xfId="4" applyNumberFormat="1" applyFont="1" applyFill="1" applyBorder="1" applyAlignment="1">
      <alignment horizontal="right" wrapText="1"/>
    </xf>
    <xf numFmtId="164" fontId="40" fillId="2" borderId="3" xfId="2" applyNumberFormat="1" applyFont="1" applyFill="1" applyBorder="1" applyAlignment="1">
      <alignment horizontal="right" wrapText="1"/>
    </xf>
    <xf numFmtId="164" fontId="0" fillId="0" borderId="3" xfId="0" applyNumberFormat="1" applyFont="1" applyBorder="1"/>
    <xf numFmtId="166" fontId="3" fillId="0" borderId="3" xfId="1" applyNumberFormat="1" applyFont="1" applyBorder="1"/>
    <xf numFmtId="0" fontId="4" fillId="15" borderId="22" xfId="0" applyFont="1" applyFill="1" applyBorder="1"/>
    <xf numFmtId="167" fontId="4" fillId="0" borderId="21" xfId="4" applyNumberFormat="1" applyFont="1" applyBorder="1"/>
    <xf numFmtId="166" fontId="40" fillId="2" borderId="3" xfId="1" applyNumberFormat="1" applyFont="1" applyFill="1" applyBorder="1" applyAlignment="1">
      <alignment horizontal="right" wrapText="1"/>
    </xf>
    <xf numFmtId="168" fontId="49" fillId="0" borderId="3" xfId="7" applyNumberFormat="1" applyFont="1" applyFill="1" applyBorder="1" applyAlignment="1">
      <alignment horizontal="right" vertical="center"/>
    </xf>
    <xf numFmtId="0" fontId="121" fillId="0" borderId="3" xfId="0" applyFont="1" applyFill="1" applyBorder="1"/>
    <xf numFmtId="0" fontId="121" fillId="0" borderId="3" xfId="0" applyFont="1" applyBorder="1"/>
    <xf numFmtId="167" fontId="121" fillId="0" borderId="3" xfId="2" applyNumberFormat="1" applyFont="1" applyBorder="1"/>
    <xf numFmtId="168" fontId="49" fillId="0" borderId="3" xfId="7" applyNumberFormat="1" applyFont="1" applyFill="1" applyBorder="1" applyAlignment="1">
      <alignment horizontal="right" vertical="top"/>
    </xf>
    <xf numFmtId="0" fontId="89" fillId="0" borderId="3" xfId="0" applyFont="1" applyBorder="1"/>
    <xf numFmtId="0" fontId="105" fillId="0" borderId="3" xfId="0" applyFont="1" applyBorder="1" applyAlignment="1">
      <alignment horizontal="center" vertical="center" wrapText="1"/>
    </xf>
    <xf numFmtId="167" fontId="93" fillId="0" borderId="3" xfId="2" applyNumberFormat="1" applyFont="1" applyBorder="1"/>
    <xf numFmtId="167" fontId="62" fillId="0" borderId="3" xfId="2" applyNumberFormat="1" applyFont="1" applyFill="1" applyBorder="1"/>
    <xf numFmtId="167" fontId="64" fillId="0" borderId="3" xfId="2" applyNumberFormat="1" applyFont="1" applyFill="1" applyBorder="1"/>
    <xf numFmtId="3" fontId="93" fillId="2" borderId="3" xfId="13" applyNumberFormat="1" applyFont="1" applyFill="1" applyBorder="1"/>
    <xf numFmtId="3" fontId="105" fillId="2" borderId="3" xfId="13" applyNumberFormat="1" applyFont="1" applyFill="1" applyBorder="1"/>
    <xf numFmtId="167" fontId="118" fillId="2" borderId="12" xfId="2" applyNumberFormat="1" applyFont="1" applyFill="1" applyBorder="1"/>
    <xf numFmtId="167" fontId="64" fillId="2" borderId="3" xfId="2" applyNumberFormat="1" applyFont="1" applyFill="1" applyBorder="1"/>
    <xf numFmtId="167" fontId="62" fillId="2" borderId="3" xfId="2" applyNumberFormat="1" applyFont="1" applyFill="1" applyBorder="1"/>
    <xf numFmtId="167" fontId="64" fillId="2" borderId="3" xfId="2" applyNumberFormat="1" applyFont="1" applyFill="1" applyBorder="1" applyAlignment="1">
      <alignment wrapText="1"/>
    </xf>
    <xf numFmtId="167" fontId="134" fillId="2" borderId="3" xfId="2" applyNumberFormat="1" applyFont="1" applyFill="1" applyBorder="1"/>
    <xf numFmtId="0" fontId="41" fillId="2" borderId="2" xfId="0" applyFont="1" applyFill="1" applyBorder="1" applyAlignment="1">
      <alignment wrapText="1"/>
    </xf>
    <xf numFmtId="0" fontId="41" fillId="2" borderId="5" xfId="0" applyFont="1" applyFill="1" applyBorder="1" applyAlignment="1">
      <alignment wrapText="1"/>
    </xf>
    <xf numFmtId="0" fontId="40" fillId="2" borderId="2" xfId="0" applyFont="1" applyFill="1" applyBorder="1" applyAlignment="1">
      <alignment horizontal="left" vertical="top" wrapText="1"/>
    </xf>
    <xf numFmtId="0" fontId="40" fillId="2" borderId="2" xfId="0" applyFont="1" applyFill="1" applyBorder="1" applyAlignment="1">
      <alignment horizontal="right" vertical="top" wrapText="1"/>
    </xf>
    <xf numFmtId="0" fontId="38" fillId="2" borderId="2" xfId="0" applyFont="1" applyFill="1" applyBorder="1" applyAlignment="1">
      <alignment horizontal="left" vertical="top" wrapText="1"/>
    </xf>
    <xf numFmtId="0" fontId="124" fillId="2" borderId="2" xfId="0" applyFont="1" applyFill="1" applyBorder="1" applyAlignment="1">
      <alignment horizontal="left" vertical="top" wrapText="1"/>
    </xf>
    <xf numFmtId="170" fontId="135" fillId="2" borderId="3" xfId="4" applyNumberFormat="1" applyFont="1" applyFill="1" applyBorder="1"/>
    <xf numFmtId="170" fontId="93" fillId="0" borderId="3" xfId="0" applyNumberFormat="1" applyFont="1" applyBorder="1"/>
    <xf numFmtId="166" fontId="3" fillId="26" borderId="3" xfId="1" applyNumberFormat="1" applyFont="1" applyFill="1" applyBorder="1"/>
    <xf numFmtId="166" fontId="0" fillId="26" borderId="3" xfId="1" applyNumberFormat="1" applyFont="1" applyFill="1" applyBorder="1"/>
    <xf numFmtId="168" fontId="127" fillId="0" borderId="3" xfId="2" applyNumberFormat="1" applyFont="1" applyFill="1" applyBorder="1"/>
    <xf numFmtId="167" fontId="127" fillId="0" borderId="3" xfId="2" applyNumberFormat="1" applyFont="1" applyFill="1" applyBorder="1"/>
    <xf numFmtId="167" fontId="104" fillId="0" borderId="3" xfId="2" applyNumberFormat="1" applyFont="1" applyFill="1" applyBorder="1" applyAlignment="1">
      <alignment wrapText="1"/>
    </xf>
    <xf numFmtId="0" fontId="136" fillId="0" borderId="0" xfId="0" applyFont="1" applyFill="1" applyAlignment="1">
      <alignment wrapText="1"/>
    </xf>
    <xf numFmtId="168" fontId="111" fillId="0" borderId="3" xfId="2" applyNumberFormat="1" applyFont="1" applyFill="1" applyBorder="1"/>
    <xf numFmtId="168" fontId="111" fillId="0" borderId="3" xfId="0" applyNumberFormat="1" applyFont="1" applyFill="1" applyBorder="1"/>
    <xf numFmtId="167" fontId="137" fillId="0" borderId="3" xfId="2" applyNumberFormat="1" applyFont="1" applyFill="1" applyBorder="1"/>
    <xf numFmtId="167" fontId="111" fillId="0" borderId="3" xfId="2" applyNumberFormat="1" applyFont="1" applyFill="1" applyBorder="1"/>
    <xf numFmtId="167" fontId="138" fillId="0" borderId="3" xfId="2" applyNumberFormat="1" applyFont="1" applyFill="1" applyBorder="1"/>
    <xf numFmtId="168" fontId="137" fillId="0" borderId="3" xfId="2" applyNumberFormat="1" applyFont="1" applyFill="1" applyBorder="1"/>
    <xf numFmtId="168" fontId="138" fillId="0" borderId="3" xfId="2" applyNumberFormat="1" applyFont="1" applyFill="1" applyBorder="1"/>
    <xf numFmtId="0" fontId="118" fillId="0" borderId="3" xfId="0" applyFont="1" applyFill="1" applyBorder="1" applyAlignment="1">
      <alignment horizontal="center"/>
    </xf>
    <xf numFmtId="168" fontId="93" fillId="0" borderId="3" xfId="0" applyNumberFormat="1" applyFont="1" applyFill="1" applyBorder="1"/>
    <xf numFmtId="167" fontId="134" fillId="0" borderId="3" xfId="2" applyNumberFormat="1" applyFont="1" applyFill="1" applyBorder="1"/>
    <xf numFmtId="167" fontId="93" fillId="0" borderId="3" xfId="2" applyNumberFormat="1" applyFont="1" applyFill="1" applyBorder="1"/>
    <xf numFmtId="167" fontId="139" fillId="0" borderId="3" xfId="2" applyNumberFormat="1" applyFont="1" applyFill="1" applyBorder="1"/>
    <xf numFmtId="0" fontId="93" fillId="0" borderId="0" xfId="0" applyFont="1" applyFill="1"/>
    <xf numFmtId="0" fontId="57" fillId="0" borderId="3" xfId="0" applyFont="1" applyFill="1" applyBorder="1"/>
    <xf numFmtId="0" fontId="57" fillId="0" borderId="3" xfId="0" applyFont="1" applyFill="1" applyBorder="1" applyAlignment="1">
      <alignment wrapText="1"/>
    </xf>
    <xf numFmtId="167" fontId="57" fillId="0" borderId="3" xfId="2" applyNumberFormat="1" applyFont="1" applyFill="1" applyBorder="1"/>
    <xf numFmtId="168" fontId="57" fillId="0" borderId="3" xfId="2" applyNumberFormat="1" applyFont="1" applyFill="1" applyBorder="1"/>
    <xf numFmtId="0" fontId="0" fillId="0" borderId="3" xfId="0" applyFont="1" applyFill="1" applyBorder="1"/>
    <xf numFmtId="168" fontId="57" fillId="0" borderId="3" xfId="0" applyNumberFormat="1" applyFont="1" applyFill="1" applyBorder="1"/>
    <xf numFmtId="0" fontId="7" fillId="0" borderId="3" xfId="15" applyFont="1" applyFill="1" applyBorder="1"/>
    <xf numFmtId="166" fontId="3" fillId="0" borderId="3" xfId="1" applyNumberFormat="1" applyFont="1" applyFill="1" applyBorder="1"/>
    <xf numFmtId="167" fontId="0" fillId="0" borderId="3" xfId="0" applyNumberFormat="1" applyFont="1" applyFill="1" applyBorder="1"/>
    <xf numFmtId="168" fontId="0" fillId="0" borderId="3" xfId="0" applyNumberFormat="1" applyFont="1" applyFill="1" applyBorder="1"/>
    <xf numFmtId="3" fontId="62" fillId="0" borderId="3" xfId="0" applyNumberFormat="1" applyFont="1" applyFill="1" applyBorder="1" applyAlignment="1">
      <alignment horizontal="right" vertical="top" wrapText="1"/>
    </xf>
    <xf numFmtId="167" fontId="110" fillId="0" borderId="3" xfId="2" applyNumberFormat="1" applyFont="1" applyFill="1" applyBorder="1"/>
    <xf numFmtId="0" fontId="59" fillId="0" borderId="3" xfId="0" applyFont="1" applyFill="1" applyBorder="1"/>
    <xf numFmtId="0" fontId="59" fillId="0" borderId="3" xfId="0" applyFont="1" applyFill="1" applyBorder="1" applyAlignment="1">
      <alignment wrapText="1"/>
    </xf>
    <xf numFmtId="168" fontId="59" fillId="0" borderId="3" xfId="2" applyNumberFormat="1" applyFont="1" applyFill="1" applyBorder="1"/>
    <xf numFmtId="0" fontId="7" fillId="0" borderId="3" xfId="15" applyFill="1" applyBorder="1"/>
    <xf numFmtId="166" fontId="0" fillId="0" borderId="3" xfId="1" applyNumberFormat="1" applyFont="1" applyFill="1" applyBorder="1"/>
    <xf numFmtId="167" fontId="0" fillId="0" borderId="3" xfId="0" applyNumberFormat="1" applyFill="1" applyBorder="1"/>
    <xf numFmtId="167" fontId="59" fillId="0" borderId="3" xfId="2" applyNumberFormat="1" applyFont="1" applyFill="1" applyBorder="1"/>
    <xf numFmtId="0" fontId="59" fillId="0" borderId="3" xfId="0" applyFont="1" applyFill="1" applyBorder="1" applyAlignment="1">
      <alignment horizontal="right" wrapText="1"/>
    </xf>
    <xf numFmtId="167" fontId="57" fillId="0" borderId="3" xfId="2" applyNumberFormat="1" applyFont="1" applyFill="1" applyBorder="1" applyAlignment="1"/>
    <xf numFmtId="0" fontId="56" fillId="0" borderId="3" xfId="0" applyFont="1" applyFill="1" applyBorder="1"/>
    <xf numFmtId="0" fontId="56" fillId="0" borderId="3" xfId="0" applyFont="1" applyFill="1" applyBorder="1" applyAlignment="1">
      <alignment wrapText="1"/>
    </xf>
    <xf numFmtId="167" fontId="56" fillId="0" borderId="3" xfId="2" applyNumberFormat="1" applyFont="1" applyFill="1" applyBorder="1"/>
    <xf numFmtId="0" fontId="57" fillId="0" borderId="3" xfId="0" applyFont="1" applyFill="1" applyBorder="1" applyAlignment="1">
      <alignment horizontal="right" wrapText="1"/>
    </xf>
    <xf numFmtId="167" fontId="57" fillId="0" borderId="3" xfId="2" applyNumberFormat="1" applyFont="1" applyFill="1" applyBorder="1" applyAlignment="1">
      <alignment wrapText="1"/>
    </xf>
    <xf numFmtId="0" fontId="123" fillId="0" borderId="3" xfId="0" applyFont="1" applyFill="1" applyBorder="1"/>
    <xf numFmtId="167" fontId="123" fillId="0" borderId="3" xfId="2" applyNumberFormat="1" applyFont="1" applyFill="1" applyBorder="1"/>
    <xf numFmtId="3" fontId="132" fillId="0" borderId="3" xfId="0" applyNumberFormat="1" applyFont="1" applyFill="1" applyBorder="1" applyAlignment="1">
      <alignment horizontal="right" vertical="top" wrapText="1"/>
    </xf>
    <xf numFmtId="0" fontId="57" fillId="0" borderId="3" xfId="0" applyFont="1" applyFill="1" applyBorder="1" applyAlignment="1"/>
    <xf numFmtId="167" fontId="61" fillId="0" borderId="3" xfId="2" applyNumberFormat="1" applyFont="1" applyFill="1" applyBorder="1"/>
    <xf numFmtId="168" fontId="61" fillId="0" borderId="3" xfId="2" applyNumberFormat="1" applyFont="1" applyFill="1" applyBorder="1"/>
    <xf numFmtId="0" fontId="58" fillId="0" borderId="3" xfId="0" applyFont="1" applyFill="1" applyBorder="1"/>
    <xf numFmtId="0" fontId="58" fillId="0" borderId="3" xfId="0" applyFont="1" applyFill="1" applyBorder="1" applyAlignment="1">
      <alignment wrapText="1"/>
    </xf>
    <xf numFmtId="167" fontId="58" fillId="0" borderId="3" xfId="2" applyNumberFormat="1" applyFont="1" applyFill="1" applyBorder="1"/>
    <xf numFmtId="168" fontId="58" fillId="0" borderId="3" xfId="2" applyNumberFormat="1" applyFont="1" applyFill="1" applyBorder="1"/>
    <xf numFmtId="168" fontId="123" fillId="0" borderId="3" xfId="2" applyNumberFormat="1" applyFont="1" applyFill="1" applyBorder="1"/>
    <xf numFmtId="0" fontId="7" fillId="0" borderId="3" xfId="0" applyFont="1" applyFill="1" applyBorder="1" applyAlignment="1">
      <alignment horizontal="left" wrapText="1"/>
    </xf>
    <xf numFmtId="168" fontId="101" fillId="0" borderId="3" xfId="0" applyNumberFormat="1" applyFont="1" applyFill="1" applyBorder="1" applyAlignment="1">
      <alignment horizontal="center"/>
    </xf>
    <xf numFmtId="0" fontId="0" fillId="0" borderId="3" xfId="0" applyFill="1" applyBorder="1" applyAlignment="1">
      <alignment wrapText="1"/>
    </xf>
    <xf numFmtId="0" fontId="7" fillId="0" borderId="3" xfId="0" applyFont="1" applyFill="1" applyBorder="1"/>
    <xf numFmtId="167" fontId="7" fillId="0" borderId="3" xfId="2" applyNumberFormat="1" applyFont="1" applyFill="1" applyBorder="1"/>
    <xf numFmtId="168" fontId="3" fillId="0" borderId="3" xfId="2" applyNumberFormat="1" applyFont="1" applyFill="1" applyBorder="1"/>
    <xf numFmtId="0" fontId="7" fillId="0" borderId="3" xfId="0" applyFont="1" applyFill="1" applyBorder="1" applyAlignment="1">
      <alignment wrapText="1"/>
    </xf>
    <xf numFmtId="167" fontId="3" fillId="0" borderId="3" xfId="2" applyNumberFormat="1" applyFont="1" applyFill="1" applyBorder="1"/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/>
    <xf numFmtId="167" fontId="9" fillId="0" borderId="3" xfId="2" applyNumberFormat="1" applyFont="1" applyFill="1" applyBorder="1"/>
    <xf numFmtId="167" fontId="121" fillId="0" borderId="3" xfId="2" applyNumberFormat="1" applyFont="1" applyFill="1" applyBorder="1"/>
    <xf numFmtId="167" fontId="121" fillId="0" borderId="3" xfId="0" applyNumberFormat="1" applyFont="1" applyFill="1" applyBorder="1"/>
    <xf numFmtId="168" fontId="121" fillId="0" borderId="3" xfId="0" applyNumberFormat="1" applyFont="1" applyFill="1" applyBorder="1"/>
    <xf numFmtId="0" fontId="7" fillId="0" borderId="3" xfId="0" applyFont="1" applyFill="1" applyBorder="1" applyAlignment="1">
      <alignment horizontal="right" wrapText="1"/>
    </xf>
    <xf numFmtId="167" fontId="65" fillId="0" borderId="3" xfId="2" applyNumberFormat="1" applyFont="1" applyFill="1" applyBorder="1"/>
    <xf numFmtId="168" fontId="65" fillId="0" borderId="3" xfId="2" applyNumberFormat="1" applyFont="1" applyFill="1" applyBorder="1"/>
    <xf numFmtId="0" fontId="65" fillId="0" borderId="3" xfId="0" applyFont="1" applyFill="1" applyBorder="1"/>
    <xf numFmtId="167" fontId="139" fillId="2" borderId="3" xfId="2" applyNumberFormat="1" applyFont="1" applyFill="1" applyBorder="1"/>
    <xf numFmtId="167" fontId="140" fillId="2" borderId="3" xfId="0" applyNumberFormat="1" applyFont="1" applyFill="1" applyBorder="1"/>
    <xf numFmtId="168" fontId="137" fillId="0" borderId="3" xfId="0" applyNumberFormat="1" applyFont="1" applyFill="1" applyBorder="1"/>
    <xf numFmtId="0" fontId="139" fillId="0" borderId="0" xfId="0" applyFont="1"/>
    <xf numFmtId="168" fontId="93" fillId="0" borderId="0" xfId="0" applyNumberFormat="1" applyFont="1"/>
    <xf numFmtId="168" fontId="93" fillId="0" borderId="3" xfId="0" applyNumberFormat="1" applyFont="1" applyBorder="1"/>
    <xf numFmtId="174" fontId="0" fillId="0" borderId="0" xfId="0" applyNumberFormat="1" applyFill="1"/>
    <xf numFmtId="171" fontId="49" fillId="0" borderId="3" xfId="7" applyNumberFormat="1" applyFont="1" applyFill="1" applyBorder="1" applyAlignment="1">
      <alignment horizontal="right" vertical="center"/>
    </xf>
    <xf numFmtId="171" fontId="49" fillId="0" borderId="3" xfId="7" applyNumberFormat="1" applyFont="1" applyBorder="1" applyAlignment="1">
      <alignment horizontal="right" vertical="center"/>
    </xf>
    <xf numFmtId="166" fontId="37" fillId="8" borderId="3" xfId="7" applyNumberFormat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121" fillId="2" borderId="3" xfId="0" applyFont="1" applyFill="1" applyBorder="1" applyAlignment="1">
      <alignment horizontal="center"/>
    </xf>
    <xf numFmtId="0" fontId="27" fillId="2" borderId="3" xfId="3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0" fillId="0" borderId="3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39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8" fontId="4" fillId="8" borderId="3" xfId="2" applyNumberFormat="1" applyFont="1" applyFill="1" applyBorder="1" applyAlignment="1">
      <alignment horizontal="center" vertical="center" wrapText="1"/>
    </xf>
    <xf numFmtId="0" fontId="63" fillId="0" borderId="15" xfId="0" applyFont="1" applyBorder="1" applyAlignment="1">
      <alignment horizontal="left" wrapText="1"/>
    </xf>
    <xf numFmtId="0" fontId="0" fillId="0" borderId="16" xfId="0" applyBorder="1" applyAlignment="1">
      <alignment horizontal="center" vertical="center"/>
    </xf>
    <xf numFmtId="3" fontId="141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center" vertical="center" wrapText="1"/>
    </xf>
    <xf numFmtId="166" fontId="0" fillId="0" borderId="3" xfId="0" applyNumberFormat="1" applyBorder="1"/>
    <xf numFmtId="0" fontId="0" fillId="0" borderId="3" xfId="0" applyBorder="1"/>
    <xf numFmtId="0" fontId="62" fillId="0" borderId="3" xfId="0" applyFont="1" applyBorder="1" applyAlignment="1">
      <alignment horizontal="center" vertical="top" wrapText="1"/>
    </xf>
    <xf numFmtId="0" fontId="62" fillId="0" borderId="3" xfId="0" applyFont="1" applyBorder="1" applyAlignment="1">
      <alignment horizontal="left" vertical="top" wrapText="1"/>
    </xf>
    <xf numFmtId="0" fontId="0" fillId="2" borderId="3" xfId="0" applyFill="1" applyBorder="1"/>
    <xf numFmtId="0" fontId="26" fillId="2" borderId="3" xfId="0" applyFont="1" applyFill="1" applyBorder="1" applyAlignment="1">
      <alignment horizontal="center" vertical="top" wrapText="1"/>
    </xf>
    <xf numFmtId="0" fontId="64" fillId="0" borderId="3" xfId="0" applyFont="1" applyBorder="1" applyAlignment="1">
      <alignment horizontal="center" vertical="top" wrapText="1"/>
    </xf>
    <xf numFmtId="0" fontId="64" fillId="0" borderId="3" xfId="0" applyFont="1" applyBorder="1" applyAlignment="1">
      <alignment horizontal="left" vertical="top" wrapText="1"/>
    </xf>
    <xf numFmtId="0" fontId="62" fillId="2" borderId="3" xfId="0" applyFont="1" applyFill="1" applyBorder="1" applyAlignment="1">
      <alignment horizontal="center" vertical="top" wrapText="1"/>
    </xf>
    <xf numFmtId="0" fontId="62" fillId="2" borderId="3" xfId="0" applyFont="1" applyFill="1" applyBorder="1" applyAlignment="1">
      <alignment horizontal="left" vertical="top" wrapText="1"/>
    </xf>
    <xf numFmtId="3" fontId="62" fillId="2" borderId="3" xfId="0" applyNumberFormat="1" applyFont="1" applyFill="1" applyBorder="1" applyAlignment="1">
      <alignment horizontal="right" vertical="top" wrapText="1"/>
    </xf>
    <xf numFmtId="0" fontId="64" fillId="2" borderId="3" xfId="0" applyFont="1" applyFill="1" applyBorder="1" applyAlignment="1">
      <alignment horizontal="center" vertical="top" wrapText="1"/>
    </xf>
    <xf numFmtId="0" fontId="64" fillId="2" borderId="3" xfId="0" applyFont="1" applyFill="1" applyBorder="1" applyAlignment="1">
      <alignment horizontal="left" vertical="top" wrapText="1"/>
    </xf>
    <xf numFmtId="3" fontId="64" fillId="2" borderId="3" xfId="0" applyNumberFormat="1" applyFont="1" applyFill="1" applyBorder="1" applyAlignment="1">
      <alignment horizontal="right" vertical="top" wrapText="1"/>
    </xf>
    <xf numFmtId="0" fontId="4" fillId="8" borderId="3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167" fontId="4" fillId="2" borderId="3" xfId="0" applyNumberFormat="1" applyFont="1" applyFill="1" applyBorder="1" applyAlignment="1">
      <alignment vertical="center" wrapText="1"/>
    </xf>
    <xf numFmtId="38" fontId="92" fillId="2" borderId="3" xfId="1" applyNumberFormat="1" applyFont="1" applyFill="1" applyBorder="1" applyAlignment="1">
      <alignment vertical="center"/>
    </xf>
    <xf numFmtId="175" fontId="0" fillId="0" borderId="3" xfId="13" applyNumberFormat="1" applyFont="1" applyBorder="1"/>
    <xf numFmtId="38" fontId="92" fillId="2" borderId="4" xfId="1" applyNumberFormat="1" applyFont="1" applyFill="1" applyBorder="1" applyAlignment="1">
      <alignment vertical="center"/>
    </xf>
    <xf numFmtId="0" fontId="0" fillId="0" borderId="4" xfId="0" applyBorder="1"/>
    <xf numFmtId="167" fontId="0" fillId="0" borderId="4" xfId="2" applyNumberFormat="1" applyFont="1" applyBorder="1"/>
    <xf numFmtId="175" fontId="0" fillId="0" borderId="4" xfId="13" applyNumberFormat="1" applyFont="1" applyBorder="1"/>
    <xf numFmtId="3" fontId="62" fillId="0" borderId="4" xfId="0" applyNumberFormat="1" applyFont="1" applyBorder="1" applyAlignment="1">
      <alignment horizontal="right" vertical="top" wrapText="1"/>
    </xf>
    <xf numFmtId="0" fontId="4" fillId="0" borderId="57" xfId="0" applyFont="1" applyBorder="1"/>
    <xf numFmtId="167" fontId="4" fillId="0" borderId="57" xfId="2" applyNumberFormat="1" applyFont="1" applyBorder="1"/>
    <xf numFmtId="168" fontId="4" fillId="0" borderId="57" xfId="13" applyNumberFormat="1" applyFont="1" applyBorder="1"/>
    <xf numFmtId="168" fontId="4" fillId="0" borderId="75" xfId="13" applyNumberFormat="1" applyFont="1" applyBorder="1"/>
    <xf numFmtId="168" fontId="0" fillId="0" borderId="35" xfId="0" applyNumberFormat="1" applyBorder="1"/>
    <xf numFmtId="168" fontId="93" fillId="0" borderId="35" xfId="0" applyNumberFormat="1" applyFont="1" applyBorder="1"/>
    <xf numFmtId="168" fontId="4" fillId="0" borderId="35" xfId="0" applyNumberFormat="1" applyFont="1" applyBorder="1"/>
    <xf numFmtId="0" fontId="0" fillId="0" borderId="8" xfId="0" applyBorder="1" applyAlignment="1">
      <alignment horizontal="left" vertical="center"/>
    </xf>
    <xf numFmtId="168" fontId="0" fillId="0" borderId="40" xfId="0" applyNumberFormat="1" applyBorder="1"/>
    <xf numFmtId="168" fontId="93" fillId="0" borderId="40" xfId="0" applyNumberFormat="1" applyFont="1" applyBorder="1"/>
    <xf numFmtId="168" fontId="4" fillId="0" borderId="40" xfId="0" applyNumberFormat="1" applyFont="1" applyBorder="1"/>
    <xf numFmtId="168" fontId="0" fillId="0" borderId="78" xfId="0" applyNumberFormat="1" applyBorder="1"/>
    <xf numFmtId="168" fontId="0" fillId="0" borderId="12" xfId="0" applyNumberFormat="1" applyBorder="1"/>
    <xf numFmtId="168" fontId="93" fillId="0" borderId="12" xfId="0" applyNumberFormat="1" applyFont="1" applyBorder="1"/>
    <xf numFmtId="168" fontId="0" fillId="0" borderId="23" xfId="0" applyNumberFormat="1" applyBorder="1"/>
    <xf numFmtId="168" fontId="0" fillId="2" borderId="40" xfId="0" applyNumberFormat="1" applyFill="1" applyBorder="1"/>
    <xf numFmtId="168" fontId="0" fillId="2" borderId="12" xfId="0" applyNumberFormat="1" applyFill="1" applyBorder="1"/>
    <xf numFmtId="168" fontId="93" fillId="0" borderId="76" xfId="0" applyNumberFormat="1" applyFont="1" applyBorder="1"/>
    <xf numFmtId="0" fontId="4" fillId="17" borderId="3" xfId="0" applyFont="1" applyFill="1" applyBorder="1" applyAlignment="1">
      <alignment vertical="center" wrapText="1"/>
    </xf>
    <xf numFmtId="170" fontId="38" fillId="2" borderId="16" xfId="4" applyNumberFormat="1" applyFont="1" applyFill="1" applyBorder="1" applyAlignment="1">
      <alignment horizontal="right" wrapText="1"/>
    </xf>
    <xf numFmtId="170" fontId="0" fillId="0" borderId="16" xfId="0" applyNumberFormat="1" applyBorder="1"/>
    <xf numFmtId="170" fontId="40" fillId="2" borderId="16" xfId="4" applyNumberFormat="1" applyFont="1" applyFill="1" applyBorder="1" applyAlignment="1">
      <alignment horizontal="right" wrapText="1"/>
    </xf>
    <xf numFmtId="170" fontId="88" fillId="17" borderId="15" xfId="4" applyNumberFormat="1" applyFont="1" applyFill="1" applyBorder="1" applyAlignment="1">
      <alignment vertical="center" wrapText="1"/>
    </xf>
    <xf numFmtId="170" fontId="88" fillId="2" borderId="3" xfId="4" applyNumberFormat="1" applyFont="1" applyFill="1" applyBorder="1" applyAlignment="1">
      <alignment horizontal="center" vertical="center" wrapText="1"/>
    </xf>
    <xf numFmtId="3" fontId="38" fillId="2" borderId="3" xfId="4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/>
    <xf numFmtId="3" fontId="39" fillId="2" borderId="3" xfId="4" applyNumberFormat="1" applyFont="1" applyFill="1" applyBorder="1" applyAlignment="1">
      <alignment horizontal="center" vertical="center" wrapText="1"/>
    </xf>
    <xf numFmtId="0" fontId="38" fillId="2" borderId="26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3" fontId="40" fillId="2" borderId="15" xfId="4" applyNumberFormat="1" applyFont="1" applyFill="1" applyBorder="1" applyAlignment="1">
      <alignment horizontal="right" vertical="center" wrapText="1"/>
    </xf>
    <xf numFmtId="3" fontId="38" fillId="2" borderId="10" xfId="4" applyNumberFormat="1" applyFont="1" applyFill="1" applyBorder="1" applyAlignment="1">
      <alignment horizontal="center" vertical="center" wrapText="1"/>
    </xf>
    <xf numFmtId="3" fontId="38" fillId="2" borderId="21" xfId="4" applyNumberFormat="1" applyFont="1" applyFill="1" applyBorder="1" applyAlignment="1">
      <alignment horizontal="center" vertical="center" wrapText="1"/>
    </xf>
    <xf numFmtId="3" fontId="40" fillId="2" borderId="10" xfId="4" applyNumberFormat="1" applyFont="1" applyFill="1" applyBorder="1" applyAlignment="1">
      <alignment horizontal="right" vertical="center" wrapText="1"/>
    </xf>
    <xf numFmtId="3" fontId="40" fillId="2" borderId="21" xfId="4" applyNumberFormat="1" applyFont="1" applyFill="1" applyBorder="1" applyAlignment="1">
      <alignment horizontal="right" vertical="center" wrapText="1"/>
    </xf>
    <xf numFmtId="3" fontId="40" fillId="2" borderId="10" xfId="4" applyNumberFormat="1" applyFont="1" applyFill="1" applyBorder="1" applyAlignment="1">
      <alignment horizontal="right" wrapText="1"/>
    </xf>
    <xf numFmtId="3" fontId="40" fillId="2" borderId="21" xfId="4" applyNumberFormat="1" applyFont="1" applyFill="1" applyBorder="1" applyAlignment="1">
      <alignment horizontal="right" wrapText="1"/>
    </xf>
    <xf numFmtId="3" fontId="41" fillId="2" borderId="10" xfId="4" applyNumberFormat="1" applyFont="1" applyFill="1" applyBorder="1" applyAlignment="1">
      <alignment horizontal="right"/>
    </xf>
    <xf numFmtId="3" fontId="41" fillId="2" borderId="21" xfId="4" applyNumberFormat="1" applyFont="1" applyFill="1" applyBorder="1" applyAlignment="1">
      <alignment horizontal="right"/>
    </xf>
    <xf numFmtId="3" fontId="38" fillId="2" borderId="10" xfId="4" applyNumberFormat="1" applyFont="1" applyFill="1" applyBorder="1" applyAlignment="1">
      <alignment horizontal="right" wrapText="1"/>
    </xf>
    <xf numFmtId="3" fontId="38" fillId="2" borderId="21" xfId="4" applyNumberFormat="1" applyFont="1" applyFill="1" applyBorder="1" applyAlignment="1">
      <alignment horizontal="right" wrapText="1"/>
    </xf>
    <xf numFmtId="3" fontId="124" fillId="2" borderId="10" xfId="4" applyNumberFormat="1" applyFont="1" applyFill="1" applyBorder="1" applyAlignment="1">
      <alignment horizontal="right" wrapText="1"/>
    </xf>
    <xf numFmtId="3" fontId="124" fillId="2" borderId="21" xfId="4" applyNumberFormat="1" applyFont="1" applyFill="1" applyBorder="1" applyAlignment="1">
      <alignment horizontal="right" wrapText="1"/>
    </xf>
    <xf numFmtId="3" fontId="41" fillId="2" borderId="21" xfId="0" applyNumberFormat="1" applyFont="1" applyFill="1" applyBorder="1" applyAlignment="1">
      <alignment horizontal="right"/>
    </xf>
    <xf numFmtId="3" fontId="125" fillId="2" borderId="21" xfId="0" applyNumberFormat="1" applyFont="1" applyFill="1" applyBorder="1" applyAlignment="1">
      <alignment horizontal="right"/>
    </xf>
    <xf numFmtId="3" fontId="41" fillId="2" borderId="10" xfId="0" applyNumberFormat="1" applyFont="1" applyFill="1" applyBorder="1" applyAlignment="1">
      <alignment horizontal="right"/>
    </xf>
    <xf numFmtId="3" fontId="125" fillId="2" borderId="10" xfId="0" applyNumberFormat="1" applyFont="1" applyFill="1" applyBorder="1" applyAlignment="1">
      <alignment horizontal="right"/>
    </xf>
    <xf numFmtId="3" fontId="38" fillId="2" borderId="1" xfId="4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3" fontId="38" fillId="2" borderId="1" xfId="4" applyNumberFormat="1" applyFont="1" applyFill="1" applyBorder="1" applyAlignment="1">
      <alignment horizontal="right" wrapText="1"/>
    </xf>
    <xf numFmtId="3" fontId="126" fillId="0" borderId="1" xfId="0" applyNumberFormat="1" applyFont="1" applyBorder="1"/>
    <xf numFmtId="3" fontId="0" fillId="0" borderId="10" xfId="0" applyNumberFormat="1" applyBorder="1"/>
    <xf numFmtId="3" fontId="126" fillId="0" borderId="10" xfId="0" applyNumberFormat="1" applyFont="1" applyBorder="1"/>
    <xf numFmtId="170" fontId="37" fillId="2" borderId="21" xfId="4" applyNumberFormat="1" applyFont="1" applyFill="1" applyBorder="1" applyAlignment="1">
      <alignment vertical="center" wrapText="1"/>
    </xf>
    <xf numFmtId="3" fontId="105" fillId="0" borderId="10" xfId="0" applyNumberFormat="1" applyFont="1" applyBorder="1"/>
    <xf numFmtId="3" fontId="4" fillId="0" borderId="21" xfId="0" applyNumberFormat="1" applyFont="1" applyBorder="1"/>
    <xf numFmtId="0" fontId="38" fillId="2" borderId="41" xfId="0" applyFont="1" applyFill="1" applyBorder="1" applyAlignment="1">
      <alignment horizontal="left" vertical="top" wrapText="1"/>
    </xf>
    <xf numFmtId="0" fontId="38" fillId="2" borderId="5" xfId="0" applyFont="1" applyFill="1" applyBorder="1" applyAlignment="1">
      <alignment horizontal="left" vertical="top" wrapText="1"/>
    </xf>
    <xf numFmtId="0" fontId="39" fillId="2" borderId="13" xfId="0" applyFont="1" applyFill="1" applyBorder="1" applyAlignment="1">
      <alignment horizontal="right"/>
    </xf>
    <xf numFmtId="3" fontId="38" fillId="2" borderId="41" xfId="4" applyNumberFormat="1" applyFont="1" applyFill="1" applyBorder="1" applyAlignment="1">
      <alignment horizontal="right" wrapText="1"/>
    </xf>
    <xf numFmtId="3" fontId="38" fillId="2" borderId="4" xfId="4" applyNumberFormat="1" applyFont="1" applyFill="1" applyBorder="1" applyAlignment="1">
      <alignment horizontal="right" wrapText="1"/>
    </xf>
    <xf numFmtId="3" fontId="105" fillId="0" borderId="41" xfId="0" applyNumberFormat="1" applyFont="1" applyBorder="1"/>
    <xf numFmtId="3" fontId="4" fillId="0" borderId="4" xfId="0" applyNumberFormat="1" applyFont="1" applyBorder="1"/>
    <xf numFmtId="3" fontId="4" fillId="0" borderId="70" xfId="0" applyNumberFormat="1" applyFont="1" applyBorder="1"/>
    <xf numFmtId="0" fontId="127" fillId="2" borderId="56" xfId="0" applyFont="1" applyFill="1" applyBorder="1" applyAlignment="1">
      <alignment horizontal="left" vertical="top" wrapText="1"/>
    </xf>
    <xf numFmtId="0" fontId="127" fillId="2" borderId="64" xfId="0" applyFont="1" applyFill="1" applyBorder="1" applyAlignment="1">
      <alignment horizontal="left" vertical="top" wrapText="1"/>
    </xf>
    <xf numFmtId="0" fontId="58" fillId="2" borderId="58" xfId="0" applyFont="1" applyFill="1" applyBorder="1" applyAlignment="1">
      <alignment horizontal="right"/>
    </xf>
    <xf numFmtId="3" fontId="128" fillId="2" borderId="53" xfId="0" applyNumberFormat="1" applyFont="1" applyFill="1" applyBorder="1" applyAlignment="1">
      <alignment horizontal="right"/>
    </xf>
    <xf numFmtId="3" fontId="128" fillId="2" borderId="54" xfId="0" applyNumberFormat="1" applyFont="1" applyFill="1" applyBorder="1" applyAlignment="1">
      <alignment horizontal="right"/>
    </xf>
    <xf numFmtId="3" fontId="128" fillId="2" borderId="77" xfId="0" applyNumberFormat="1" applyFont="1" applyFill="1" applyBorder="1" applyAlignment="1">
      <alignment horizontal="right"/>
    </xf>
    <xf numFmtId="3" fontId="127" fillId="2" borderId="56" xfId="4" applyNumberFormat="1" applyFont="1" applyFill="1" applyBorder="1" applyAlignment="1">
      <alignment horizontal="right" wrapText="1"/>
    </xf>
    <xf numFmtId="3" fontId="127" fillId="2" borderId="57" xfId="4" applyNumberFormat="1" applyFont="1" applyFill="1" applyBorder="1" applyAlignment="1">
      <alignment horizontal="right" wrapText="1"/>
    </xf>
    <xf numFmtId="3" fontId="127" fillId="2" borderId="75" xfId="4" applyNumberFormat="1" applyFont="1" applyFill="1" applyBorder="1" applyAlignment="1">
      <alignment horizontal="right" wrapText="1"/>
    </xf>
    <xf numFmtId="3" fontId="40" fillId="2" borderId="41" xfId="4" applyNumberFormat="1" applyFont="1" applyFill="1" applyBorder="1" applyAlignment="1">
      <alignment horizontal="right" vertical="center" wrapText="1"/>
    </xf>
    <xf numFmtId="3" fontId="40" fillId="2" borderId="4" xfId="4" applyNumberFormat="1" applyFont="1" applyFill="1" applyBorder="1" applyAlignment="1">
      <alignment horizontal="right" vertical="center" wrapText="1"/>
    </xf>
    <xf numFmtId="3" fontId="40" fillId="2" borderId="70" xfId="4" applyNumberFormat="1" applyFont="1" applyFill="1" applyBorder="1" applyAlignment="1">
      <alignment horizontal="right" vertical="center" wrapText="1"/>
    </xf>
    <xf numFmtId="3" fontId="41" fillId="2" borderId="4" xfId="0" applyNumberFormat="1" applyFont="1" applyFill="1" applyBorder="1" applyAlignment="1">
      <alignment horizontal="right"/>
    </xf>
    <xf numFmtId="3" fontId="41" fillId="2" borderId="70" xfId="0" applyNumberFormat="1" applyFont="1" applyFill="1" applyBorder="1" applyAlignment="1">
      <alignment horizontal="right"/>
    </xf>
    <xf numFmtId="3" fontId="41" fillId="2" borderId="41" xfId="0" applyNumberFormat="1" applyFont="1" applyFill="1" applyBorder="1" applyAlignment="1">
      <alignment horizontal="right"/>
    </xf>
    <xf numFmtId="3" fontId="0" fillId="0" borderId="4" xfId="0" applyNumberFormat="1" applyBorder="1"/>
    <xf numFmtId="3" fontId="0" fillId="0" borderId="13" xfId="0" applyNumberFormat="1" applyBorder="1"/>
    <xf numFmtId="3" fontId="0" fillId="0" borderId="41" xfId="0" applyNumberFormat="1" applyBorder="1"/>
    <xf numFmtId="3" fontId="41" fillId="2" borderId="16" xfId="0" applyNumberFormat="1" applyFont="1" applyFill="1" applyBorder="1" applyAlignment="1">
      <alignment horizontal="right"/>
    </xf>
    <xf numFmtId="3" fontId="41" fillId="2" borderId="72" xfId="0" applyNumberFormat="1" applyFont="1" applyFill="1" applyBorder="1" applyAlignment="1">
      <alignment horizontal="right"/>
    </xf>
    <xf numFmtId="3" fontId="41" fillId="2" borderId="61" xfId="0" applyNumberFormat="1" applyFont="1" applyFill="1" applyBorder="1" applyAlignment="1">
      <alignment horizontal="right"/>
    </xf>
    <xf numFmtId="3" fontId="0" fillId="0" borderId="16" xfId="0" applyNumberFormat="1" applyBorder="1"/>
    <xf numFmtId="3" fontId="0" fillId="0" borderId="36" xfId="0" applyNumberFormat="1" applyBorder="1"/>
    <xf numFmtId="3" fontId="0" fillId="0" borderId="61" xfId="0" applyNumberFormat="1" applyBorder="1"/>
    <xf numFmtId="3" fontId="105" fillId="0" borderId="61" xfId="0" applyNumberFormat="1" applyFont="1" applyBorder="1"/>
    <xf numFmtId="3" fontId="4" fillId="0" borderId="16" xfId="0" applyNumberFormat="1" applyFont="1" applyBorder="1"/>
    <xf numFmtId="3" fontId="4" fillId="0" borderId="72" xfId="0" applyNumberFormat="1" applyFont="1" applyBorder="1"/>
    <xf numFmtId="0" fontId="41" fillId="2" borderId="56" xfId="0" applyFont="1" applyFill="1" applyBorder="1" applyAlignment="1">
      <alignment wrapText="1"/>
    </xf>
    <xf numFmtId="0" fontId="41" fillId="2" borderId="64" xfId="0" applyFont="1" applyFill="1" applyBorder="1" applyAlignment="1">
      <alignment wrapText="1"/>
    </xf>
    <xf numFmtId="0" fontId="41" fillId="2" borderId="58" xfId="0" applyFont="1" applyFill="1" applyBorder="1"/>
    <xf numFmtId="3" fontId="40" fillId="2" borderId="56" xfId="4" applyNumberFormat="1" applyFont="1" applyFill="1" applyBorder="1" applyAlignment="1">
      <alignment horizontal="right" vertical="center" wrapText="1"/>
    </xf>
    <xf numFmtId="3" fontId="40" fillId="2" borderId="57" xfId="4" applyNumberFormat="1" applyFont="1" applyFill="1" applyBorder="1" applyAlignment="1">
      <alignment horizontal="right" vertical="center" wrapText="1"/>
    </xf>
    <xf numFmtId="3" fontId="40" fillId="2" borderId="75" xfId="4" applyNumberFormat="1" applyFont="1" applyFill="1" applyBorder="1" applyAlignment="1">
      <alignment horizontal="right" vertical="center" wrapText="1"/>
    </xf>
    <xf numFmtId="3" fontId="40" fillId="2" borderId="58" xfId="4" applyNumberFormat="1" applyFont="1" applyFill="1" applyBorder="1" applyAlignment="1">
      <alignment horizontal="right" vertical="center" wrapText="1"/>
    </xf>
    <xf numFmtId="3" fontId="105" fillId="0" borderId="56" xfId="0" applyNumberFormat="1" applyFont="1" applyBorder="1"/>
    <xf numFmtId="3" fontId="4" fillId="0" borderId="57" xfId="0" applyNumberFormat="1" applyFont="1" applyBorder="1"/>
    <xf numFmtId="3" fontId="4" fillId="0" borderId="75" xfId="0" applyNumberFormat="1" applyFont="1" applyBorder="1"/>
    <xf numFmtId="0" fontId="40" fillId="2" borderId="61" xfId="0" applyFont="1" applyFill="1" applyBorder="1" applyAlignment="1">
      <alignment horizontal="left" vertical="top" wrapText="1"/>
    </xf>
    <xf numFmtId="0" fontId="40" fillId="2" borderId="6" xfId="0" applyFont="1" applyFill="1" applyBorder="1" applyAlignment="1">
      <alignment horizontal="left" vertical="top" wrapText="1"/>
    </xf>
    <xf numFmtId="0" fontId="41" fillId="2" borderId="36" xfId="0" applyFont="1" applyFill="1" applyBorder="1" applyAlignment="1">
      <alignment horizontal="right"/>
    </xf>
    <xf numFmtId="3" fontId="40" fillId="2" borderId="61" xfId="4" applyNumberFormat="1" applyFont="1" applyFill="1" applyBorder="1" applyAlignment="1">
      <alignment horizontal="right" wrapText="1"/>
    </xf>
    <xf numFmtId="3" fontId="40" fillId="2" borderId="16" xfId="4" applyNumberFormat="1" applyFont="1" applyFill="1" applyBorder="1" applyAlignment="1">
      <alignment horizontal="right" wrapText="1"/>
    </xf>
    <xf numFmtId="3" fontId="40" fillId="2" borderId="72" xfId="4" applyNumberFormat="1" applyFont="1" applyFill="1" applyBorder="1" applyAlignment="1">
      <alignment horizontal="right" wrapText="1"/>
    </xf>
    <xf numFmtId="3" fontId="41" fillId="2" borderId="57" xfId="0" applyNumberFormat="1" applyFont="1" applyFill="1" applyBorder="1" applyAlignment="1">
      <alignment horizontal="right"/>
    </xf>
    <xf numFmtId="3" fontId="41" fillId="2" borderId="75" xfId="0" applyNumberFormat="1" applyFont="1" applyFill="1" applyBorder="1" applyAlignment="1">
      <alignment horizontal="right"/>
    </xf>
    <xf numFmtId="3" fontId="41" fillId="2" borderId="56" xfId="0" applyNumberFormat="1" applyFont="1" applyFill="1" applyBorder="1" applyAlignment="1">
      <alignment horizontal="right"/>
    </xf>
    <xf numFmtId="0" fontId="0" fillId="0" borderId="57" xfId="0" applyBorder="1"/>
    <xf numFmtId="3" fontId="0" fillId="0" borderId="57" xfId="0" applyNumberFormat="1" applyBorder="1"/>
    <xf numFmtId="3" fontId="0" fillId="0" borderId="58" xfId="0" applyNumberFormat="1" applyBorder="1"/>
    <xf numFmtId="3" fontId="0" fillId="0" borderId="56" xfId="0" applyNumberFormat="1" applyBorder="1"/>
    <xf numFmtId="3" fontId="64" fillId="0" borderId="59" xfId="0" applyNumberFormat="1" applyFont="1" applyBorder="1" applyAlignment="1">
      <alignment horizontal="right" vertical="top" wrapText="1"/>
    </xf>
    <xf numFmtId="3" fontId="62" fillId="4" borderId="0" xfId="0" applyNumberFormat="1" applyFont="1" applyFill="1" applyAlignment="1">
      <alignment horizontal="right" vertical="top" wrapText="1"/>
    </xf>
    <xf numFmtId="3" fontId="38" fillId="0" borderId="3" xfId="4" applyNumberFormat="1" applyFont="1" applyFill="1" applyBorder="1" applyAlignment="1">
      <alignment vertical="center" wrapText="1"/>
    </xf>
    <xf numFmtId="3" fontId="0" fillId="0" borderId="3" xfId="0" applyNumberFormat="1" applyFont="1" applyBorder="1"/>
    <xf numFmtId="0" fontId="4" fillId="2" borderId="3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top" wrapText="1"/>
    </xf>
    <xf numFmtId="0" fontId="0" fillId="2" borderId="3" xfId="0" applyFill="1" applyBorder="1"/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3" xfId="0" applyBorder="1"/>
    <xf numFmtId="0" fontId="123" fillId="0" borderId="3" xfId="0" applyFont="1" applyFill="1" applyBorder="1" applyAlignment="1">
      <alignment horizontal="center" wrapText="1"/>
    </xf>
    <xf numFmtId="0" fontId="55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3" fontId="142" fillId="0" borderId="0" xfId="0" applyNumberFormat="1" applyFont="1" applyAlignment="1">
      <alignment horizontal="right" vertical="top" wrapText="1"/>
    </xf>
    <xf numFmtId="3" fontId="141" fillId="0" borderId="0" xfId="0" applyNumberFormat="1" applyFont="1" applyAlignment="1">
      <alignment horizontal="right" vertical="top" wrapText="1"/>
    </xf>
    <xf numFmtId="164" fontId="0" fillId="0" borderId="0" xfId="0" applyNumberFormat="1"/>
    <xf numFmtId="168" fontId="4" fillId="2" borderId="3" xfId="2" applyNumberFormat="1" applyFont="1" applyFill="1" applyBorder="1" applyAlignment="1">
      <alignment horizontal="center" vertical="center" wrapText="1"/>
    </xf>
    <xf numFmtId="166" fontId="143" fillId="0" borderId="3" xfId="1" applyNumberFormat="1" applyFont="1" applyBorder="1" applyProtection="1">
      <protection locked="0"/>
    </xf>
    <xf numFmtId="166" fontId="64" fillId="0" borderId="3" xfId="1" applyNumberFormat="1" applyFont="1" applyFill="1" applyBorder="1"/>
    <xf numFmtId="0" fontId="0" fillId="2" borderId="3" xfId="0" applyFill="1" applyBorder="1"/>
    <xf numFmtId="0" fontId="62" fillId="0" borderId="3" xfId="17" applyFont="1" applyBorder="1"/>
    <xf numFmtId="0" fontId="4" fillId="8" borderId="0" xfId="0" applyFont="1" applyFill="1" applyBorder="1" applyAlignment="1">
      <alignment wrapText="1"/>
    </xf>
    <xf numFmtId="3" fontId="93" fillId="2" borderId="16" xfId="13" applyNumberFormat="1" applyFont="1" applyFill="1" applyBorder="1"/>
    <xf numFmtId="3" fontId="122" fillId="0" borderId="3" xfId="0" applyNumberFormat="1" applyFont="1" applyBorder="1" applyAlignment="1">
      <alignment horizontal="right" vertical="top" wrapText="1"/>
    </xf>
    <xf numFmtId="0" fontId="6" fillId="6" borderId="3" xfId="0" applyFont="1" applyFill="1" applyBorder="1"/>
    <xf numFmtId="166" fontId="12" fillId="2" borderId="3" xfId="1" applyNumberFormat="1" applyFont="1" applyFill="1" applyBorder="1"/>
    <xf numFmtId="168" fontId="12" fillId="2" borderId="3" xfId="1" applyNumberFormat="1" applyFont="1" applyFill="1" applyBorder="1"/>
    <xf numFmtId="168" fontId="133" fillId="2" borderId="3" xfId="1" applyNumberFormat="1" applyFont="1" applyFill="1" applyBorder="1"/>
    <xf numFmtId="3" fontId="6" fillId="0" borderId="3" xfId="0" applyNumberFormat="1" applyFont="1" applyBorder="1"/>
    <xf numFmtId="0" fontId="49" fillId="2" borderId="1" xfId="0" applyFont="1" applyFill="1" applyBorder="1"/>
    <xf numFmtId="0" fontId="49" fillId="2" borderId="1" xfId="0" applyFont="1" applyFill="1" applyBorder="1" applyAlignment="1"/>
    <xf numFmtId="0" fontId="49" fillId="2" borderId="1" xfId="0" applyFont="1" applyFill="1" applyBorder="1" applyAlignment="1">
      <alignment horizontal="left" vertical="center"/>
    </xf>
    <xf numFmtId="0" fontId="4" fillId="14" borderId="1" xfId="0" applyFont="1" applyFill="1" applyBorder="1"/>
    <xf numFmtId="170" fontId="0" fillId="0" borderId="16" xfId="2" applyNumberFormat="1" applyFont="1" applyBorder="1"/>
    <xf numFmtId="166" fontId="49" fillId="2" borderId="10" xfId="1" applyNumberFormat="1" applyFont="1" applyFill="1" applyBorder="1"/>
    <xf numFmtId="170" fontId="0" fillId="0" borderId="21" xfId="2" applyNumberFormat="1" applyFont="1" applyBorder="1"/>
    <xf numFmtId="166" fontId="49" fillId="2" borderId="10" xfId="1" applyNumberFormat="1" applyFont="1" applyFill="1" applyBorder="1" applyAlignment="1"/>
    <xf numFmtId="166" fontId="49" fillId="2" borderId="10" xfId="1" applyNumberFormat="1" applyFont="1" applyFill="1" applyBorder="1" applyAlignment="1">
      <alignment horizontal="left" vertical="center"/>
    </xf>
    <xf numFmtId="166" fontId="4" fillId="14" borderId="10" xfId="1" applyNumberFormat="1" applyFont="1" applyFill="1" applyBorder="1"/>
    <xf numFmtId="170" fontId="4" fillId="18" borderId="21" xfId="2" applyNumberFormat="1" applyFont="1" applyFill="1" applyBorder="1"/>
    <xf numFmtId="166" fontId="50" fillId="0" borderId="10" xfId="1" applyNumberFormat="1" applyFont="1" applyBorder="1" applyAlignment="1">
      <alignment horizontal="left" vertical="top" wrapText="1"/>
    </xf>
    <xf numFmtId="166" fontId="4" fillId="14" borderId="11" xfId="1" applyNumberFormat="1" applyFont="1" applyFill="1" applyBorder="1"/>
    <xf numFmtId="166" fontId="4" fillId="14" borderId="12" xfId="1" applyNumberFormat="1" applyFont="1" applyFill="1" applyBorder="1"/>
    <xf numFmtId="170" fontId="4" fillId="18" borderId="12" xfId="2" applyNumberFormat="1" applyFont="1" applyFill="1" applyBorder="1"/>
    <xf numFmtId="170" fontId="4" fillId="18" borderId="23" xfId="2" applyNumberFormat="1" applyFont="1" applyFill="1" applyBorder="1"/>
    <xf numFmtId="170" fontId="0" fillId="0" borderId="10" xfId="2" applyNumberFormat="1" applyFont="1" applyBorder="1"/>
    <xf numFmtId="170" fontId="4" fillId="0" borderId="21" xfId="2" applyNumberFormat="1" applyFont="1" applyBorder="1"/>
    <xf numFmtId="170" fontId="4" fillId="20" borderId="10" xfId="2" applyNumberFormat="1" applyFont="1" applyFill="1" applyBorder="1"/>
    <xf numFmtId="170" fontId="4" fillId="14" borderId="21" xfId="2" applyNumberFormat="1" applyFont="1" applyFill="1" applyBorder="1"/>
    <xf numFmtId="170" fontId="4" fillId="20" borderId="11" xfId="2" applyNumberFormat="1" applyFont="1" applyFill="1" applyBorder="1"/>
    <xf numFmtId="170" fontId="4" fillId="14" borderId="12" xfId="2" applyNumberFormat="1" applyFont="1" applyFill="1" applyBorder="1"/>
    <xf numFmtId="170" fontId="4" fillId="14" borderId="23" xfId="2" applyNumberFormat="1" applyFont="1" applyFill="1" applyBorder="1"/>
    <xf numFmtId="170" fontId="4" fillId="0" borderId="10" xfId="2" applyNumberFormat="1" applyFont="1" applyBorder="1"/>
    <xf numFmtId="170" fontId="0" fillId="0" borderId="21" xfId="0" applyNumberFormat="1" applyBorder="1"/>
    <xf numFmtId="170" fontId="4" fillId="14" borderId="10" xfId="2" applyNumberFormat="1" applyFont="1" applyFill="1" applyBorder="1"/>
    <xf numFmtId="170" fontId="4" fillId="14" borderId="11" xfId="2" applyNumberFormat="1" applyFont="1" applyFill="1" applyBorder="1"/>
    <xf numFmtId="0" fontId="139" fillId="0" borderId="3" xfId="0" applyFont="1" applyBorder="1"/>
    <xf numFmtId="168" fontId="0" fillId="0" borderId="3" xfId="0" applyNumberFormat="1" applyFont="1" applyBorder="1"/>
    <xf numFmtId="3" fontId="117" fillId="0" borderId="3" xfId="0" applyNumberFormat="1" applyFont="1" applyBorder="1"/>
    <xf numFmtId="3" fontId="0" fillId="2" borderId="3" xfId="0" applyNumberFormat="1" applyFill="1" applyBorder="1"/>
    <xf numFmtId="176" fontId="97" fillId="0" borderId="0" xfId="0" applyNumberFormat="1" applyFont="1"/>
    <xf numFmtId="0" fontId="0" fillId="0" borderId="8" xfId="0" applyBorder="1" applyAlignment="1">
      <alignment horizontal="center" vertical="center"/>
    </xf>
    <xf numFmtId="166" fontId="97" fillId="0" borderId="9" xfId="1" applyNumberFormat="1" applyFont="1" applyBorder="1" applyAlignment="1">
      <alignment horizontal="center" vertical="center" wrapText="1"/>
    </xf>
    <xf numFmtId="176" fontId="97" fillId="0" borderId="3" xfId="0" applyNumberFormat="1" applyFont="1" applyBorder="1" applyAlignment="1">
      <alignment horizontal="center" vertical="center" wrapText="1"/>
    </xf>
    <xf numFmtId="166" fontId="39" fillId="0" borderId="1" xfId="1" applyNumberFormat="1" applyFont="1" applyBorder="1"/>
    <xf numFmtId="176" fontId="96" fillId="0" borderId="3" xfId="0" applyNumberFormat="1" applyFont="1" applyBorder="1"/>
    <xf numFmtId="166" fontId="96" fillId="0" borderId="1" xfId="1" applyNumberFormat="1" applyFont="1" applyBorder="1"/>
    <xf numFmtId="176" fontId="97" fillId="0" borderId="3" xfId="0" applyNumberFormat="1" applyFont="1" applyBorder="1"/>
    <xf numFmtId="166" fontId="97" fillId="0" borderId="1" xfId="1" applyNumberFormat="1" applyFont="1" applyBorder="1"/>
    <xf numFmtId="166" fontId="97" fillId="0" borderId="1" xfId="1" applyNumberFormat="1" applyFont="1" applyFill="1" applyBorder="1"/>
    <xf numFmtId="0" fontId="97" fillId="0" borderId="3" xfId="0" applyFont="1" applyBorder="1" applyAlignment="1">
      <alignment horizontal="left" vertical="center" wrapText="1"/>
    </xf>
    <xf numFmtId="0" fontId="97" fillId="0" borderId="3" xfId="0" applyFont="1" applyBorder="1" applyAlignment="1">
      <alignment horizontal="left"/>
    </xf>
    <xf numFmtId="0" fontId="97" fillId="0" borderId="12" xfId="0" applyFont="1" applyBorder="1" applyAlignment="1">
      <alignment vertical="center" wrapText="1"/>
    </xf>
    <xf numFmtId="166" fontId="97" fillId="0" borderId="42" xfId="1" applyNumberFormat="1" applyFont="1" applyFill="1" applyBorder="1"/>
    <xf numFmtId="166" fontId="39" fillId="0" borderId="84" xfId="1" applyNumberFormat="1" applyFont="1" applyBorder="1"/>
    <xf numFmtId="176" fontId="39" fillId="0" borderId="3" xfId="0" applyNumberFormat="1" applyFont="1" applyBorder="1"/>
    <xf numFmtId="0" fontId="0" fillId="0" borderId="0" xfId="0"/>
    <xf numFmtId="0" fontId="144" fillId="2" borderId="3" xfId="0" applyFont="1" applyFill="1" applyBorder="1" applyAlignment="1">
      <alignment horizontal="center" vertical="top" wrapText="1"/>
    </xf>
    <xf numFmtId="0" fontId="141" fillId="2" borderId="3" xfId="0" applyFont="1" applyFill="1" applyBorder="1" applyAlignment="1">
      <alignment horizontal="center" vertical="top" wrapText="1"/>
    </xf>
    <xf numFmtId="0" fontId="141" fillId="2" borderId="3" xfId="0" applyFont="1" applyFill="1" applyBorder="1" applyAlignment="1">
      <alignment horizontal="left" vertical="top" wrapText="1"/>
    </xf>
    <xf numFmtId="3" fontId="141" fillId="2" borderId="3" xfId="0" applyNumberFormat="1" applyFont="1" applyFill="1" applyBorder="1" applyAlignment="1">
      <alignment horizontal="right" vertical="top" wrapText="1"/>
    </xf>
    <xf numFmtId="0" fontId="142" fillId="2" borderId="3" xfId="0" applyFont="1" applyFill="1" applyBorder="1" applyAlignment="1">
      <alignment horizontal="center" vertical="top" wrapText="1"/>
    </xf>
    <xf numFmtId="0" fontId="142" fillId="2" borderId="3" xfId="0" applyFont="1" applyFill="1" applyBorder="1" applyAlignment="1">
      <alignment horizontal="left" vertical="top" wrapText="1"/>
    </xf>
    <xf numFmtId="3" fontId="142" fillId="2" borderId="3" xfId="0" applyNumberFormat="1" applyFont="1" applyFill="1" applyBorder="1" applyAlignment="1">
      <alignment horizontal="right" vertical="top" wrapText="1"/>
    </xf>
    <xf numFmtId="166" fontId="97" fillId="0" borderId="36" xfId="1" applyNumberFormat="1" applyFont="1" applyBorder="1" applyAlignment="1">
      <alignment horizontal="center" vertical="center" wrapText="1"/>
    </xf>
    <xf numFmtId="3" fontId="4" fillId="2" borderId="3" xfId="0" applyNumberFormat="1" applyFont="1" applyFill="1" applyBorder="1"/>
    <xf numFmtId="166" fontId="101" fillId="0" borderId="3" xfId="1" applyNumberFormat="1" applyFont="1" applyBorder="1" applyAlignment="1">
      <alignment wrapText="1"/>
    </xf>
    <xf numFmtId="0" fontId="101" fillId="0" borderId="3" xfId="0" applyFont="1" applyBorder="1" applyAlignment="1">
      <alignment horizontal="center" wrapText="1"/>
    </xf>
    <xf numFmtId="0" fontId="101" fillId="0" borderId="3" xfId="0" applyFont="1" applyBorder="1" applyAlignment="1">
      <alignment wrapText="1"/>
    </xf>
    <xf numFmtId="0" fontId="145" fillId="0" borderId="3" xfId="0" applyFont="1" applyBorder="1" applyAlignment="1">
      <alignment horizontal="center"/>
    </xf>
    <xf numFmtId="166" fontId="145" fillId="0" borderId="3" xfId="1" applyNumberFormat="1" applyFont="1" applyBorder="1" applyAlignment="1">
      <alignment horizontal="center"/>
    </xf>
    <xf numFmtId="0" fontId="146" fillId="0" borderId="3" xfId="0" applyFont="1" applyBorder="1" applyAlignment="1">
      <alignment wrapText="1"/>
    </xf>
    <xf numFmtId="0" fontId="145" fillId="0" borderId="3" xfId="0" applyFont="1" applyBorder="1" applyAlignment="1">
      <alignment wrapText="1"/>
    </xf>
    <xf numFmtId="166" fontId="145" fillId="0" borderId="3" xfId="1" applyNumberFormat="1" applyFont="1" applyBorder="1" applyAlignment="1">
      <alignment wrapText="1"/>
    </xf>
    <xf numFmtId="0" fontId="147" fillId="0" borderId="3" xfId="0" applyFont="1" applyBorder="1" applyAlignment="1">
      <alignment wrapText="1"/>
    </xf>
    <xf numFmtId="166" fontId="147" fillId="0" borderId="3" xfId="1" applyNumberFormat="1" applyFont="1" applyBorder="1" applyAlignment="1">
      <alignment horizontal="center" wrapText="1"/>
    </xf>
    <xf numFmtId="0" fontId="147" fillId="0" borderId="3" xfId="0" applyFont="1" applyBorder="1"/>
    <xf numFmtId="166" fontId="147" fillId="0" borderId="3" xfId="1" applyNumberFormat="1" applyFont="1" applyBorder="1"/>
    <xf numFmtId="0" fontId="147" fillId="0" borderId="3" xfId="0" applyFont="1" applyBorder="1" applyAlignment="1">
      <alignment horizontal="center" wrapText="1"/>
    </xf>
    <xf numFmtId="0" fontId="51" fillId="0" borderId="0" xfId="0" applyFont="1" applyAlignment="1">
      <alignment horizontal="center" vertical="center" wrapText="1"/>
    </xf>
    <xf numFmtId="0" fontId="36" fillId="8" borderId="3" xfId="0" applyFont="1" applyFill="1" applyBorder="1" applyAlignment="1">
      <alignment horizontal="center" vertical="center"/>
    </xf>
    <xf numFmtId="0" fontId="37" fillId="8" borderId="3" xfId="0" applyFont="1" applyFill="1" applyBorder="1" applyAlignment="1">
      <alignment horizontal="center" vertical="center" wrapText="1"/>
    </xf>
    <xf numFmtId="166" fontId="37" fillId="8" borderId="3" xfId="7" applyNumberFormat="1" applyFont="1" applyFill="1" applyBorder="1" applyAlignment="1">
      <alignment horizontal="center" vertical="center" wrapText="1"/>
    </xf>
    <xf numFmtId="166" fontId="37" fillId="8" borderId="1" xfId="7" applyNumberFormat="1" applyFont="1" applyFill="1" applyBorder="1" applyAlignment="1">
      <alignment horizontal="center" vertical="center" wrapText="1"/>
    </xf>
    <xf numFmtId="166" fontId="37" fillId="8" borderId="2" xfId="7" applyNumberFormat="1" applyFont="1" applyFill="1" applyBorder="1" applyAlignment="1">
      <alignment horizontal="center" vertical="center" wrapText="1"/>
    </xf>
    <xf numFmtId="166" fontId="37" fillId="8" borderId="15" xfId="7" applyNumberFormat="1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/>
    </xf>
    <xf numFmtId="0" fontId="36" fillId="8" borderId="2" xfId="0" applyFont="1" applyFill="1" applyBorder="1" applyAlignment="1">
      <alignment horizontal="center"/>
    </xf>
    <xf numFmtId="0" fontId="36" fillId="8" borderId="15" xfId="0" applyFont="1" applyFill="1" applyBorder="1" applyAlignment="1">
      <alignment horizontal="center"/>
    </xf>
    <xf numFmtId="0" fontId="36" fillId="8" borderId="17" xfId="0" applyFont="1" applyFill="1" applyBorder="1" applyAlignment="1">
      <alignment horizontal="center"/>
    </xf>
    <xf numFmtId="0" fontId="36" fillId="8" borderId="0" xfId="0" applyFont="1" applyFill="1" applyBorder="1" applyAlignment="1">
      <alignment horizontal="center"/>
    </xf>
    <xf numFmtId="0" fontId="0" fillId="0" borderId="0" xfId="0" applyAlignment="1"/>
    <xf numFmtId="0" fontId="36" fillId="8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5" fillId="2" borderId="3" xfId="0" applyFont="1" applyFill="1" applyBorder="1" applyAlignment="1">
      <alignment horizontal="center" vertical="center"/>
    </xf>
    <xf numFmtId="0" fontId="94" fillId="2" borderId="3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/>
    </xf>
    <xf numFmtId="167" fontId="18" fillId="8" borderId="3" xfId="2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4" fillId="2" borderId="3" xfId="0" applyFont="1" applyFill="1" applyBorder="1" applyAlignment="1">
      <alignment horizontal="center" vertical="center"/>
    </xf>
    <xf numFmtId="0" fontId="121" fillId="2" borderId="3" xfId="0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 vertical="center" wrapText="1"/>
    </xf>
    <xf numFmtId="0" fontId="27" fillId="2" borderId="3" xfId="3" applyFont="1" applyFill="1" applyBorder="1" applyAlignment="1">
      <alignment horizontal="left" vertical="center"/>
    </xf>
    <xf numFmtId="0" fontId="18" fillId="8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top" wrapText="1"/>
    </xf>
    <xf numFmtId="0" fontId="0" fillId="2" borderId="3" xfId="0" applyFill="1" applyBorder="1"/>
    <xf numFmtId="0" fontId="0" fillId="0" borderId="0" xfId="0" applyAlignment="1">
      <alignment horizontal="center"/>
    </xf>
    <xf numFmtId="0" fontId="40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4" fillId="0" borderId="56" xfId="0" applyFont="1" applyBorder="1" applyAlignment="1">
      <alignment horizontal="left" wrapText="1"/>
    </xf>
    <xf numFmtId="0" fontId="4" fillId="0" borderId="57" xfId="0" applyFont="1" applyBorder="1" applyAlignment="1">
      <alignment horizontal="left" wrapText="1"/>
    </xf>
    <xf numFmtId="38" fontId="92" fillId="2" borderId="4" xfId="1" applyNumberFormat="1" applyFont="1" applyFill="1" applyBorder="1" applyAlignment="1">
      <alignment horizontal="left" vertical="center"/>
    </xf>
    <xf numFmtId="38" fontId="92" fillId="2" borderId="35" xfId="1" applyNumberFormat="1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/>
    <xf numFmtId="0" fontId="40" fillId="0" borderId="1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textRotation="90" wrapTex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38" fillId="0" borderId="3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horizontal="left" vertical="center" wrapText="1"/>
    </xf>
    <xf numFmtId="0" fontId="41" fillId="0" borderId="3" xfId="0" applyFont="1" applyBorder="1" applyAlignment="1">
      <alignment horizontal="center"/>
    </xf>
    <xf numFmtId="0" fontId="40" fillId="0" borderId="3" xfId="0" applyFont="1" applyFill="1" applyBorder="1" applyAlignment="1">
      <alignment horizontal="left" vertical="center" wrapText="1"/>
    </xf>
    <xf numFmtId="0" fontId="40" fillId="2" borderId="3" xfId="0" applyFont="1" applyFill="1" applyBorder="1" applyAlignment="1">
      <alignment horizontal="left" vertical="center" wrapText="1"/>
    </xf>
    <xf numFmtId="168" fontId="4" fillId="0" borderId="8" xfId="0" applyNumberFormat="1" applyFont="1" applyBorder="1" applyAlignment="1">
      <alignment horizontal="center" vertical="center" wrapText="1"/>
    </xf>
    <xf numFmtId="168" fontId="4" fillId="0" borderId="12" xfId="0" applyNumberFormat="1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8" fontId="105" fillId="0" borderId="8" xfId="0" applyNumberFormat="1" applyFont="1" applyBorder="1" applyAlignment="1">
      <alignment horizontal="center" vertical="center" wrapText="1"/>
    </xf>
    <xf numFmtId="168" fontId="105" fillId="0" borderId="12" xfId="0" applyNumberFormat="1" applyFont="1" applyBorder="1" applyAlignment="1">
      <alignment horizontal="center" vertical="center" wrapText="1"/>
    </xf>
    <xf numFmtId="0" fontId="92" fillId="2" borderId="0" xfId="0" applyFont="1" applyFill="1" applyAlignment="1">
      <alignment horizontal="left" wrapText="1"/>
    </xf>
    <xf numFmtId="0" fontId="39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9" fillId="2" borderId="3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4" fillId="17" borderId="15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/>
    </xf>
    <xf numFmtId="0" fontId="88" fillId="15" borderId="3" xfId="0" applyFont="1" applyFill="1" applyBorder="1" applyAlignment="1">
      <alignment horizontal="center" vertical="center" wrapText="1"/>
    </xf>
    <xf numFmtId="0" fontId="96" fillId="17" borderId="1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170" fontId="96" fillId="17" borderId="1" xfId="4" applyNumberFormat="1" applyFont="1" applyFill="1" applyBorder="1" applyAlignment="1">
      <alignment horizontal="center" vertical="center" wrapText="1"/>
    </xf>
    <xf numFmtId="170" fontId="96" fillId="17" borderId="2" xfId="4" applyNumberFormat="1" applyFont="1" applyFill="1" applyBorder="1" applyAlignment="1">
      <alignment horizontal="center" vertical="center" wrapText="1"/>
    </xf>
    <xf numFmtId="170" fontId="96" fillId="17" borderId="3" xfId="4" applyNumberFormat="1" applyFont="1" applyFill="1" applyBorder="1" applyAlignment="1">
      <alignment horizontal="center" vertical="center" wrapText="1"/>
    </xf>
    <xf numFmtId="170" fontId="96" fillId="17" borderId="15" xfId="4" applyNumberFormat="1" applyFont="1" applyFill="1" applyBorder="1" applyAlignment="1">
      <alignment horizontal="center" vertical="center" wrapText="1"/>
    </xf>
    <xf numFmtId="0" fontId="95" fillId="0" borderId="3" xfId="0" applyFont="1" applyBorder="1" applyAlignment="1">
      <alignment horizontal="center" vertical="center"/>
    </xf>
    <xf numFmtId="170" fontId="95" fillId="2" borderId="3" xfId="4" applyNumberFormat="1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 wrapText="1"/>
    </xf>
    <xf numFmtId="170" fontId="95" fillId="2" borderId="3" xfId="4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9" fillId="2" borderId="80" xfId="4" applyNumberFormat="1" applyFont="1" applyFill="1" applyBorder="1" applyAlignment="1">
      <alignment horizontal="center" vertical="center" wrapText="1"/>
    </xf>
    <xf numFmtId="3" fontId="39" fillId="2" borderId="38" xfId="4" applyNumberFormat="1" applyFont="1" applyFill="1" applyBorder="1" applyAlignment="1">
      <alignment horizontal="center" vertical="center" wrapText="1"/>
    </xf>
    <xf numFmtId="3" fontId="39" fillId="2" borderId="27" xfId="4" applyNumberFormat="1" applyFont="1" applyFill="1" applyBorder="1" applyAlignment="1">
      <alignment horizontal="center" vertical="center" wrapText="1"/>
    </xf>
    <xf numFmtId="3" fontId="39" fillId="2" borderId="81" xfId="4" applyNumberFormat="1" applyFont="1" applyFill="1" applyBorder="1" applyAlignment="1">
      <alignment horizontal="center" vertical="center" wrapText="1"/>
    </xf>
    <xf numFmtId="3" fontId="39" fillId="2" borderId="6" xfId="4" applyNumberFormat="1" applyFont="1" applyFill="1" applyBorder="1" applyAlignment="1">
      <alignment horizontal="center" vertical="center" wrapText="1"/>
    </xf>
    <xf numFmtId="3" fontId="39" fillId="2" borderId="31" xfId="4" applyNumberFormat="1" applyFont="1" applyFill="1" applyBorder="1" applyAlignment="1">
      <alignment horizontal="center" vertical="center" wrapText="1"/>
    </xf>
    <xf numFmtId="3" fontId="39" fillId="2" borderId="13" xfId="0" applyNumberFormat="1" applyFont="1" applyFill="1" applyBorder="1" applyAlignment="1">
      <alignment horizontal="center" vertical="center"/>
    </xf>
    <xf numFmtId="3" fontId="39" fillId="2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8" fillId="2" borderId="82" xfId="0" applyFont="1" applyFill="1" applyBorder="1" applyAlignment="1">
      <alignment horizontal="center"/>
    </xf>
    <xf numFmtId="0" fontId="128" fillId="2" borderId="83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 wrapText="1"/>
    </xf>
    <xf numFmtId="0" fontId="38" fillId="2" borderId="9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3" fontId="39" fillId="2" borderId="25" xfId="4" applyNumberFormat="1" applyFont="1" applyFill="1" applyBorder="1" applyAlignment="1">
      <alignment horizontal="center" vertical="center" wrapText="1"/>
    </xf>
    <xf numFmtId="3" fontId="39" fillId="2" borderId="26" xfId="4" applyNumberFormat="1" applyFont="1" applyFill="1" applyBorder="1" applyAlignment="1">
      <alignment horizontal="center" vertical="center" wrapText="1"/>
    </xf>
    <xf numFmtId="3" fontId="39" fillId="2" borderId="79" xfId="4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/>
    <xf numFmtId="0" fontId="0" fillId="0" borderId="15" xfId="0" applyBorder="1" applyAlignment="1"/>
    <xf numFmtId="0" fontId="88" fillId="2" borderId="61" xfId="0" applyFont="1" applyFill="1" applyBorder="1" applyAlignment="1">
      <alignment horizontal="center" vertical="center" wrapText="1"/>
    </xf>
    <xf numFmtId="0" fontId="88" fillId="2" borderId="10" xfId="0" applyFont="1" applyFill="1" applyBorder="1" applyAlignment="1">
      <alignment horizontal="center" vertical="center" wrapText="1"/>
    </xf>
    <xf numFmtId="0" fontId="88" fillId="2" borderId="16" xfId="0" applyFont="1" applyFill="1" applyBorder="1" applyAlignment="1">
      <alignment horizontal="center" vertical="center" wrapText="1"/>
    </xf>
    <xf numFmtId="0" fontId="88" fillId="2" borderId="3" xfId="0" applyFont="1" applyFill="1" applyBorder="1" applyAlignment="1">
      <alignment horizontal="center" vertical="center" wrapText="1"/>
    </xf>
    <xf numFmtId="3" fontId="39" fillId="2" borderId="3" xfId="4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38" fillId="0" borderId="3" xfId="4" applyNumberFormat="1" applyFont="1" applyFill="1" applyBorder="1" applyAlignment="1">
      <alignment horizontal="center" vertical="center" wrapText="1"/>
    </xf>
    <xf numFmtId="3" fontId="39" fillId="2" borderId="36" xfId="0" applyNumberFormat="1" applyFont="1" applyFill="1" applyBorder="1" applyAlignment="1">
      <alignment horizontal="center" vertical="center" wrapText="1"/>
    </xf>
    <xf numFmtId="3" fontId="39" fillId="2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167" fontId="4" fillId="0" borderId="3" xfId="2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7" fontId="41" fillId="0" borderId="4" xfId="2" applyNumberFormat="1" applyFont="1" applyBorder="1" applyAlignment="1">
      <alignment horizontal="center"/>
    </xf>
    <xf numFmtId="167" fontId="41" fillId="0" borderId="35" xfId="2" applyNumberFormat="1" applyFont="1" applyBorder="1" applyAlignment="1">
      <alignment horizontal="center"/>
    </xf>
    <xf numFmtId="167" fontId="41" fillId="0" borderId="16" xfId="2" applyNumberFormat="1" applyFont="1" applyBorder="1" applyAlignment="1">
      <alignment horizontal="center"/>
    </xf>
    <xf numFmtId="167" fontId="40" fillId="0" borderId="4" xfId="2" applyNumberFormat="1" applyFont="1" applyBorder="1" applyAlignment="1">
      <alignment horizontal="center" vertical="top" wrapText="1"/>
    </xf>
    <xf numFmtId="167" fontId="40" fillId="0" borderId="35" xfId="2" applyNumberFormat="1" applyFont="1" applyBorder="1" applyAlignment="1">
      <alignment horizontal="center" vertical="top" wrapText="1"/>
    </xf>
    <xf numFmtId="167" fontId="40" fillId="0" borderId="16" xfId="2" applyNumberFormat="1" applyFont="1" applyBorder="1" applyAlignment="1">
      <alignment horizontal="center" vertical="top" wrapText="1"/>
    </xf>
    <xf numFmtId="170" fontId="37" fillId="18" borderId="3" xfId="4" applyNumberFormat="1" applyFont="1" applyFill="1" applyBorder="1" applyAlignment="1">
      <alignment horizontal="center" vertical="center" wrapText="1"/>
    </xf>
    <xf numFmtId="170" fontId="4" fillId="18" borderId="3" xfId="4" applyNumberFormat="1" applyFont="1" applyFill="1" applyBorder="1" applyAlignment="1">
      <alignment horizontal="center" vertical="center" wrapText="1"/>
    </xf>
    <xf numFmtId="167" fontId="41" fillId="2" borderId="4" xfId="2" applyNumberFormat="1" applyFont="1" applyFill="1" applyBorder="1" applyAlignment="1">
      <alignment horizontal="center"/>
    </xf>
    <xf numFmtId="167" fontId="41" fillId="2" borderId="35" xfId="2" applyNumberFormat="1" applyFont="1" applyFill="1" applyBorder="1" applyAlignment="1">
      <alignment horizontal="center"/>
    </xf>
    <xf numFmtId="167" fontId="41" fillId="2" borderId="16" xfId="2" applyNumberFormat="1" applyFont="1" applyFill="1" applyBorder="1" applyAlignment="1">
      <alignment horizontal="center"/>
    </xf>
    <xf numFmtId="167" fontId="36" fillId="15" borderId="40" xfId="2" applyNumberFormat="1" applyFont="1" applyFill="1" applyBorder="1" applyAlignment="1">
      <alignment horizontal="center" vertical="center" wrapText="1"/>
    </xf>
    <xf numFmtId="167" fontId="36" fillId="15" borderId="35" xfId="2" applyNumberFormat="1" applyFont="1" applyFill="1" applyBorder="1" applyAlignment="1">
      <alignment horizontal="center" vertical="center" wrapText="1"/>
    </xf>
    <xf numFmtId="167" fontId="36" fillId="15" borderId="16" xfId="2" applyNumberFormat="1" applyFont="1" applyFill="1" applyBorder="1" applyAlignment="1">
      <alignment horizontal="center" vertical="center" wrapText="1"/>
    </xf>
    <xf numFmtId="170" fontId="37" fillId="17" borderId="14" xfId="4" applyNumberFormat="1" applyFont="1" applyFill="1" applyBorder="1" applyAlignment="1">
      <alignment horizontal="center" vertical="center" wrapText="1"/>
    </xf>
    <xf numFmtId="170" fontId="37" fillId="17" borderId="2" xfId="4" applyNumberFormat="1" applyFont="1" applyFill="1" applyBorder="1" applyAlignment="1">
      <alignment horizontal="center" vertical="center" wrapText="1"/>
    </xf>
    <xf numFmtId="170" fontId="37" fillId="3" borderId="14" xfId="4" applyNumberFormat="1" applyFont="1" applyFill="1" applyBorder="1" applyAlignment="1">
      <alignment horizontal="center" vertical="center" wrapText="1"/>
    </xf>
    <xf numFmtId="170" fontId="37" fillId="3" borderId="15" xfId="4" applyNumberFormat="1" applyFont="1" applyFill="1" applyBorder="1" applyAlignment="1">
      <alignment horizontal="center" vertical="center" wrapText="1"/>
    </xf>
    <xf numFmtId="170" fontId="37" fillId="6" borderId="14" xfId="4" applyNumberFormat="1" applyFont="1" applyFill="1" applyBorder="1" applyAlignment="1">
      <alignment horizontal="center" vertical="center" wrapText="1"/>
    </xf>
    <xf numFmtId="170" fontId="37" fillId="6" borderId="2" xfId="4" applyNumberFormat="1" applyFont="1" applyFill="1" applyBorder="1" applyAlignment="1">
      <alignment horizontal="center" vertical="center" wrapText="1"/>
    </xf>
    <xf numFmtId="170" fontId="37" fillId="6" borderId="15" xfId="4" applyNumberFormat="1" applyFont="1" applyFill="1" applyBorder="1" applyAlignment="1">
      <alignment horizontal="center" vertical="center" wrapText="1"/>
    </xf>
    <xf numFmtId="0" fontId="4" fillId="18" borderId="3" xfId="0" applyFont="1" applyFill="1" applyBorder="1" applyAlignment="1">
      <alignment horizontal="center" vertical="center" wrapText="1"/>
    </xf>
    <xf numFmtId="170" fontId="4" fillId="3" borderId="7" xfId="4" applyNumberFormat="1" applyFont="1" applyFill="1" applyBorder="1" applyAlignment="1">
      <alignment horizontal="center" vertical="center"/>
    </xf>
    <xf numFmtId="170" fontId="4" fillId="3" borderId="8" xfId="4" applyNumberFormat="1" applyFont="1" applyFill="1" applyBorder="1" applyAlignment="1">
      <alignment horizontal="center" vertical="center"/>
    </xf>
    <xf numFmtId="170" fontId="4" fillId="3" borderId="22" xfId="4" applyNumberFormat="1" applyFont="1" applyFill="1" applyBorder="1" applyAlignment="1">
      <alignment horizontal="center" vertical="center" wrapText="1"/>
    </xf>
    <xf numFmtId="170" fontId="4" fillId="3" borderId="21" xfId="4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170" fontId="4" fillId="6" borderId="9" xfId="4" applyNumberFormat="1" applyFont="1" applyFill="1" applyBorder="1" applyAlignment="1">
      <alignment horizontal="center" vertical="center" wrapText="1"/>
    </xf>
    <xf numFmtId="170" fontId="4" fillId="6" borderId="1" xfId="4" applyNumberFormat="1" applyFont="1" applyFill="1" applyBorder="1" applyAlignment="1">
      <alignment horizontal="center" vertical="center" wrapText="1"/>
    </xf>
    <xf numFmtId="170" fontId="4" fillId="0" borderId="0" xfId="4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36" fillId="15" borderId="7" xfId="0" applyFont="1" applyFill="1" applyBorder="1" applyAlignment="1">
      <alignment horizontal="center" vertical="center" wrapText="1"/>
    </xf>
    <xf numFmtId="0" fontId="36" fillId="15" borderId="10" xfId="0" applyFont="1" applyFill="1" applyBorder="1" applyAlignment="1">
      <alignment horizontal="center" vertical="center" wrapText="1"/>
    </xf>
    <xf numFmtId="0" fontId="36" fillId="15" borderId="8" xfId="0" applyFont="1" applyFill="1" applyBorder="1" applyAlignment="1">
      <alignment horizontal="center" vertical="center" wrapText="1"/>
    </xf>
    <xf numFmtId="0" fontId="36" fillId="15" borderId="3" xfId="0" applyFont="1" applyFill="1" applyBorder="1" applyAlignment="1">
      <alignment horizontal="center" vertical="center" wrapText="1"/>
    </xf>
    <xf numFmtId="170" fontId="37" fillId="15" borderId="22" xfId="4" applyNumberFormat="1" applyFont="1" applyFill="1" applyBorder="1" applyAlignment="1">
      <alignment horizontal="center" vertical="center" wrapText="1"/>
    </xf>
    <xf numFmtId="170" fontId="37" fillId="15" borderId="21" xfId="4" applyNumberFormat="1" applyFont="1" applyFill="1" applyBorder="1" applyAlignment="1">
      <alignment horizontal="center" vertical="center" wrapText="1"/>
    </xf>
    <xf numFmtId="170" fontId="4" fillId="16" borderId="24" xfId="4" applyNumberFormat="1" applyFont="1" applyFill="1" applyBorder="1" applyAlignment="1">
      <alignment horizontal="center" vertical="center" wrapText="1"/>
    </xf>
    <xf numFmtId="170" fontId="4" fillId="16" borderId="28" xfId="4" applyNumberFormat="1" applyFont="1" applyFill="1" applyBorder="1" applyAlignment="1">
      <alignment horizontal="center" vertical="center" wrapText="1"/>
    </xf>
    <xf numFmtId="0" fontId="4" fillId="17" borderId="25" xfId="0" applyFont="1" applyFill="1" applyBorder="1" applyAlignment="1">
      <alignment horizontal="center" vertical="center"/>
    </xf>
    <xf numFmtId="0" fontId="4" fillId="17" borderId="26" xfId="0" applyFont="1" applyFill="1" applyBorder="1" applyAlignment="1">
      <alignment horizontal="center" vertical="center"/>
    </xf>
    <xf numFmtId="0" fontId="4" fillId="17" borderId="27" xfId="0" applyFont="1" applyFill="1" applyBorder="1" applyAlignment="1">
      <alignment horizontal="center" vertical="center" wrapText="1"/>
    </xf>
    <xf numFmtId="0" fontId="4" fillId="17" borderId="29" xfId="0" applyFont="1" applyFill="1" applyBorder="1" applyAlignment="1">
      <alignment horizontal="center" vertical="center" wrapText="1"/>
    </xf>
    <xf numFmtId="0" fontId="4" fillId="17" borderId="31" xfId="0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/>
    </xf>
    <xf numFmtId="49" fontId="44" fillId="0" borderId="0" xfId="0" applyNumberFormat="1" applyFont="1" applyAlignment="1">
      <alignment horizontal="left" vertical="center" wrapText="1"/>
    </xf>
    <xf numFmtId="0" fontId="64" fillId="0" borderId="3" xfId="0" applyFont="1" applyBorder="1" applyAlignment="1">
      <alignment horizontal="left" wrapText="1"/>
    </xf>
    <xf numFmtId="0" fontId="34" fillId="0" borderId="17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49" fontId="34" fillId="19" borderId="4" xfId="0" applyNumberFormat="1" applyFont="1" applyFill="1" applyBorder="1" applyAlignment="1">
      <alignment horizontal="center" vertical="center"/>
    </xf>
    <xf numFmtId="49" fontId="34" fillId="19" borderId="16" xfId="0" applyNumberFormat="1" applyFont="1" applyFill="1" applyBorder="1" applyAlignment="1">
      <alignment horizontal="center" vertical="center"/>
    </xf>
    <xf numFmtId="0" fontId="34" fillId="8" borderId="13" xfId="0" applyFont="1" applyFill="1" applyBorder="1" applyAlignment="1">
      <alignment horizontal="center" vertical="center" wrapText="1"/>
    </xf>
    <xf numFmtId="0" fontId="34" fillId="8" borderId="20" xfId="0" applyFont="1" applyFill="1" applyBorder="1" applyAlignment="1">
      <alignment horizontal="center" vertical="center" wrapText="1"/>
    </xf>
    <xf numFmtId="0" fontId="34" fillId="8" borderId="36" xfId="0" applyFont="1" applyFill="1" applyBorder="1" applyAlignment="1">
      <alignment horizontal="center" vertical="center" wrapText="1"/>
    </xf>
    <xf numFmtId="0" fontId="34" fillId="8" borderId="62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wrapText="1"/>
    </xf>
    <xf numFmtId="49" fontId="4" fillId="0" borderId="15" xfId="0" applyNumberFormat="1" applyFont="1" applyBorder="1" applyAlignment="1">
      <alignment horizontal="center" wrapText="1"/>
    </xf>
    <xf numFmtId="49" fontId="44" fillId="0" borderId="0" xfId="0" applyNumberFormat="1" applyFont="1" applyAlignment="1">
      <alignment horizontal="center" vertical="center" wrapText="1"/>
    </xf>
    <xf numFmtId="168" fontId="4" fillId="8" borderId="3" xfId="2" applyNumberFormat="1" applyFont="1" applyFill="1" applyBorder="1" applyAlignment="1">
      <alignment horizontal="center" vertical="center" wrapText="1"/>
    </xf>
    <xf numFmtId="166" fontId="0" fillId="0" borderId="4" xfId="1" applyNumberFormat="1" applyFont="1" applyBorder="1" applyAlignment="1">
      <alignment horizontal="center"/>
    </xf>
    <xf numFmtId="166" fontId="0" fillId="0" borderId="16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63" fillId="0" borderId="1" xfId="0" applyFont="1" applyBorder="1" applyAlignment="1">
      <alignment horizontal="left" wrapText="1"/>
    </xf>
    <xf numFmtId="0" fontId="63" fillId="0" borderId="15" xfId="0" applyFont="1" applyBorder="1" applyAlignment="1">
      <alignment horizontal="left" wrapText="1"/>
    </xf>
    <xf numFmtId="0" fontId="67" fillId="0" borderId="3" xfId="0" applyFont="1" applyBorder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7" fontId="4" fillId="0" borderId="17" xfId="2" applyNumberFormat="1" applyFont="1" applyBorder="1" applyAlignment="1">
      <alignment horizontal="center"/>
    </xf>
    <xf numFmtId="167" fontId="4" fillId="0" borderId="0" xfId="2" applyNumberFormat="1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wrapText="1"/>
    </xf>
    <xf numFmtId="0" fontId="4" fillId="0" borderId="21" xfId="0" applyFont="1" applyBorder="1" applyAlignment="1">
      <alignment horizontal="center"/>
    </xf>
    <xf numFmtId="0" fontId="4" fillId="8" borderId="7" xfId="0" applyFont="1" applyFill="1" applyBorder="1" applyAlignment="1">
      <alignment horizontal="center" wrapText="1"/>
    </xf>
    <xf numFmtId="0" fontId="4" fillId="8" borderId="8" xfId="0" applyFont="1" applyFill="1" applyBorder="1" applyAlignment="1">
      <alignment horizontal="center" wrapText="1"/>
    </xf>
    <xf numFmtId="0" fontId="4" fillId="8" borderId="22" xfId="0" applyFont="1" applyFill="1" applyBorder="1" applyAlignment="1">
      <alignment horizont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18" borderId="25" xfId="0" applyFont="1" applyFill="1" applyBorder="1" applyAlignment="1">
      <alignment horizontal="center" wrapText="1"/>
    </xf>
    <xf numFmtId="0" fontId="4" fillId="18" borderId="26" xfId="0" applyFont="1" applyFill="1" applyBorder="1" applyAlignment="1">
      <alignment horizontal="center" wrapText="1"/>
    </xf>
    <xf numFmtId="0" fontId="4" fillId="18" borderId="79" xfId="0" applyFont="1" applyFill="1" applyBorder="1" applyAlignment="1">
      <alignment horizontal="center" wrapText="1"/>
    </xf>
    <xf numFmtId="0" fontId="4" fillId="18" borderId="21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wrapText="1"/>
    </xf>
    <xf numFmtId="0" fontId="4" fillId="8" borderId="26" xfId="0" applyFont="1" applyFill="1" applyBorder="1" applyAlignment="1">
      <alignment horizontal="center" wrapText="1"/>
    </xf>
    <xf numFmtId="0" fontId="4" fillId="8" borderId="79" xfId="0" applyFont="1" applyFill="1" applyBorder="1" applyAlignment="1">
      <alignment horizontal="center" wrapText="1"/>
    </xf>
    <xf numFmtId="0" fontId="4" fillId="20" borderId="3" xfId="0" applyFont="1" applyFill="1" applyBorder="1" applyAlignment="1">
      <alignment horizontal="center" vertical="center" wrapText="1"/>
    </xf>
    <xf numFmtId="0" fontId="4" fillId="20" borderId="21" xfId="0" applyFont="1" applyFill="1" applyBorder="1" applyAlignment="1">
      <alignment horizontal="center" vertical="center" wrapText="1"/>
    </xf>
    <xf numFmtId="0" fontId="4" fillId="2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8" fillId="8" borderId="3" xfId="0" applyFont="1" applyFill="1" applyBorder="1" applyAlignment="1">
      <alignment horizontal="center" vertical="center" wrapText="1"/>
    </xf>
    <xf numFmtId="0" fontId="48" fillId="8" borderId="1" xfId="0" applyFont="1" applyFill="1" applyBorder="1" applyAlignment="1">
      <alignment horizontal="center" vertical="center" wrapText="1"/>
    </xf>
    <xf numFmtId="0" fontId="4" fillId="25" borderId="3" xfId="0" applyFont="1" applyFill="1" applyBorder="1" applyAlignment="1">
      <alignment horizontal="center" vertical="center" wrapText="1"/>
    </xf>
    <xf numFmtId="0" fontId="4" fillId="18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67" fontId="105" fillId="2" borderId="3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wrapText="1"/>
    </xf>
    <xf numFmtId="168" fontId="4" fillId="2" borderId="3" xfId="0" applyNumberFormat="1" applyFont="1" applyFill="1" applyBorder="1" applyAlignment="1">
      <alignment horizontal="center" wrapText="1"/>
    </xf>
    <xf numFmtId="10" fontId="105" fillId="2" borderId="3" xfId="13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167" fontId="4" fillId="2" borderId="3" xfId="2" applyNumberFormat="1" applyFont="1" applyFill="1" applyBorder="1" applyAlignment="1">
      <alignment horizontal="center" wrapText="1"/>
    </xf>
    <xf numFmtId="167" fontId="4" fillId="2" borderId="3" xfId="2" applyNumberFormat="1" applyFont="1" applyFill="1" applyBorder="1" applyAlignment="1">
      <alignment horizontal="center" vertical="center" wrapText="1"/>
    </xf>
    <xf numFmtId="0" fontId="120" fillId="2" borderId="67" xfId="0" applyFont="1" applyFill="1" applyBorder="1" applyAlignment="1">
      <alignment horizontal="center"/>
    </xf>
    <xf numFmtId="0" fontId="120" fillId="2" borderId="68" xfId="0" applyFont="1" applyFill="1" applyBorder="1" applyAlignment="1">
      <alignment horizontal="center"/>
    </xf>
    <xf numFmtId="0" fontId="120" fillId="2" borderId="69" xfId="0" applyFont="1" applyFill="1" applyBorder="1" applyAlignment="1">
      <alignment horizontal="center"/>
    </xf>
    <xf numFmtId="168" fontId="4" fillId="2" borderId="3" xfId="2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0" fontId="4" fillId="2" borderId="3" xfId="13" applyNumberFormat="1" applyFont="1" applyFill="1" applyBorder="1" applyAlignment="1">
      <alignment horizontal="center" vertical="center" wrapText="1"/>
    </xf>
    <xf numFmtId="168" fontId="93" fillId="2" borderId="3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/>
    </xf>
    <xf numFmtId="167" fontId="55" fillId="2" borderId="3" xfId="2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5" fillId="0" borderId="3" xfId="0" applyFont="1" applyFill="1" applyBorder="1" applyAlignment="1">
      <alignment horizontal="center" vertical="center"/>
    </xf>
    <xf numFmtId="167" fontId="56" fillId="2" borderId="3" xfId="2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23" fillId="2" borderId="3" xfId="0" applyFont="1" applyFill="1" applyBorder="1" applyAlignment="1">
      <alignment horizontal="center"/>
    </xf>
    <xf numFmtId="0" fontId="139" fillId="2" borderId="3" xfId="0" applyFont="1" applyFill="1" applyBorder="1" applyAlignment="1">
      <alignment horizontal="center"/>
    </xf>
    <xf numFmtId="167" fontId="55" fillId="2" borderId="3" xfId="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123" fillId="0" borderId="3" xfId="0" applyFont="1" applyFill="1" applyBorder="1" applyAlignment="1">
      <alignment horizontal="center" wrapText="1"/>
    </xf>
    <xf numFmtId="0" fontId="61" fillId="0" borderId="3" xfId="0" applyFont="1" applyFill="1" applyBorder="1" applyAlignment="1">
      <alignment horizontal="center" wrapText="1"/>
    </xf>
    <xf numFmtId="0" fontId="61" fillId="0" borderId="3" xfId="0" applyFont="1" applyFill="1" applyBorder="1" applyAlignment="1">
      <alignment horizontal="center"/>
    </xf>
    <xf numFmtId="0" fontId="55" fillId="2" borderId="3" xfId="0" applyFont="1" applyFill="1" applyBorder="1" applyAlignment="1">
      <alignment horizontal="center" vertical="center"/>
    </xf>
    <xf numFmtId="0" fontId="55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123" fillId="0" borderId="3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1" fillId="0" borderId="3" xfId="0" applyFont="1" applyBorder="1" applyAlignment="1">
      <alignment horizontal="center" vertical="center"/>
    </xf>
    <xf numFmtId="167" fontId="0" fillId="0" borderId="0" xfId="2" applyNumberFormat="1" applyFont="1" applyBorder="1" applyAlignment="1">
      <alignment horizontal="center"/>
    </xf>
    <xf numFmtId="167" fontId="3" fillId="0" borderId="0" xfId="2" applyNumberFormat="1" applyFont="1" applyBorder="1" applyAlignment="1">
      <alignment horizontal="center"/>
    </xf>
    <xf numFmtId="0" fontId="71" fillId="15" borderId="14" xfId="0" applyFont="1" applyFill="1" applyBorder="1" applyAlignment="1">
      <alignment horizontal="center" vertical="center"/>
    </xf>
    <xf numFmtId="0" fontId="71" fillId="15" borderId="2" xfId="0" applyFont="1" applyFill="1" applyBorder="1" applyAlignment="1">
      <alignment horizontal="center" vertical="center"/>
    </xf>
    <xf numFmtId="0" fontId="71" fillId="15" borderId="33" xfId="0" applyFont="1" applyFill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71" fillId="0" borderId="33" xfId="0" applyFont="1" applyBorder="1" applyAlignment="1">
      <alignment horizontal="center" vertical="center"/>
    </xf>
    <xf numFmtId="0" fontId="78" fillId="0" borderId="7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2" fillId="0" borderId="16" xfId="0" applyFont="1" applyBorder="1" applyAlignment="1"/>
    <xf numFmtId="0" fontId="0" fillId="0" borderId="16" xfId="0" applyBorder="1" applyAlignment="1"/>
    <xf numFmtId="49" fontId="76" fillId="0" borderId="7" xfId="0" applyNumberFormat="1" applyFont="1" applyBorder="1" applyAlignment="1">
      <alignment horizontal="left" vertical="center" wrapText="1"/>
    </xf>
    <xf numFmtId="49" fontId="76" fillId="0" borderId="10" xfId="0" applyNumberFormat="1" applyFont="1" applyBorder="1" applyAlignment="1">
      <alignment horizontal="left" vertical="center" wrapText="1"/>
    </xf>
    <xf numFmtId="49" fontId="76" fillId="0" borderId="11" xfId="0" applyNumberFormat="1" applyFont="1" applyBorder="1" applyAlignment="1">
      <alignment horizontal="left" vertical="center" wrapText="1"/>
    </xf>
    <xf numFmtId="0" fontId="78" fillId="0" borderId="7" xfId="0" applyFont="1" applyBorder="1" applyAlignment="1">
      <alignment vertical="center" wrapText="1"/>
    </xf>
    <xf numFmtId="0" fontId="78" fillId="0" borderId="10" xfId="0" applyFont="1" applyBorder="1" applyAlignment="1">
      <alignment vertical="center" wrapText="1"/>
    </xf>
    <xf numFmtId="0" fontId="78" fillId="0" borderId="11" xfId="0" applyFont="1" applyBorder="1" applyAlignment="1">
      <alignment vertical="center" wrapText="1"/>
    </xf>
    <xf numFmtId="0" fontId="76" fillId="0" borderId="7" xfId="0" applyFont="1" applyBorder="1" applyAlignment="1">
      <alignment vertical="center" wrapText="1"/>
    </xf>
    <xf numFmtId="0" fontId="76" fillId="0" borderId="10" xfId="0" applyFont="1" applyBorder="1" applyAlignment="1">
      <alignment vertical="center" wrapText="1"/>
    </xf>
    <xf numFmtId="0" fontId="76" fillId="0" borderId="11" xfId="0" applyFont="1" applyBorder="1" applyAlignment="1">
      <alignment vertical="center" wrapText="1"/>
    </xf>
    <xf numFmtId="0" fontId="37" fillId="0" borderId="8" xfId="10" applyFont="1" applyBorder="1" applyAlignment="1">
      <alignment vertical="center" wrapText="1"/>
    </xf>
    <xf numFmtId="0" fontId="37" fillId="0" borderId="3" xfId="10" applyFont="1" applyBorder="1" applyAlignment="1">
      <alignment vertical="center" wrapText="1"/>
    </xf>
    <xf numFmtId="0" fontId="37" fillId="0" borderId="12" xfId="10" applyFont="1" applyBorder="1" applyAlignment="1">
      <alignment vertical="center" wrapText="1"/>
    </xf>
    <xf numFmtId="0" fontId="37" fillId="0" borderId="8" xfId="10" applyFont="1" applyBorder="1" applyAlignment="1">
      <alignment horizontal="center"/>
    </xf>
    <xf numFmtId="0" fontId="37" fillId="0" borderId="3" xfId="10" applyFont="1" applyBorder="1" applyAlignment="1">
      <alignment horizontal="center" wrapText="1"/>
    </xf>
    <xf numFmtId="166" fontId="37" fillId="0" borderId="3" xfId="11" applyNumberFormat="1" applyFont="1" applyBorder="1" applyAlignment="1">
      <alignment horizontal="center" wrapText="1"/>
    </xf>
    <xf numFmtId="0" fontId="76" fillId="0" borderId="8" xfId="0" applyFont="1" applyBorder="1" applyAlignment="1">
      <alignment vertical="center" wrapText="1"/>
    </xf>
    <xf numFmtId="0" fontId="76" fillId="0" borderId="3" xfId="0" applyFont="1" applyBorder="1" applyAlignment="1">
      <alignment vertical="center" wrapText="1"/>
    </xf>
    <xf numFmtId="0" fontId="76" fillId="0" borderId="12" xfId="0" applyFont="1" applyBorder="1" applyAlignment="1">
      <alignment vertical="center" wrapText="1"/>
    </xf>
    <xf numFmtId="166" fontId="77" fillId="0" borderId="21" xfId="11" applyNumberFormat="1" applyFont="1" applyBorder="1" applyAlignment="1">
      <alignment horizontal="center" vertical="center" wrapText="1"/>
    </xf>
    <xf numFmtId="166" fontId="77" fillId="0" borderId="23" xfId="11" applyNumberFormat="1" applyFont="1" applyBorder="1" applyAlignment="1">
      <alignment horizontal="center" vertical="center" wrapText="1"/>
    </xf>
    <xf numFmtId="0" fontId="77" fillId="0" borderId="3" xfId="10" applyFont="1" applyBorder="1" applyAlignment="1">
      <alignment vertical="center" wrapText="1"/>
    </xf>
    <xf numFmtId="0" fontId="77" fillId="0" borderId="12" xfId="10" applyFont="1" applyBorder="1" applyAlignment="1">
      <alignment vertical="center" wrapText="1"/>
    </xf>
    <xf numFmtId="0" fontId="77" fillId="0" borderId="3" xfId="1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77" fillId="0" borderId="3" xfId="11" applyFont="1" applyBorder="1" applyAlignment="1">
      <alignment vertical="center" wrapText="1"/>
    </xf>
    <xf numFmtId="165" fontId="77" fillId="0" borderId="12" xfId="11" applyFont="1" applyBorder="1" applyAlignment="1">
      <alignment vertical="center" wrapText="1"/>
    </xf>
    <xf numFmtId="165" fontId="77" fillId="0" borderId="3" xfId="11" applyNumberFormat="1" applyFont="1" applyBorder="1" applyAlignment="1">
      <alignment vertical="center" wrapText="1"/>
    </xf>
    <xf numFmtId="165" fontId="77" fillId="0" borderId="12" xfId="11" applyNumberFormat="1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80" fillId="0" borderId="43" xfId="0" applyFont="1" applyBorder="1" applyAlignment="1">
      <alignment horizontal="center"/>
    </xf>
    <xf numFmtId="0" fontId="80" fillId="0" borderId="48" xfId="0" applyFont="1" applyBorder="1" applyAlignment="1">
      <alignment horizontal="center"/>
    </xf>
    <xf numFmtId="0" fontId="80" fillId="0" borderId="49" xfId="0" applyFont="1" applyBorder="1" applyAlignment="1">
      <alignment horizontal="center"/>
    </xf>
    <xf numFmtId="0" fontId="80" fillId="0" borderId="65" xfId="0" applyFont="1" applyBorder="1" applyAlignment="1">
      <alignment horizontal="center"/>
    </xf>
    <xf numFmtId="0" fontId="80" fillId="0" borderId="6" xfId="0" applyFont="1" applyBorder="1" applyAlignment="1">
      <alignment horizontal="center"/>
    </xf>
    <xf numFmtId="0" fontId="80" fillId="0" borderId="66" xfId="0" applyFont="1" applyBorder="1" applyAlignment="1">
      <alignment horizontal="center"/>
    </xf>
    <xf numFmtId="0" fontId="90" fillId="0" borderId="0" xfId="0" applyFont="1" applyAlignment="1" applyProtection="1">
      <alignment horizontal="center" vertical="center" wrapText="1"/>
      <protection locked="0"/>
    </xf>
    <xf numFmtId="0" fontId="85" fillId="0" borderId="50" xfId="0" applyFont="1" applyBorder="1" applyAlignment="1">
      <alignment horizontal="center" vertical="center" wrapText="1"/>
    </xf>
    <xf numFmtId="0" fontId="85" fillId="0" borderId="52" xfId="0" applyFont="1" applyBorder="1" applyAlignment="1">
      <alignment horizontal="center" vertical="center" wrapText="1"/>
    </xf>
    <xf numFmtId="0" fontId="85" fillId="0" borderId="53" xfId="0" applyFont="1" applyBorder="1" applyAlignment="1">
      <alignment horizontal="center" vertical="center" wrapText="1"/>
    </xf>
    <xf numFmtId="0" fontId="85" fillId="0" borderId="40" xfId="0" applyFont="1" applyBorder="1" applyAlignment="1">
      <alignment horizontal="center" vertical="center" wrapText="1"/>
    </xf>
    <xf numFmtId="0" fontId="85" fillId="0" borderId="35" xfId="0" applyFont="1" applyBorder="1" applyAlignment="1">
      <alignment horizontal="center" vertical="center" wrapText="1"/>
    </xf>
    <xf numFmtId="0" fontId="85" fillId="0" borderId="54" xfId="0" applyFont="1" applyBorder="1" applyAlignment="1">
      <alignment horizontal="center" vertical="center" wrapText="1"/>
    </xf>
    <xf numFmtId="0" fontId="85" fillId="0" borderId="51" xfId="0" applyFont="1" applyBorder="1" applyAlignment="1">
      <alignment horizontal="center" vertical="center" wrapText="1"/>
    </xf>
    <xf numFmtId="0" fontId="85" fillId="0" borderId="30" xfId="0" applyFont="1" applyBorder="1" applyAlignment="1">
      <alignment horizontal="center" vertical="center" wrapText="1"/>
    </xf>
    <xf numFmtId="0" fontId="85" fillId="0" borderId="63" xfId="0" applyFont="1" applyBorder="1" applyAlignment="1">
      <alignment horizontal="center" vertical="center" wrapText="1"/>
    </xf>
    <xf numFmtId="0" fontId="85" fillId="0" borderId="37" xfId="0" applyFont="1" applyBorder="1" applyAlignment="1">
      <alignment horizontal="center" vertical="center" wrapText="1"/>
    </xf>
    <xf numFmtId="0" fontId="85" fillId="0" borderId="38" xfId="0" applyFont="1" applyBorder="1" applyAlignment="1">
      <alignment horizontal="center" vertical="center" wrapText="1"/>
    </xf>
    <xf numFmtId="0" fontId="85" fillId="0" borderId="27" xfId="0" applyFont="1" applyBorder="1" applyAlignment="1">
      <alignment horizontal="center" vertical="center" wrapText="1"/>
    </xf>
    <xf numFmtId="0" fontId="85" fillId="0" borderId="17" xfId="0" applyFont="1" applyBorder="1" applyAlignment="1">
      <alignment horizontal="center" vertical="center" wrapText="1"/>
    </xf>
    <xf numFmtId="0" fontId="85" fillId="0" borderId="0" xfId="0" applyFont="1" applyBorder="1" applyAlignment="1">
      <alignment horizontal="center" vertical="center" wrapText="1"/>
    </xf>
    <xf numFmtId="0" fontId="85" fillId="0" borderId="29" xfId="0" applyFont="1" applyBorder="1" applyAlignment="1">
      <alignment horizontal="center" vertical="center" wrapText="1"/>
    </xf>
    <xf numFmtId="0" fontId="88" fillId="0" borderId="3" xfId="12" applyFont="1" applyBorder="1" applyAlignment="1">
      <alignment horizontal="center" textRotation="90"/>
    </xf>
    <xf numFmtId="0" fontId="88" fillId="0" borderId="4" xfId="12" applyFont="1" applyBorder="1" applyAlignment="1">
      <alignment horizontal="center"/>
    </xf>
    <xf numFmtId="0" fontId="88" fillId="0" borderId="16" xfId="12" applyFont="1" applyBorder="1" applyAlignment="1">
      <alignment horizontal="center"/>
    </xf>
    <xf numFmtId="0" fontId="88" fillId="0" borderId="4" xfId="12" applyFont="1" applyBorder="1" applyAlignment="1">
      <alignment horizontal="center" wrapText="1"/>
    </xf>
    <xf numFmtId="0" fontId="88" fillId="0" borderId="16" xfId="12" applyFont="1" applyBorder="1" applyAlignment="1">
      <alignment horizontal="center" wrapText="1"/>
    </xf>
    <xf numFmtId="0" fontId="0" fillId="0" borderId="2" xfId="0" applyBorder="1"/>
    <xf numFmtId="0" fontId="0" fillId="0" borderId="15" xfId="0" applyBorder="1"/>
    <xf numFmtId="0" fontId="88" fillId="0" borderId="3" xfId="12" applyFont="1" applyBorder="1" applyAlignment="1">
      <alignment horizontal="center"/>
    </xf>
    <xf numFmtId="0" fontId="144" fillId="2" borderId="3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11" fillId="0" borderId="0" xfId="0" applyFont="1" applyAlignment="1">
      <alignment horizontal="center" wrapText="1"/>
    </xf>
    <xf numFmtId="0" fontId="0" fillId="0" borderId="0" xfId="0"/>
    <xf numFmtId="166" fontId="0" fillId="0" borderId="3" xfId="1" applyNumberFormat="1" applyFont="1" applyBorder="1" applyAlignment="1">
      <alignment horizontal="center"/>
    </xf>
    <xf numFmtId="0" fontId="101" fillId="0" borderId="3" xfId="0" applyFont="1" applyBorder="1" applyAlignment="1">
      <alignment horizontal="center" wrapText="1"/>
    </xf>
  </cellXfs>
  <cellStyles count="18">
    <cellStyle name="Ezres" xfId="1" builtinId="3"/>
    <cellStyle name="Ezres 2" xfId="7" xr:uid="{00000000-0005-0000-0000-000001000000}"/>
    <cellStyle name="Ezres 3" xfId="5" xr:uid="{00000000-0005-0000-0000-000002000000}"/>
    <cellStyle name="Ezres 4 2" xfId="11" xr:uid="{00000000-0005-0000-0000-000003000000}"/>
    <cellStyle name="Normál" xfId="0" builtinId="0"/>
    <cellStyle name="Normál 2" xfId="9" xr:uid="{00000000-0005-0000-0000-000005000000}"/>
    <cellStyle name="Normál 2 2" xfId="16" xr:uid="{00000000-0005-0000-0000-000006000000}"/>
    <cellStyle name="Normál 2 3" xfId="15" xr:uid="{00000000-0005-0000-0000-000007000000}"/>
    <cellStyle name="Normál 3" xfId="8" xr:uid="{00000000-0005-0000-0000-000008000000}"/>
    <cellStyle name="Normál 4" xfId="17" xr:uid="{2324062D-800A-4108-86D9-CA168EC2A5F9}"/>
    <cellStyle name="Normál 6" xfId="14" xr:uid="{00000000-0005-0000-0000-000009000000}"/>
    <cellStyle name="Normál_2012létszám tábla" xfId="10" xr:uid="{00000000-0005-0000-0000-00000A000000}"/>
    <cellStyle name="Normál_3.eredeti  2009. évi költségvetés 2-13 mell." xfId="12" xr:uid="{00000000-0005-0000-0000-00000B000000}"/>
    <cellStyle name="Pénznem" xfId="2" builtinId="4"/>
    <cellStyle name="Pénznem 2" xfId="4" xr:uid="{00000000-0005-0000-0000-00000D000000}"/>
    <cellStyle name="Pénznem 3" xfId="6" xr:uid="{00000000-0005-0000-0000-00000E000000}"/>
    <cellStyle name="Százalék" xfId="13" builtinId="5"/>
    <cellStyle name="TableStyleLight1" xfId="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BL28"/>
  <sheetViews>
    <sheetView view="pageBreakPreview" zoomScaleNormal="100" zoomScaleSheetLayoutView="100" workbookViewId="0">
      <pane xSplit="2" ySplit="8" topLeftCell="AY9" activePane="bottomRight" state="frozen"/>
      <selection activeCell="P20" sqref="P20"/>
      <selection pane="topRight" activeCell="P20" sqref="P20"/>
      <selection pane="bottomLeft" activeCell="P20" sqref="P20"/>
      <selection pane="bottomRight" activeCell="BJ1" sqref="BJ1:BJ1048576"/>
    </sheetView>
  </sheetViews>
  <sheetFormatPr defaultRowHeight="14.5" x14ac:dyDescent="0.35"/>
  <cols>
    <col min="1" max="1" width="30" customWidth="1"/>
    <col min="3" max="8" width="18" hidden="1" customWidth="1"/>
    <col min="9" max="9" width="16.54296875" customWidth="1"/>
    <col min="10" max="11" width="20" hidden="1" customWidth="1"/>
    <col min="12" max="12" width="17.453125" hidden="1" customWidth="1"/>
    <col min="13" max="14" width="20" hidden="1" customWidth="1"/>
    <col min="15" max="15" width="17.453125" hidden="1" customWidth="1"/>
    <col min="16" max="18" width="17.453125" style="532" customWidth="1"/>
    <col min="19" max="19" width="15.26953125" bestFit="1" customWidth="1"/>
    <col min="20" max="21" width="24.453125" hidden="1" customWidth="1"/>
    <col min="22" max="22" width="16.81640625" hidden="1" customWidth="1"/>
    <col min="23" max="24" width="24.453125" hidden="1" customWidth="1"/>
    <col min="25" max="25" width="17.81640625" hidden="1" customWidth="1"/>
    <col min="26" max="28" width="17.81640625" style="532" customWidth="1"/>
    <col min="29" max="29" width="24.453125" customWidth="1"/>
    <col min="30" max="30" width="24.453125" style="532" hidden="1" customWidth="1"/>
    <col min="31" max="32" width="24.453125" style="532" customWidth="1"/>
    <col min="33" max="33" width="27.54296875" customWidth="1"/>
    <col min="35" max="36" width="18.26953125" hidden="1" customWidth="1"/>
    <col min="37" max="40" width="17.54296875" hidden="1" customWidth="1"/>
    <col min="41" max="41" width="17.54296875" style="269" customWidth="1"/>
    <col min="42" max="47" width="17.54296875" hidden="1" customWidth="1"/>
    <col min="48" max="48" width="17.54296875" style="532" customWidth="1"/>
    <col min="49" max="49" width="17.54296875" style="532" hidden="1" customWidth="1"/>
    <col min="50" max="50" width="17.54296875" style="532" customWidth="1"/>
    <col min="51" max="51" width="17.54296875" customWidth="1"/>
    <col min="52" max="57" width="17.54296875" hidden="1" customWidth="1"/>
    <col min="58" max="58" width="17.54296875" style="532" hidden="1" customWidth="1"/>
    <col min="59" max="60" width="17.54296875" style="532" customWidth="1"/>
    <col min="61" max="61" width="17.54296875" customWidth="1"/>
    <col min="62" max="62" width="18.81640625" hidden="1" customWidth="1"/>
    <col min="63" max="63" width="19.54296875" customWidth="1"/>
    <col min="64" max="64" width="20.26953125" customWidth="1"/>
  </cols>
  <sheetData>
    <row r="1" spans="1:64" x14ac:dyDescent="0.35">
      <c r="A1" t="s">
        <v>448</v>
      </c>
    </row>
    <row r="3" spans="1:64" x14ac:dyDescent="0.35">
      <c r="A3" s="1128" t="s">
        <v>937</v>
      </c>
      <c r="B3" s="1128"/>
      <c r="C3" s="1128"/>
      <c r="D3" s="1128"/>
      <c r="E3" s="1128"/>
      <c r="F3" s="1128"/>
      <c r="G3" s="1128"/>
      <c r="H3" s="1128"/>
      <c r="I3" s="1128"/>
      <c r="J3" s="1128"/>
      <c r="K3" s="1128"/>
      <c r="L3" s="1128"/>
      <c r="M3" s="1128"/>
      <c r="N3" s="1128"/>
      <c r="O3" s="1128"/>
      <c r="P3" s="1128"/>
      <c r="Q3" s="1128"/>
      <c r="R3" s="1128"/>
      <c r="S3" s="1128"/>
      <c r="T3" s="1128"/>
      <c r="U3" s="1128"/>
      <c r="V3" s="1128"/>
      <c r="W3" s="1128"/>
      <c r="X3" s="1128"/>
      <c r="Y3" s="1128"/>
      <c r="Z3" s="1128"/>
      <c r="AA3" s="1128"/>
      <c r="AB3" s="1128"/>
      <c r="AC3" s="1128"/>
      <c r="AD3" s="1128"/>
      <c r="AE3" s="1128"/>
      <c r="AF3" s="1128"/>
      <c r="AG3" s="1128"/>
      <c r="AH3" s="1128"/>
      <c r="AI3" s="1128"/>
      <c r="AJ3" s="1128"/>
      <c r="AK3" s="1128"/>
      <c r="AL3" s="1128"/>
      <c r="AM3" s="1128"/>
      <c r="AN3" s="1128"/>
      <c r="AO3" s="1128"/>
      <c r="AP3" s="1128"/>
      <c r="AQ3" s="1128"/>
      <c r="AR3" s="1128"/>
      <c r="AS3" s="1128"/>
      <c r="AT3" s="1128"/>
      <c r="AU3" s="1128"/>
      <c r="AV3" s="1128"/>
      <c r="AW3" s="1128"/>
      <c r="AX3" s="1128"/>
      <c r="AY3" s="1128"/>
      <c r="AZ3" s="1128"/>
    </row>
    <row r="4" spans="1:64" ht="43.5" customHeight="1" x14ac:dyDescent="0.35">
      <c r="A4" s="1128"/>
      <c r="B4" s="1128"/>
      <c r="C4" s="1128"/>
      <c r="D4" s="1128"/>
      <c r="E4" s="1128"/>
      <c r="F4" s="1128"/>
      <c r="G4" s="1128"/>
      <c r="H4" s="1128"/>
      <c r="I4" s="1128"/>
      <c r="J4" s="1128"/>
      <c r="K4" s="1128"/>
      <c r="L4" s="1128"/>
      <c r="M4" s="1128"/>
      <c r="N4" s="1128"/>
      <c r="O4" s="1128"/>
      <c r="P4" s="1128"/>
      <c r="Q4" s="1128"/>
      <c r="R4" s="1128"/>
      <c r="S4" s="1128"/>
      <c r="T4" s="1128"/>
      <c r="U4" s="1128"/>
      <c r="V4" s="1128"/>
      <c r="W4" s="1128"/>
      <c r="X4" s="1128"/>
      <c r="Y4" s="1128"/>
      <c r="Z4" s="1128"/>
      <c r="AA4" s="1128"/>
      <c r="AB4" s="1128"/>
      <c r="AC4" s="1128"/>
      <c r="AD4" s="1128"/>
      <c r="AE4" s="1128"/>
      <c r="AF4" s="1128"/>
      <c r="AG4" s="1128"/>
      <c r="AH4" s="1128"/>
      <c r="AI4" s="1128"/>
      <c r="AJ4" s="1128"/>
      <c r="AK4" s="1128"/>
      <c r="AL4" s="1128"/>
      <c r="AM4" s="1128"/>
      <c r="AN4" s="1128"/>
      <c r="AO4" s="1128"/>
      <c r="AP4" s="1128"/>
      <c r="AQ4" s="1128"/>
      <c r="AR4" s="1128"/>
      <c r="AS4" s="1128"/>
      <c r="AT4" s="1128"/>
      <c r="AU4" s="1128"/>
      <c r="AV4" s="1128"/>
      <c r="AW4" s="1128"/>
      <c r="AX4" s="1128"/>
      <c r="AY4" s="1128"/>
      <c r="AZ4" s="1128"/>
    </row>
    <row r="5" spans="1:64" x14ac:dyDescent="0.35">
      <c r="AY5" s="15" t="s">
        <v>316</v>
      </c>
    </row>
    <row r="6" spans="1:64" ht="17.5" x14ac:dyDescent="0.35">
      <c r="A6" s="1135" t="s">
        <v>341</v>
      </c>
      <c r="B6" s="1136"/>
      <c r="C6" s="1136"/>
      <c r="D6" s="1136"/>
      <c r="E6" s="1136"/>
      <c r="F6" s="1136"/>
      <c r="G6" s="1136"/>
      <c r="H6" s="1136"/>
      <c r="I6" s="1136"/>
      <c r="J6" s="1136"/>
      <c r="K6" s="1136"/>
      <c r="L6" s="1136"/>
      <c r="M6" s="1136"/>
      <c r="N6" s="1136"/>
      <c r="O6" s="1136"/>
      <c r="P6" s="1136"/>
      <c r="Q6" s="1136"/>
      <c r="R6" s="1136"/>
      <c r="S6" s="1136"/>
      <c r="T6" s="1136"/>
      <c r="U6" s="1136"/>
      <c r="V6" s="1136"/>
      <c r="W6" s="1136"/>
      <c r="X6" s="1136"/>
      <c r="Y6" s="1136"/>
      <c r="Z6" s="1136"/>
      <c r="AA6" s="1136"/>
      <c r="AB6" s="1136"/>
      <c r="AC6" s="1136"/>
      <c r="AD6" s="1136"/>
      <c r="AE6" s="1136"/>
      <c r="AF6" s="1137"/>
      <c r="AG6" s="1138" t="s">
        <v>342</v>
      </c>
      <c r="AH6" s="1139"/>
      <c r="AI6" s="1139"/>
      <c r="AJ6" s="1139"/>
      <c r="AK6" s="1139"/>
      <c r="AL6" s="1139"/>
      <c r="AM6" s="1139"/>
      <c r="AN6" s="1139"/>
      <c r="AO6" s="1139"/>
      <c r="AP6" s="1139"/>
      <c r="AQ6" s="1139"/>
      <c r="AR6" s="1139"/>
      <c r="AS6" s="1139"/>
      <c r="AT6" s="1139"/>
      <c r="AU6" s="1139"/>
      <c r="AV6" s="1139"/>
      <c r="AW6" s="1139"/>
      <c r="AX6" s="1139"/>
      <c r="AY6" s="1139"/>
      <c r="AZ6" s="1139"/>
      <c r="BA6" s="1139"/>
      <c r="BB6" s="1139"/>
      <c r="BC6" s="1139"/>
      <c r="BD6" s="1139"/>
      <c r="BE6" s="1139"/>
      <c r="BF6" s="1139"/>
      <c r="BG6" s="1139"/>
      <c r="BH6" s="1139"/>
      <c r="BI6" s="1139"/>
      <c r="BJ6" s="1139"/>
      <c r="BK6" s="1139"/>
      <c r="BL6" s="1139"/>
    </row>
    <row r="7" spans="1:64" ht="25.5" customHeight="1" x14ac:dyDescent="0.35">
      <c r="A7" s="1129" t="s">
        <v>343</v>
      </c>
      <c r="B7" s="1130" t="s">
        <v>3</v>
      </c>
      <c r="C7" s="1132" t="s">
        <v>344</v>
      </c>
      <c r="D7" s="1133"/>
      <c r="E7" s="1133"/>
      <c r="F7" s="1133"/>
      <c r="G7" s="1133"/>
      <c r="H7" s="1133"/>
      <c r="I7" s="1133"/>
      <c r="J7" s="1133"/>
      <c r="K7" s="1133"/>
      <c r="L7" s="1133"/>
      <c r="M7" s="1133"/>
      <c r="N7" s="1133"/>
      <c r="O7" s="1133"/>
      <c r="P7" s="1133"/>
      <c r="Q7" s="1133"/>
      <c r="R7" s="1133"/>
      <c r="S7" s="1132" t="s">
        <v>1021</v>
      </c>
      <c r="T7" s="1133"/>
      <c r="U7" s="1133"/>
      <c r="V7" s="1133"/>
      <c r="W7" s="1133"/>
      <c r="X7" s="1133"/>
      <c r="Y7" s="1133"/>
      <c r="Z7" s="1133"/>
      <c r="AA7" s="1133"/>
      <c r="AB7" s="1133"/>
      <c r="AC7" s="1132" t="s">
        <v>4</v>
      </c>
      <c r="AD7" s="1133"/>
      <c r="AE7" s="1133"/>
      <c r="AF7" s="1134"/>
      <c r="AG7" s="1131" t="s">
        <v>2</v>
      </c>
      <c r="AH7" s="1131" t="s">
        <v>3</v>
      </c>
      <c r="AI7" s="1132" t="s">
        <v>344</v>
      </c>
      <c r="AJ7" s="1133"/>
      <c r="AK7" s="1133"/>
      <c r="AL7" s="1133"/>
      <c r="AM7" s="1133"/>
      <c r="AN7" s="1133"/>
      <c r="AO7" s="1133"/>
      <c r="AP7" s="1133"/>
      <c r="AQ7" s="1133"/>
      <c r="AR7" s="1133"/>
      <c r="AS7" s="1133"/>
      <c r="AT7" s="1133"/>
      <c r="AU7" s="1133"/>
      <c r="AV7" s="1133"/>
      <c r="AW7" s="1133"/>
      <c r="AX7" s="1134"/>
      <c r="AY7" s="1131" t="s">
        <v>1021</v>
      </c>
      <c r="AZ7" s="1131"/>
      <c r="BA7" s="1131"/>
      <c r="BB7" s="1131"/>
      <c r="BC7" s="1131"/>
      <c r="BD7" s="1131"/>
      <c r="BE7" s="1131"/>
      <c r="BF7" s="1131"/>
      <c r="BG7" s="1131"/>
      <c r="BH7" s="1131"/>
      <c r="BI7" s="1131" t="s">
        <v>4</v>
      </c>
      <c r="BJ7" s="1131"/>
      <c r="BK7" s="1131"/>
      <c r="BL7" s="1131"/>
    </row>
    <row r="8" spans="1:64" ht="42" customHeight="1" x14ac:dyDescent="0.35">
      <c r="A8" s="1129"/>
      <c r="B8" s="1130"/>
      <c r="C8" s="125" t="s">
        <v>839</v>
      </c>
      <c r="D8" s="125" t="s">
        <v>687</v>
      </c>
      <c r="E8" s="125" t="s">
        <v>811</v>
      </c>
      <c r="F8" s="125" t="s">
        <v>868</v>
      </c>
      <c r="G8" s="125" t="s">
        <v>869</v>
      </c>
      <c r="H8" s="125" t="s">
        <v>867</v>
      </c>
      <c r="I8" s="125" t="s">
        <v>968</v>
      </c>
      <c r="J8" s="125" t="s">
        <v>839</v>
      </c>
      <c r="K8" s="125" t="s">
        <v>687</v>
      </c>
      <c r="L8" s="125" t="s">
        <v>811</v>
      </c>
      <c r="M8" s="125" t="s">
        <v>868</v>
      </c>
      <c r="N8" s="125" t="s">
        <v>869</v>
      </c>
      <c r="O8" s="125" t="s">
        <v>867</v>
      </c>
      <c r="P8" s="874" t="s">
        <v>1020</v>
      </c>
      <c r="Q8" s="874" t="s">
        <v>679</v>
      </c>
      <c r="R8" s="874" t="s">
        <v>673</v>
      </c>
      <c r="S8" s="125" t="s">
        <v>968</v>
      </c>
      <c r="T8" s="125" t="s">
        <v>839</v>
      </c>
      <c r="U8" s="125" t="s">
        <v>687</v>
      </c>
      <c r="V8" s="125" t="s">
        <v>811</v>
      </c>
      <c r="W8" s="125" t="s">
        <v>868</v>
      </c>
      <c r="X8" s="125" t="s">
        <v>869</v>
      </c>
      <c r="Y8" s="125" t="s">
        <v>867</v>
      </c>
      <c r="Z8" s="874" t="s">
        <v>1020</v>
      </c>
      <c r="AA8" s="874" t="s">
        <v>679</v>
      </c>
      <c r="AB8" s="874" t="s">
        <v>673</v>
      </c>
      <c r="AC8" s="125" t="s">
        <v>968</v>
      </c>
      <c r="AD8" s="874" t="s">
        <v>1020</v>
      </c>
      <c r="AE8" s="874" t="s">
        <v>679</v>
      </c>
      <c r="AF8" s="874" t="s">
        <v>673</v>
      </c>
      <c r="AG8" s="1131"/>
      <c r="AH8" s="1131"/>
      <c r="AI8" s="125" t="s">
        <v>839</v>
      </c>
      <c r="AJ8" s="125" t="s">
        <v>687</v>
      </c>
      <c r="AK8" s="125" t="s">
        <v>811</v>
      </c>
      <c r="AL8" s="125" t="s">
        <v>868</v>
      </c>
      <c r="AM8" s="125" t="s">
        <v>869</v>
      </c>
      <c r="AN8" s="125" t="s">
        <v>867</v>
      </c>
      <c r="AO8" s="125" t="s">
        <v>968</v>
      </c>
      <c r="AP8" s="125" t="s">
        <v>839</v>
      </c>
      <c r="AQ8" s="125" t="s">
        <v>687</v>
      </c>
      <c r="AR8" s="125" t="s">
        <v>811</v>
      </c>
      <c r="AS8" s="125" t="s">
        <v>868</v>
      </c>
      <c r="AT8" s="125" t="s">
        <v>869</v>
      </c>
      <c r="AU8" s="125" t="s">
        <v>867</v>
      </c>
      <c r="AV8" s="874" t="s">
        <v>1020</v>
      </c>
      <c r="AW8" s="874" t="s">
        <v>679</v>
      </c>
      <c r="AX8" s="874" t="s">
        <v>673</v>
      </c>
      <c r="AY8" s="874" t="s">
        <v>901</v>
      </c>
      <c r="AZ8" s="874" t="s">
        <v>839</v>
      </c>
      <c r="BA8" s="874" t="s">
        <v>687</v>
      </c>
      <c r="BB8" s="874" t="s">
        <v>811</v>
      </c>
      <c r="BC8" s="874" t="s">
        <v>868</v>
      </c>
      <c r="BD8" s="874" t="s">
        <v>869</v>
      </c>
      <c r="BE8" s="874" t="s">
        <v>867</v>
      </c>
      <c r="BF8" s="874" t="s">
        <v>1020</v>
      </c>
      <c r="BG8" s="874" t="s">
        <v>679</v>
      </c>
      <c r="BH8" s="874" t="s">
        <v>673</v>
      </c>
      <c r="BI8" s="874" t="s">
        <v>901</v>
      </c>
      <c r="BJ8" s="874" t="s">
        <v>1020</v>
      </c>
      <c r="BK8" s="874" t="s">
        <v>679</v>
      </c>
      <c r="BL8" s="874" t="s">
        <v>673</v>
      </c>
    </row>
    <row r="9" spans="1:64" ht="28.5" x14ac:dyDescent="0.35">
      <c r="A9" s="126" t="s">
        <v>345</v>
      </c>
      <c r="B9" s="127" t="s">
        <v>346</v>
      </c>
      <c r="C9" s="128">
        <f>'Mérleg szintű ÖK'!C8</f>
        <v>115421018</v>
      </c>
      <c r="D9" s="128">
        <f>'Mérleg szintű ÖK'!D8</f>
        <v>116663817</v>
      </c>
      <c r="E9" s="128">
        <f>'Mérleg szintű ÖK'!E8</f>
        <v>111050028</v>
      </c>
      <c r="F9" s="128">
        <f>'Mérleg szintű ÖK'!F8</f>
        <v>5970250</v>
      </c>
      <c r="G9" s="128">
        <f>'Mérleg szintű ÖK'!G8</f>
        <v>117020278</v>
      </c>
      <c r="H9" s="128">
        <f>'Mérleg szintű ÖK'!H8</f>
        <v>104281315</v>
      </c>
      <c r="I9" s="128">
        <f>'Mérleg szintű ÖK'!I8</f>
        <v>124480067</v>
      </c>
      <c r="J9" s="128"/>
      <c r="K9" s="128"/>
      <c r="L9" s="128"/>
      <c r="M9" s="128"/>
      <c r="N9" s="128">
        <f>L9+M9</f>
        <v>0</v>
      </c>
      <c r="O9" s="128"/>
      <c r="P9" s="128">
        <f>'Mérleg szintű ÖK'!J8</f>
        <v>11957259</v>
      </c>
      <c r="Q9" s="128">
        <f>'Mérleg szintű ÖK'!K8</f>
        <v>136437326</v>
      </c>
      <c r="R9" s="128">
        <f>'Mérleg szintű ÖK'!L8</f>
        <v>136437326</v>
      </c>
      <c r="S9" s="728"/>
      <c r="T9" s="128">
        <f t="shared" ref="T9:Y13" si="0">SUM(C9,J9)</f>
        <v>115421018</v>
      </c>
      <c r="U9" s="128">
        <f t="shared" si="0"/>
        <v>116663817</v>
      </c>
      <c r="V9" s="128">
        <f t="shared" si="0"/>
        <v>111050028</v>
      </c>
      <c r="W9" s="128">
        <f t="shared" si="0"/>
        <v>5970250</v>
      </c>
      <c r="X9" s="128">
        <f t="shared" si="0"/>
        <v>117020278</v>
      </c>
      <c r="Y9" s="128">
        <f t="shared" si="0"/>
        <v>104281315</v>
      </c>
      <c r="Z9" s="128"/>
      <c r="AA9" s="128"/>
      <c r="AB9" s="128"/>
      <c r="AC9" s="128">
        <f t="shared" ref="AC9:AC19" si="1">I9+S9</f>
        <v>124480067</v>
      </c>
      <c r="AD9" s="128">
        <f>P9+Z9</f>
        <v>11957259</v>
      </c>
      <c r="AE9" s="128">
        <f>Q9+AA9</f>
        <v>136437326</v>
      </c>
      <c r="AF9" s="128">
        <f>R9+AB9</f>
        <v>136437326</v>
      </c>
      <c r="AG9" s="152" t="s">
        <v>347</v>
      </c>
      <c r="AH9" s="129" t="s">
        <v>39</v>
      </c>
      <c r="AI9" s="596">
        <f>'Mérleg szintű ÖK'!O8</f>
        <v>12411118</v>
      </c>
      <c r="AJ9" s="596">
        <f>'Mérleg szintű ÖK'!P8</f>
        <v>15864479</v>
      </c>
      <c r="AK9" s="596">
        <f>'Mérleg szintű ÖK'!Q8</f>
        <v>16878220</v>
      </c>
      <c r="AL9" s="596">
        <f>'Mérleg szintű ÖK'!R8</f>
        <v>3025503</v>
      </c>
      <c r="AM9" s="596">
        <f>'Mérleg szintű ÖK'!S8</f>
        <v>19903723</v>
      </c>
      <c r="AN9" s="596">
        <f>'Mérleg szintű ÖK'!T8</f>
        <v>19903723</v>
      </c>
      <c r="AO9" s="596">
        <f>'Mérleg szintű ÖK'!U8</f>
        <v>16878220</v>
      </c>
      <c r="AP9" s="596">
        <f>'Intézményi összesen'!T8</f>
        <v>68967306</v>
      </c>
      <c r="AQ9" s="596">
        <f>'Intézményi összesen'!U8</f>
        <v>69900616</v>
      </c>
      <c r="AR9" s="596">
        <f>'Intézményi összesen'!V8</f>
        <v>68000887</v>
      </c>
      <c r="AS9" s="596">
        <f>'Intézményi összesen'!W8</f>
        <v>2148820</v>
      </c>
      <c r="AT9" s="596">
        <f>'Intézményi összesen'!X8</f>
        <v>70149707</v>
      </c>
      <c r="AU9" s="596">
        <f>'Intézményi összesen'!Y8</f>
        <v>55631675</v>
      </c>
      <c r="AV9" s="596">
        <f>'Mérleg szintű ÖK'!V8</f>
        <v>3025503</v>
      </c>
      <c r="AW9" s="596">
        <f>'Mérleg szintű ÖK'!W8</f>
        <v>19903723</v>
      </c>
      <c r="AX9" s="596">
        <f>'Mérleg szintű ÖK'!X8</f>
        <v>19903723</v>
      </c>
      <c r="AY9" s="596">
        <f>'Intézményi összesen'!AC8</f>
        <v>72402926</v>
      </c>
      <c r="AZ9" s="50">
        <f t="shared" ref="AZ9:BE13" si="2">SUM(AI9,AP9)</f>
        <v>81378424</v>
      </c>
      <c r="BA9" s="50">
        <f t="shared" si="2"/>
        <v>85765095</v>
      </c>
      <c r="BB9" s="50">
        <f t="shared" si="2"/>
        <v>84879107</v>
      </c>
      <c r="BC9" s="50">
        <f t="shared" si="2"/>
        <v>5174323</v>
      </c>
      <c r="BD9" s="50">
        <f t="shared" si="2"/>
        <v>90053430</v>
      </c>
      <c r="BE9" s="50">
        <f t="shared" si="2"/>
        <v>75535398</v>
      </c>
      <c r="BF9" s="50">
        <f>'Intézményi összesen'!AD8</f>
        <v>-2518692</v>
      </c>
      <c r="BG9" s="50">
        <f>'Intézményi összesen'!AE8</f>
        <v>69884234</v>
      </c>
      <c r="BH9" s="50">
        <f>'Intézményi összesen'!AF8</f>
        <v>69884234</v>
      </c>
      <c r="BI9" s="128">
        <f t="shared" ref="BI9:BI27" si="3">AO9+AY9</f>
        <v>89281146</v>
      </c>
      <c r="BJ9" s="508">
        <f>AV9+BF9</f>
        <v>506811</v>
      </c>
      <c r="BK9" s="507">
        <f>AW9+BG9</f>
        <v>89787957</v>
      </c>
      <c r="BL9" s="507">
        <f>AX9+BH9</f>
        <v>89787957</v>
      </c>
    </row>
    <row r="10" spans="1:64" ht="56.25" customHeight="1" x14ac:dyDescent="0.35">
      <c r="A10" s="126" t="s">
        <v>348</v>
      </c>
      <c r="B10" s="127" t="s">
        <v>227</v>
      </c>
      <c r="C10" s="128">
        <f>'Mérleg szintű ÖK'!C9</f>
        <v>6165726</v>
      </c>
      <c r="D10" s="128">
        <f>'Mérleg szintű ÖK'!D9</f>
        <v>9903506</v>
      </c>
      <c r="E10" s="128">
        <f>'Mérleg szintű ÖK'!E9</f>
        <v>6725904</v>
      </c>
      <c r="F10" s="128">
        <f>'Mérleg szintű ÖK'!F9</f>
        <v>12773276</v>
      </c>
      <c r="G10" s="128">
        <f>'Mérleg szintű ÖK'!G9</f>
        <v>19499180</v>
      </c>
      <c r="H10" s="128">
        <f>'Mérleg szintű ÖK'!H9</f>
        <v>19599180</v>
      </c>
      <c r="I10" s="128">
        <f>'Mérleg szintű ÖK'!I9</f>
        <v>9950550</v>
      </c>
      <c r="J10" s="128"/>
      <c r="K10" s="128">
        <f>'Intézményi összesen'!U14</f>
        <v>1365583</v>
      </c>
      <c r="L10" s="128"/>
      <c r="M10" s="128">
        <f>'Intézményi összesen'!W14</f>
        <v>2175232</v>
      </c>
      <c r="N10" s="128">
        <f t="shared" ref="N10:N17" si="4">L10+M10</f>
        <v>2175232</v>
      </c>
      <c r="O10" s="128">
        <f>'Intézményi összesen'!Y14</f>
        <v>2010732</v>
      </c>
      <c r="P10" s="128">
        <f>'Mérleg szintű ÖK'!J9</f>
        <v>8143341</v>
      </c>
      <c r="Q10" s="128">
        <f>'Mérleg szintű ÖK'!K9</f>
        <v>18093891</v>
      </c>
      <c r="R10" s="128">
        <f>'Mérleg szintű ÖK'!L9</f>
        <v>18093891</v>
      </c>
      <c r="S10" s="728">
        <f>'Intézményi összesen'!AC14</f>
        <v>0</v>
      </c>
      <c r="T10" s="128">
        <f t="shared" si="0"/>
        <v>6165726</v>
      </c>
      <c r="U10" s="128">
        <f t="shared" si="0"/>
        <v>11269089</v>
      </c>
      <c r="V10" s="128">
        <f t="shared" si="0"/>
        <v>6725904</v>
      </c>
      <c r="W10" s="128">
        <f t="shared" si="0"/>
        <v>14948508</v>
      </c>
      <c r="X10" s="128">
        <f t="shared" si="0"/>
        <v>21674412</v>
      </c>
      <c r="Y10" s="128">
        <f t="shared" si="0"/>
        <v>21609912</v>
      </c>
      <c r="Z10" s="128">
        <f>'Intézményi összesen'!AD14</f>
        <v>458826</v>
      </c>
      <c r="AA10" s="128">
        <f>'Intézményi összesen'!AE14</f>
        <v>458826</v>
      </c>
      <c r="AB10" s="128">
        <f>'Intézményi összesen'!AF14</f>
        <v>458826</v>
      </c>
      <c r="AC10" s="128">
        <f t="shared" si="1"/>
        <v>9950550</v>
      </c>
      <c r="AD10" s="128">
        <f t="shared" ref="AD10:AD17" si="5">P10+Z10</f>
        <v>8602167</v>
      </c>
      <c r="AE10" s="128">
        <f t="shared" ref="AE10:AE17" si="6">Q10+AA10</f>
        <v>18552717</v>
      </c>
      <c r="AF10" s="128">
        <f t="shared" ref="AF10:AF17" si="7">R10+AB10</f>
        <v>18552717</v>
      </c>
      <c r="AG10" s="152" t="s">
        <v>349</v>
      </c>
      <c r="AH10" s="130" t="s">
        <v>41</v>
      </c>
      <c r="AI10" s="596">
        <f>'Mérleg szintű ÖK'!O9</f>
        <v>2316809</v>
      </c>
      <c r="AJ10" s="596">
        <f>'Mérleg szintű ÖK'!P9</f>
        <v>2750847</v>
      </c>
      <c r="AK10" s="596">
        <f>'Mérleg szintű ÖK'!Q9</f>
        <v>3058086.875</v>
      </c>
      <c r="AL10" s="596">
        <f>'Mérleg szintű ÖK'!R9</f>
        <v>63844.125000000058</v>
      </c>
      <c r="AM10" s="596">
        <f>'Mérleg szintű ÖK'!S9</f>
        <v>3121931</v>
      </c>
      <c r="AN10" s="596">
        <f>'Mérleg szintű ÖK'!T9</f>
        <v>3121931</v>
      </c>
      <c r="AO10" s="596">
        <f>'Mérleg szintű ÖK'!U9</f>
        <v>3058086.875</v>
      </c>
      <c r="AP10" s="596">
        <f>'Intézményi összesen'!T9</f>
        <v>14125170.800000001</v>
      </c>
      <c r="AQ10" s="596">
        <f>'Intézményi összesen'!U9</f>
        <v>14223100.800000001</v>
      </c>
      <c r="AR10" s="596">
        <f>'Intézményi összesen'!V9</f>
        <v>12161898.120000001</v>
      </c>
      <c r="AS10" s="596">
        <f>'Intézményi összesen'!W9</f>
        <v>549778</v>
      </c>
      <c r="AT10" s="596">
        <f>'Intézményi összesen'!X9</f>
        <v>12711676.120000001</v>
      </c>
      <c r="AU10" s="596">
        <f>'Intézményi összesen'!Y9</f>
        <v>10660489</v>
      </c>
      <c r="AV10" s="596">
        <f>'Mérleg szintű ÖK'!V9</f>
        <v>63844.125</v>
      </c>
      <c r="AW10" s="596">
        <f>'Mérleg szintű ÖK'!W9</f>
        <v>3121931</v>
      </c>
      <c r="AX10" s="596">
        <f>'Mérleg szintű ÖK'!X9</f>
        <v>3121931</v>
      </c>
      <c r="AY10" s="596">
        <f>'Intézményi összesen'!AC9</f>
        <v>13060812.050000001</v>
      </c>
      <c r="AZ10" s="50">
        <f t="shared" si="2"/>
        <v>16441979.800000001</v>
      </c>
      <c r="BA10" s="50">
        <f t="shared" si="2"/>
        <v>16973947.800000001</v>
      </c>
      <c r="BB10" s="50">
        <f t="shared" si="2"/>
        <v>15219984.995000001</v>
      </c>
      <c r="BC10" s="50">
        <f t="shared" si="2"/>
        <v>613622.125</v>
      </c>
      <c r="BD10" s="50">
        <f t="shared" si="2"/>
        <v>15833607.120000001</v>
      </c>
      <c r="BE10" s="50">
        <f t="shared" si="2"/>
        <v>13782420</v>
      </c>
      <c r="BF10" s="50">
        <f>'Intézményi összesen'!AD9</f>
        <v>-1187632.0499999998</v>
      </c>
      <c r="BG10" s="50">
        <f>'Intézményi összesen'!AE9</f>
        <v>11873180</v>
      </c>
      <c r="BH10" s="50">
        <f>'Intézményi összesen'!AF9</f>
        <v>11873180</v>
      </c>
      <c r="BI10" s="128">
        <f t="shared" ref="BI10:BI17" si="8">AO10+AY10</f>
        <v>16118898.925000001</v>
      </c>
      <c r="BJ10" s="508">
        <f t="shared" ref="BJ10:BJ17" si="9">AV10+BF10</f>
        <v>-1123787.9249999998</v>
      </c>
      <c r="BK10" s="507">
        <f t="shared" ref="BK10:BK17" si="10">AW10+BG10</f>
        <v>14995111</v>
      </c>
      <c r="BL10" s="507">
        <f t="shared" ref="BL10:BL17" si="11">AX10+BH10</f>
        <v>14995111</v>
      </c>
    </row>
    <row r="11" spans="1:64" ht="56.25" customHeight="1" x14ac:dyDescent="0.35">
      <c r="A11" s="333" t="s">
        <v>350</v>
      </c>
      <c r="B11" s="358" t="s">
        <v>351</v>
      </c>
      <c r="C11" s="729">
        <f>'Mérleg szintű ÖK'!C10</f>
        <v>121586744</v>
      </c>
      <c r="D11" s="729">
        <f>'Mérleg szintű ÖK'!D10</f>
        <v>126567323</v>
      </c>
      <c r="E11" s="729">
        <f>'Mérleg szintű ÖK'!E10</f>
        <v>117775932</v>
      </c>
      <c r="F11" s="729">
        <f>'Mérleg szintű ÖK'!F10</f>
        <v>18743526</v>
      </c>
      <c r="G11" s="729">
        <f>'Mérleg szintű ÖK'!G10</f>
        <v>136519458</v>
      </c>
      <c r="H11" s="729">
        <f>'Mérleg szintű ÖK'!H10</f>
        <v>123880495</v>
      </c>
      <c r="I11" s="729">
        <f>'Mérleg szintű ÖK'!I10</f>
        <v>134430617</v>
      </c>
      <c r="J11" s="730">
        <f>SUM(J9:J10)</f>
        <v>0</v>
      </c>
      <c r="K11" s="730">
        <f t="shared" ref="K11" si="12">SUM(K9:K10)</f>
        <v>1365583</v>
      </c>
      <c r="L11" s="729">
        <f>SUM(L9:L10)</f>
        <v>0</v>
      </c>
      <c r="M11" s="729">
        <f t="shared" ref="M11:AB11" si="13">SUM(M9:M10)</f>
        <v>2175232</v>
      </c>
      <c r="N11" s="729">
        <f t="shared" si="13"/>
        <v>2175232</v>
      </c>
      <c r="O11" s="729">
        <f t="shared" si="13"/>
        <v>2010732</v>
      </c>
      <c r="P11" s="729">
        <f>SUM(P9:P10)</f>
        <v>20100600</v>
      </c>
      <c r="Q11" s="729">
        <f t="shared" ref="Q11:R11" si="14">SUM(Q9:Q10)</f>
        <v>154531217</v>
      </c>
      <c r="R11" s="729">
        <f t="shared" si="14"/>
        <v>154531217</v>
      </c>
      <c r="S11" s="729">
        <f t="shared" si="13"/>
        <v>0</v>
      </c>
      <c r="T11" s="729">
        <f t="shared" si="13"/>
        <v>121586744</v>
      </c>
      <c r="U11" s="729">
        <f t="shared" si="13"/>
        <v>127932906</v>
      </c>
      <c r="V11" s="729">
        <f t="shared" si="13"/>
        <v>117775932</v>
      </c>
      <c r="W11" s="729">
        <f t="shared" si="13"/>
        <v>20918758</v>
      </c>
      <c r="X11" s="729">
        <f t="shared" si="13"/>
        <v>138694690</v>
      </c>
      <c r="Y11" s="729">
        <f t="shared" si="13"/>
        <v>125891227</v>
      </c>
      <c r="Z11" s="729">
        <f t="shared" si="13"/>
        <v>458826</v>
      </c>
      <c r="AA11" s="729">
        <f t="shared" si="13"/>
        <v>458826</v>
      </c>
      <c r="AB11" s="729">
        <f t="shared" si="13"/>
        <v>458826</v>
      </c>
      <c r="AC11" s="729">
        <f t="shared" si="1"/>
        <v>134430617</v>
      </c>
      <c r="AD11" s="128">
        <f t="shared" si="5"/>
        <v>20559426</v>
      </c>
      <c r="AE11" s="128">
        <f t="shared" si="6"/>
        <v>154990043</v>
      </c>
      <c r="AF11" s="128">
        <f t="shared" si="7"/>
        <v>154990043</v>
      </c>
      <c r="AG11" s="152" t="s">
        <v>352</v>
      </c>
      <c r="AH11" s="129" t="s">
        <v>119</v>
      </c>
      <c r="AI11" s="596">
        <f>'Mérleg szintű ÖK'!O10</f>
        <v>51252490</v>
      </c>
      <c r="AJ11" s="596">
        <f>'Mérleg szintű ÖK'!P10</f>
        <v>54532600</v>
      </c>
      <c r="AK11" s="596">
        <f>'Mérleg szintű ÖK'!Q10</f>
        <v>65023699.039999999</v>
      </c>
      <c r="AL11" s="596">
        <f>'Mérleg szintű ÖK'!R10</f>
        <v>-4815258.0399999991</v>
      </c>
      <c r="AM11" s="596">
        <f>'Mérleg szintű ÖK'!S10</f>
        <v>59947941</v>
      </c>
      <c r="AN11" s="596">
        <f>'Mérleg szintű ÖK'!T10</f>
        <v>59687441</v>
      </c>
      <c r="AO11" s="596">
        <f>'Mérleg szintű ÖK'!U10</f>
        <v>65023699.039999999</v>
      </c>
      <c r="AP11" s="596">
        <f>'Intézményi összesen'!T10</f>
        <v>11621000</v>
      </c>
      <c r="AQ11" s="596">
        <f>'Intézményi összesen'!U10</f>
        <v>12074302</v>
      </c>
      <c r="AR11" s="596">
        <f>'Intézményi összesen'!V10</f>
        <v>12111820</v>
      </c>
      <c r="AS11" s="596">
        <f>'Intézményi összesen'!W10</f>
        <v>1515150</v>
      </c>
      <c r="AT11" s="596">
        <f>'Intézményi összesen'!X10</f>
        <v>13626970</v>
      </c>
      <c r="AU11" s="596">
        <f>'Intézményi összesen'!Y10</f>
        <v>7769956</v>
      </c>
      <c r="AV11" s="596">
        <f>'Mérleg szintű ÖK'!V10</f>
        <v>-5168018.0399999991</v>
      </c>
      <c r="AW11" s="596">
        <f>'Mérleg szintű ÖK'!W10</f>
        <v>59947942</v>
      </c>
      <c r="AX11" s="596">
        <f>'Mérleg szintű ÖK'!X10</f>
        <v>59687441</v>
      </c>
      <c r="AY11" s="596">
        <f>'Intézményi összesen'!AC10</f>
        <v>12876116</v>
      </c>
      <c r="AZ11" s="50">
        <f t="shared" si="2"/>
        <v>62873490</v>
      </c>
      <c r="BA11" s="50">
        <f t="shared" si="2"/>
        <v>66606902</v>
      </c>
      <c r="BB11" s="50">
        <f t="shared" si="2"/>
        <v>77135519.039999992</v>
      </c>
      <c r="BC11" s="50">
        <f t="shared" si="2"/>
        <v>-3300108.0399999991</v>
      </c>
      <c r="BD11" s="50">
        <f t="shared" si="2"/>
        <v>73574911</v>
      </c>
      <c r="BE11" s="50">
        <f t="shared" si="2"/>
        <v>67457397</v>
      </c>
      <c r="BF11" s="50">
        <f>'Intézményi összesen'!AD10</f>
        <v>-96719</v>
      </c>
      <c r="BG11" s="50">
        <f>'Intézményi összesen'!AE10</f>
        <v>12779397</v>
      </c>
      <c r="BH11" s="50">
        <f>'Intézményi összesen'!AF10</f>
        <v>10454712</v>
      </c>
      <c r="BI11" s="128">
        <f t="shared" si="8"/>
        <v>77899815.039999992</v>
      </c>
      <c r="BJ11" s="508">
        <f t="shared" si="9"/>
        <v>-5264737.0399999991</v>
      </c>
      <c r="BK11" s="507">
        <f t="shared" si="10"/>
        <v>72727339</v>
      </c>
      <c r="BL11" s="507">
        <f t="shared" si="11"/>
        <v>70142153</v>
      </c>
    </row>
    <row r="12" spans="1:64" ht="44.25" customHeight="1" x14ac:dyDescent="0.35">
      <c r="A12" s="126" t="s">
        <v>353</v>
      </c>
      <c r="B12" s="127" t="s">
        <v>354</v>
      </c>
      <c r="C12" s="128">
        <f>'Mérleg szintű ÖK'!C11</f>
        <v>0</v>
      </c>
      <c r="D12" s="128">
        <f>'Mérleg szintű ÖK'!D11</f>
        <v>14186552</v>
      </c>
      <c r="E12" s="128">
        <f>'Mérleg szintű ÖK'!E11</f>
        <v>0</v>
      </c>
      <c r="F12" s="128">
        <f>'Mérleg szintű ÖK'!F11</f>
        <v>26770116</v>
      </c>
      <c r="G12" s="128">
        <f>'Mérleg szintű ÖK'!G11</f>
        <v>26770116</v>
      </c>
      <c r="H12" s="128">
        <f>'Mérleg szintű ÖK'!H11</f>
        <v>26770116</v>
      </c>
      <c r="I12" s="128">
        <f>'Mérleg szintű ÖK'!I11</f>
        <v>28832000</v>
      </c>
      <c r="J12" s="131"/>
      <c r="K12" s="131"/>
      <c r="L12" s="131"/>
      <c r="M12" s="131"/>
      <c r="N12" s="128">
        <f t="shared" si="4"/>
        <v>0</v>
      </c>
      <c r="O12" s="131"/>
      <c r="P12" s="131">
        <f>'Mérleg szintű ÖK'!J11</f>
        <v>137914193</v>
      </c>
      <c r="Q12" s="131">
        <f>'Mérleg szintű ÖK'!K11</f>
        <v>166746193</v>
      </c>
      <c r="R12" s="131">
        <f>'Mérleg szintű ÖK'!L11</f>
        <v>166746193</v>
      </c>
      <c r="S12" s="728"/>
      <c r="T12" s="128">
        <f t="shared" si="0"/>
        <v>0</v>
      </c>
      <c r="U12" s="128">
        <f t="shared" si="0"/>
        <v>14186552</v>
      </c>
      <c r="V12" s="128">
        <f t="shared" si="0"/>
        <v>0</v>
      </c>
      <c r="W12" s="128">
        <f t="shared" si="0"/>
        <v>26770116</v>
      </c>
      <c r="X12" s="128">
        <f t="shared" si="0"/>
        <v>26770116</v>
      </c>
      <c r="Y12" s="128">
        <f t="shared" si="0"/>
        <v>26770116</v>
      </c>
      <c r="Z12" s="128"/>
      <c r="AA12" s="128"/>
      <c r="AB12" s="128"/>
      <c r="AC12" s="128">
        <f t="shared" si="1"/>
        <v>28832000</v>
      </c>
      <c r="AD12" s="128">
        <f t="shared" si="5"/>
        <v>137914193</v>
      </c>
      <c r="AE12" s="128">
        <f t="shared" si="6"/>
        <v>166746193</v>
      </c>
      <c r="AF12" s="128">
        <f t="shared" si="7"/>
        <v>166746193</v>
      </c>
      <c r="AG12" s="132" t="s">
        <v>355</v>
      </c>
      <c r="AH12" s="127" t="s">
        <v>356</v>
      </c>
      <c r="AI12" s="596">
        <f>'Mérleg szintű ÖK'!O11</f>
        <v>6230000</v>
      </c>
      <c r="AJ12" s="596">
        <f>'Mérleg szintű ÖK'!P11</f>
        <v>6230000</v>
      </c>
      <c r="AK12" s="596">
        <f>'Mérleg szintű ÖK'!Q11</f>
        <v>8220000</v>
      </c>
      <c r="AL12" s="596">
        <f>'Mérleg szintű ÖK'!R11</f>
        <v>-1642900</v>
      </c>
      <c r="AM12" s="596">
        <f>'Mérleg szintű ÖK'!S11</f>
        <v>6577100</v>
      </c>
      <c r="AN12" s="596">
        <f>'Mérleg szintű ÖK'!T11</f>
        <v>6568092</v>
      </c>
      <c r="AO12" s="596">
        <f>'Mérleg szintű ÖK'!U11</f>
        <v>8220000</v>
      </c>
      <c r="AP12" s="596">
        <v>0</v>
      </c>
      <c r="AQ12" s="596">
        <v>0</v>
      </c>
      <c r="AR12" s="596">
        <v>0</v>
      </c>
      <c r="AS12" s="596">
        <v>0</v>
      </c>
      <c r="AT12" s="596">
        <v>0</v>
      </c>
      <c r="AU12" s="596">
        <v>0</v>
      </c>
      <c r="AV12" s="596">
        <f>'Mérleg szintű ÖK'!V11</f>
        <v>-1642900</v>
      </c>
      <c r="AW12" s="596">
        <f>'Mérleg szintű ÖK'!W11</f>
        <v>6577100</v>
      </c>
      <c r="AX12" s="596">
        <f>'Mérleg szintű ÖK'!X11</f>
        <v>6568092</v>
      </c>
      <c r="AY12" s="596"/>
      <c r="AZ12" s="50">
        <f t="shared" si="2"/>
        <v>6230000</v>
      </c>
      <c r="BA12" s="50">
        <f t="shared" si="2"/>
        <v>6230000</v>
      </c>
      <c r="BB12" s="50">
        <f t="shared" si="2"/>
        <v>8220000</v>
      </c>
      <c r="BC12" s="50">
        <f t="shared" si="2"/>
        <v>-1642900</v>
      </c>
      <c r="BD12" s="50">
        <f t="shared" si="2"/>
        <v>6577100</v>
      </c>
      <c r="BE12" s="50">
        <f t="shared" si="2"/>
        <v>6568092</v>
      </c>
      <c r="BF12" s="50"/>
      <c r="BG12" s="50"/>
      <c r="BH12" s="50"/>
      <c r="BI12" s="128">
        <f t="shared" si="8"/>
        <v>8220000</v>
      </c>
      <c r="BJ12" s="508">
        <f t="shared" si="9"/>
        <v>-1642900</v>
      </c>
      <c r="BK12" s="507">
        <f t="shared" si="10"/>
        <v>6577100</v>
      </c>
      <c r="BL12" s="507">
        <f t="shared" si="11"/>
        <v>6568092</v>
      </c>
    </row>
    <row r="13" spans="1:64" ht="35.25" customHeight="1" x14ac:dyDescent="0.35">
      <c r="A13" s="126" t="s">
        <v>357</v>
      </c>
      <c r="B13" s="127" t="s">
        <v>358</v>
      </c>
      <c r="C13" s="128">
        <f>'Mérleg szintű ÖK'!C12</f>
        <v>61599700</v>
      </c>
      <c r="D13" s="128">
        <f>'Mérleg szintű ÖK'!D12</f>
        <v>61599700</v>
      </c>
      <c r="E13" s="128">
        <f>'Mérleg szintű ÖK'!E12</f>
        <v>65100000</v>
      </c>
      <c r="F13" s="128">
        <f>'Mérleg szintű ÖK'!F12</f>
        <v>230954</v>
      </c>
      <c r="G13" s="128">
        <f>'Mérleg szintű ÖK'!G12</f>
        <v>65330954</v>
      </c>
      <c r="H13" s="128">
        <f>'Mérleg szintű ÖK'!H12</f>
        <v>52218721</v>
      </c>
      <c r="I13" s="128">
        <f>'Mérleg szintű ÖK'!I12</f>
        <v>60000000</v>
      </c>
      <c r="J13" s="131"/>
      <c r="K13" s="131"/>
      <c r="L13" s="131"/>
      <c r="M13" s="131"/>
      <c r="N13" s="128">
        <f t="shared" si="4"/>
        <v>0</v>
      </c>
      <c r="O13" s="131"/>
      <c r="P13" s="131">
        <f>'Mérleg szintű ÖK'!J12</f>
        <v>-3375973</v>
      </c>
      <c r="Q13" s="131">
        <f>'Mérleg szintű ÖK'!K12</f>
        <v>56624027</v>
      </c>
      <c r="R13" s="131">
        <f>'Mérleg szintű ÖK'!L12</f>
        <v>56624027</v>
      </c>
      <c r="S13" s="728"/>
      <c r="T13" s="128">
        <f t="shared" si="0"/>
        <v>61599700</v>
      </c>
      <c r="U13" s="128">
        <f t="shared" si="0"/>
        <v>61599700</v>
      </c>
      <c r="V13" s="128">
        <f t="shared" si="0"/>
        <v>65100000</v>
      </c>
      <c r="W13" s="128">
        <f t="shared" si="0"/>
        <v>230954</v>
      </c>
      <c r="X13" s="128">
        <f t="shared" si="0"/>
        <v>65330954</v>
      </c>
      <c r="Y13" s="128">
        <f t="shared" si="0"/>
        <v>52218721</v>
      </c>
      <c r="Z13" s="128"/>
      <c r="AA13" s="128"/>
      <c r="AB13" s="128"/>
      <c r="AC13" s="128">
        <f t="shared" si="1"/>
        <v>60000000</v>
      </c>
      <c r="AD13" s="128">
        <f t="shared" si="5"/>
        <v>-3375973</v>
      </c>
      <c r="AE13" s="128">
        <f t="shared" si="6"/>
        <v>56624027</v>
      </c>
      <c r="AF13" s="128">
        <f t="shared" si="7"/>
        <v>56624027</v>
      </c>
      <c r="AG13" s="126" t="s">
        <v>965</v>
      </c>
      <c r="AH13" s="127" t="s">
        <v>359</v>
      </c>
      <c r="AI13" s="596">
        <f>'Mérleg szintű ÖK'!O12+'Mérleg szintű ÖK'!O13</f>
        <v>48375181</v>
      </c>
      <c r="AJ13" s="596">
        <f>'Mérleg szintű ÖK'!P12+'Mérleg szintű ÖK'!P13</f>
        <v>60717614</v>
      </c>
      <c r="AK13" s="596">
        <f>'Mérleg szintű ÖK'!Q12+'Mérleg szintű ÖK'!Q13</f>
        <v>66023703</v>
      </c>
      <c r="AL13" s="596">
        <f>'Mérleg szintű ÖK'!R12</f>
        <v>-4315239</v>
      </c>
      <c r="AM13" s="596">
        <f>'Mérleg szintű ÖK'!S12+'Mérleg szintű ÖK'!S13</f>
        <v>232028465</v>
      </c>
      <c r="AN13" s="596">
        <f>'Mérleg szintű ÖK'!T12</f>
        <v>20971535</v>
      </c>
      <c r="AO13" s="596">
        <f>'Mérleg szintű ÖK'!U12</f>
        <v>25286774</v>
      </c>
      <c r="AP13" s="596">
        <v>0</v>
      </c>
      <c r="AQ13" s="596">
        <v>0</v>
      </c>
      <c r="AR13" s="596">
        <v>0</v>
      </c>
      <c r="AS13" s="596"/>
      <c r="AT13" s="596"/>
      <c r="AU13" s="596"/>
      <c r="AV13" s="596">
        <f>'Mérleg szintű ÖK'!V12</f>
        <v>-4315239</v>
      </c>
      <c r="AW13" s="596">
        <f>'Mérleg szintű ÖK'!W12</f>
        <v>20971535</v>
      </c>
      <c r="AX13" s="596">
        <f>'Mérleg szintű ÖK'!X12</f>
        <v>20971535</v>
      </c>
      <c r="AY13" s="596"/>
      <c r="AZ13" s="50">
        <f t="shared" si="2"/>
        <v>48375181</v>
      </c>
      <c r="BA13" s="50">
        <f t="shared" si="2"/>
        <v>60717614</v>
      </c>
      <c r="BB13" s="50">
        <f t="shared" si="2"/>
        <v>66023703</v>
      </c>
      <c r="BC13" s="50">
        <f t="shared" si="2"/>
        <v>-4315239</v>
      </c>
      <c r="BD13" s="50">
        <f t="shared" si="2"/>
        <v>232028465</v>
      </c>
      <c r="BE13" s="50">
        <f t="shared" si="2"/>
        <v>20971535</v>
      </c>
      <c r="BF13" s="50"/>
      <c r="BG13" s="50"/>
      <c r="BH13" s="50"/>
      <c r="BI13" s="128">
        <f t="shared" si="8"/>
        <v>25286774</v>
      </c>
      <c r="BJ13" s="508">
        <f t="shared" si="9"/>
        <v>-4315239</v>
      </c>
      <c r="BK13" s="507">
        <f t="shared" si="10"/>
        <v>20971535</v>
      </c>
      <c r="BL13" s="507">
        <f t="shared" si="11"/>
        <v>20971535</v>
      </c>
    </row>
    <row r="14" spans="1:64" s="532" customFormat="1" ht="35.25" customHeight="1" x14ac:dyDescent="0.35">
      <c r="A14" s="126"/>
      <c r="B14" s="127"/>
      <c r="C14" s="128"/>
      <c r="D14" s="128"/>
      <c r="E14" s="128">
        <f>'Mérleg szintű ÖK'!E13</f>
        <v>0</v>
      </c>
      <c r="F14" s="128">
        <f>'Mérleg szintű ÖK'!F13</f>
        <v>0</v>
      </c>
      <c r="G14" s="128">
        <f>'Mérleg szintű ÖK'!G13</f>
        <v>0</v>
      </c>
      <c r="H14" s="128">
        <f>'Mérleg szintű ÖK'!H13</f>
        <v>0</v>
      </c>
      <c r="I14" s="128">
        <f>'Mérleg szintű ÖK'!I13</f>
        <v>0</v>
      </c>
      <c r="J14" s="131"/>
      <c r="K14" s="131"/>
      <c r="L14" s="131"/>
      <c r="M14" s="131"/>
      <c r="N14" s="128"/>
      <c r="O14" s="131"/>
      <c r="P14" s="131"/>
      <c r="Q14" s="131"/>
      <c r="R14" s="131"/>
      <c r="S14" s="728"/>
      <c r="T14" s="128"/>
      <c r="U14" s="128"/>
      <c r="V14" s="128"/>
      <c r="W14" s="128"/>
      <c r="X14" s="128"/>
      <c r="Y14" s="128"/>
      <c r="Z14" s="128"/>
      <c r="AA14" s="128"/>
      <c r="AB14" s="128"/>
      <c r="AC14" s="128">
        <f t="shared" si="1"/>
        <v>0</v>
      </c>
      <c r="AD14" s="128">
        <f t="shared" si="5"/>
        <v>0</v>
      </c>
      <c r="AE14" s="128">
        <f t="shared" si="6"/>
        <v>0</v>
      </c>
      <c r="AF14" s="128">
        <f t="shared" si="7"/>
        <v>0</v>
      </c>
      <c r="AG14" s="126" t="s">
        <v>552</v>
      </c>
      <c r="AH14" s="127" t="s">
        <v>553</v>
      </c>
      <c r="AI14" s="596"/>
      <c r="AJ14" s="596"/>
      <c r="AK14" s="596"/>
      <c r="AL14" s="596"/>
      <c r="AM14" s="596"/>
      <c r="AN14" s="596">
        <f>'Mérleg szintű ÖK'!T13</f>
        <v>0</v>
      </c>
      <c r="AO14" s="596">
        <f>'Mérleg szintű ÖK'!U13</f>
        <v>40736929</v>
      </c>
      <c r="AP14" s="596"/>
      <c r="AQ14" s="596"/>
      <c r="AR14" s="596"/>
      <c r="AS14" s="596"/>
      <c r="AT14" s="596"/>
      <c r="AU14" s="596"/>
      <c r="AV14" s="596">
        <f>'Mérleg szintű ÖK'!V13</f>
        <v>170320002</v>
      </c>
      <c r="AW14" s="596">
        <f>'Mérleg szintű ÖK'!W13</f>
        <v>211056931</v>
      </c>
      <c r="AX14" s="596">
        <f>'Mérleg szintű ÖK'!X13</f>
        <v>0</v>
      </c>
      <c r="AY14" s="596"/>
      <c r="AZ14" s="50"/>
      <c r="BA14" s="50"/>
      <c r="BB14" s="50"/>
      <c r="BC14" s="50"/>
      <c r="BD14" s="50"/>
      <c r="BE14" s="50"/>
      <c r="BF14" s="50"/>
      <c r="BG14" s="50"/>
      <c r="BH14" s="50"/>
      <c r="BI14" s="128">
        <f t="shared" si="8"/>
        <v>40736929</v>
      </c>
      <c r="BJ14" s="508">
        <f t="shared" si="9"/>
        <v>170320002</v>
      </c>
      <c r="BK14" s="507">
        <f t="shared" si="10"/>
        <v>211056931</v>
      </c>
      <c r="BL14" s="507">
        <f t="shared" si="11"/>
        <v>0</v>
      </c>
    </row>
    <row r="15" spans="1:64" ht="37.5" customHeight="1" x14ac:dyDescent="0.35">
      <c r="A15" s="126" t="s">
        <v>360</v>
      </c>
      <c r="B15" s="127" t="s">
        <v>361</v>
      </c>
      <c r="C15" s="128">
        <f>'Mérleg szintű ÖK'!C14</f>
        <v>13264434</v>
      </c>
      <c r="D15" s="128">
        <f>'Mérleg szintű ÖK'!D14</f>
        <v>28073164</v>
      </c>
      <c r="E15" s="128">
        <f>'Mérleg szintű ÖK'!E14</f>
        <v>20874330.760000002</v>
      </c>
      <c r="F15" s="128">
        <f>'Mérleg szintű ÖK'!F14</f>
        <v>15684945</v>
      </c>
      <c r="G15" s="128">
        <f>'Mérleg szintű ÖK'!G14</f>
        <v>36559275.760000005</v>
      </c>
      <c r="H15" s="128">
        <f>'Mérleg szintű ÖK'!H14</f>
        <v>33328111</v>
      </c>
      <c r="I15" s="128">
        <f>'Mérleg szintű ÖK'!I14</f>
        <v>23833460.68</v>
      </c>
      <c r="J15" s="128">
        <f>'Intézményi összesen'!T15</f>
        <v>60000</v>
      </c>
      <c r="K15" s="128">
        <f>'Intézményi összesen'!U15</f>
        <v>60000</v>
      </c>
      <c r="L15" s="128">
        <f>'Intézményi összesen'!V15</f>
        <v>0</v>
      </c>
      <c r="M15" s="128"/>
      <c r="N15" s="128">
        <f t="shared" si="4"/>
        <v>0</v>
      </c>
      <c r="O15" s="128">
        <f>'Intézményi összesen'!Y15</f>
        <v>237512</v>
      </c>
      <c r="P15" s="128">
        <f>'Saját bevételek'!M24</f>
        <v>-2111947.1900000004</v>
      </c>
      <c r="Q15" s="128">
        <f>'Saját bevételek'!N24</f>
        <v>21813775</v>
      </c>
      <c r="R15" s="128">
        <f>'Saját bevételek'!O24</f>
        <v>21813775</v>
      </c>
      <c r="S15" s="728">
        <f>'Intézményi összesen'!AC15</f>
        <v>0</v>
      </c>
      <c r="T15" s="128">
        <f t="shared" ref="T15:Y17" si="15">SUM(C15,J15)</f>
        <v>13324434</v>
      </c>
      <c r="U15" s="128">
        <f t="shared" si="15"/>
        <v>28133164</v>
      </c>
      <c r="V15" s="128">
        <f t="shared" si="15"/>
        <v>20874330.760000002</v>
      </c>
      <c r="W15" s="128">
        <f t="shared" si="15"/>
        <v>15684945</v>
      </c>
      <c r="X15" s="128">
        <f t="shared" si="15"/>
        <v>36559275.760000005</v>
      </c>
      <c r="Y15" s="128">
        <f t="shared" si="15"/>
        <v>33565623</v>
      </c>
      <c r="Z15" s="128">
        <f>'Intézményi összesen'!AD15</f>
        <v>195280</v>
      </c>
      <c r="AA15" s="128">
        <f>'Intézményi összesen'!AE15</f>
        <v>195280</v>
      </c>
      <c r="AB15" s="128">
        <f>'Intézményi összesen'!AF15</f>
        <v>195280</v>
      </c>
      <c r="AC15" s="128">
        <f t="shared" si="1"/>
        <v>23833460.68</v>
      </c>
      <c r="AD15" s="128">
        <f t="shared" si="5"/>
        <v>-1916667.1900000004</v>
      </c>
      <c r="AE15" s="128">
        <f t="shared" si="6"/>
        <v>22009055</v>
      </c>
      <c r="AF15" s="128">
        <f t="shared" si="7"/>
        <v>22009055</v>
      </c>
      <c r="AG15" s="126" t="s">
        <v>134</v>
      </c>
      <c r="AH15" s="127" t="s">
        <v>135</v>
      </c>
      <c r="AI15" s="596">
        <f>'Mérleg szintű ÖK'!O14</f>
        <v>601485178</v>
      </c>
      <c r="AJ15" s="596">
        <f>'Mérleg szintű ÖK'!P14</f>
        <v>615671730</v>
      </c>
      <c r="AK15" s="596">
        <f>'Mérleg szintű ÖK'!Q14</f>
        <v>65647968</v>
      </c>
      <c r="AL15" s="596">
        <f>'Mérleg szintű ÖK'!R13</f>
        <v>170320002</v>
      </c>
      <c r="AM15" s="596">
        <f>'Mérleg szintű ÖK'!S14</f>
        <v>21259961</v>
      </c>
      <c r="AN15" s="596">
        <f>'Mérleg szintű ÖK'!T14</f>
        <v>21259961</v>
      </c>
      <c r="AO15" s="596">
        <f>'Mérleg szintű ÖK'!U14</f>
        <v>65647968</v>
      </c>
      <c r="AP15" s="596">
        <f>'Intézményi összesen'!T11</f>
        <v>347000</v>
      </c>
      <c r="AQ15" s="596">
        <f>'Intézményi összesen'!U11</f>
        <v>367002</v>
      </c>
      <c r="AR15" s="596">
        <f>'Intézményi összesen'!V11</f>
        <v>935000</v>
      </c>
      <c r="AS15" s="596">
        <f>'Intézményi összesen'!W11</f>
        <v>-65000</v>
      </c>
      <c r="AT15" s="596">
        <f>'Intézményi összesen'!X11</f>
        <v>870000</v>
      </c>
      <c r="AU15" s="596">
        <f>'Intézményi összesen'!Y11</f>
        <v>195745</v>
      </c>
      <c r="AV15" s="596">
        <f>'Mérleg szintű ÖK'!V14</f>
        <v>-44388007</v>
      </c>
      <c r="AW15" s="596">
        <f>'Mérleg szintű ÖK'!W14</f>
        <v>21259961</v>
      </c>
      <c r="AX15" s="596">
        <f>'Mérleg szintű ÖK'!X14</f>
        <v>21259961</v>
      </c>
      <c r="AY15" s="596">
        <f>'Intézményi összesen'!AC11</f>
        <v>1498600</v>
      </c>
      <c r="AZ15" s="50">
        <f t="shared" ref="AZ15:BE17" si="16">SUM(AI15,AP15)</f>
        <v>601832178</v>
      </c>
      <c r="BA15" s="50">
        <f t="shared" si="16"/>
        <v>616038732</v>
      </c>
      <c r="BB15" s="50">
        <f t="shared" si="16"/>
        <v>66582968</v>
      </c>
      <c r="BC15" s="50">
        <f t="shared" si="16"/>
        <v>170255002</v>
      </c>
      <c r="BD15" s="50">
        <f t="shared" si="16"/>
        <v>22129961</v>
      </c>
      <c r="BE15" s="50">
        <f t="shared" si="16"/>
        <v>21455706</v>
      </c>
      <c r="BF15" s="50">
        <f>'Intézményi összesen'!AD11</f>
        <v>6032260</v>
      </c>
      <c r="BG15" s="50">
        <f>'Intézményi összesen'!AE11</f>
        <v>7530860</v>
      </c>
      <c r="BH15" s="50">
        <f>'Intézményi összesen'!AF11</f>
        <v>7530860</v>
      </c>
      <c r="BI15" s="128">
        <f t="shared" si="8"/>
        <v>67146568</v>
      </c>
      <c r="BJ15" s="508">
        <f t="shared" si="9"/>
        <v>-38355747</v>
      </c>
      <c r="BK15" s="507">
        <f t="shared" si="10"/>
        <v>28790821</v>
      </c>
      <c r="BL15" s="507">
        <f t="shared" si="11"/>
        <v>28790821</v>
      </c>
    </row>
    <row r="16" spans="1:64" ht="27.75" customHeight="1" x14ac:dyDescent="0.35">
      <c r="A16" s="126" t="s">
        <v>1083</v>
      </c>
      <c r="B16" s="127" t="s">
        <v>1078</v>
      </c>
      <c r="C16" s="128">
        <f>'Mérleg szintű ÖK'!C15</f>
        <v>0</v>
      </c>
      <c r="D16" s="128">
        <f>'Mérleg szintű ÖK'!D15</f>
        <v>0</v>
      </c>
      <c r="E16" s="128">
        <f>'Mérleg szintű ÖK'!E15</f>
        <v>0</v>
      </c>
      <c r="F16" s="128">
        <f>'Mérleg szintű ÖK'!F15</f>
        <v>0</v>
      </c>
      <c r="G16" s="128">
        <f>'Mérleg szintű ÖK'!G15</f>
        <v>0</v>
      </c>
      <c r="H16" s="128">
        <f>'Mérleg szintű ÖK'!H15</f>
        <v>0</v>
      </c>
      <c r="I16" s="128">
        <f>'Mérleg szintű ÖK'!I15</f>
        <v>0</v>
      </c>
      <c r="J16" s="133"/>
      <c r="K16" s="133"/>
      <c r="L16" s="133"/>
      <c r="M16" s="133"/>
      <c r="N16" s="128">
        <f t="shared" si="4"/>
        <v>0</v>
      </c>
      <c r="O16" s="133"/>
      <c r="P16" s="133">
        <f>'Mérleg szintű ÖK'!J15</f>
        <v>734346</v>
      </c>
      <c r="Q16" s="133">
        <f>'Mérleg szintű ÖK'!K15</f>
        <v>734346</v>
      </c>
      <c r="R16" s="133">
        <f>'Mérleg szintű ÖK'!L15</f>
        <v>734346</v>
      </c>
      <c r="S16" s="728">
        <f>'Intézményi összesen'!AC16</f>
        <v>0</v>
      </c>
      <c r="T16" s="128">
        <f t="shared" si="15"/>
        <v>0</v>
      </c>
      <c r="U16" s="128">
        <f t="shared" si="15"/>
        <v>0</v>
      </c>
      <c r="V16" s="128">
        <f t="shared" si="15"/>
        <v>0</v>
      </c>
      <c r="W16" s="128">
        <f t="shared" si="15"/>
        <v>0</v>
      </c>
      <c r="X16" s="128">
        <f t="shared" si="15"/>
        <v>0</v>
      </c>
      <c r="Y16" s="128">
        <f t="shared" si="15"/>
        <v>0</v>
      </c>
      <c r="Z16" s="128"/>
      <c r="AA16" s="128"/>
      <c r="AB16" s="128"/>
      <c r="AC16" s="128">
        <f t="shared" si="1"/>
        <v>0</v>
      </c>
      <c r="AD16" s="128">
        <f t="shared" si="5"/>
        <v>734346</v>
      </c>
      <c r="AE16" s="128">
        <f t="shared" si="6"/>
        <v>734346</v>
      </c>
      <c r="AF16" s="128">
        <f t="shared" si="7"/>
        <v>734346</v>
      </c>
      <c r="AG16" s="126" t="s">
        <v>324</v>
      </c>
      <c r="AH16" s="127" t="s">
        <v>145</v>
      </c>
      <c r="AI16" s="596">
        <f>'Mérleg szintű ÖK'!O15</f>
        <v>92329000</v>
      </c>
      <c r="AJ16" s="596">
        <f>'Mérleg szintű ÖK'!P15</f>
        <v>92329000</v>
      </c>
      <c r="AK16" s="596">
        <f>'Mérleg szintű ÖK'!Q15</f>
        <v>4459000</v>
      </c>
      <c r="AL16" s="596">
        <f>'Mérleg szintű ÖK'!R14</f>
        <v>-44388007</v>
      </c>
      <c r="AM16" s="596">
        <f>'Mérleg szintű ÖK'!S15</f>
        <v>62654461</v>
      </c>
      <c r="AN16" s="596">
        <f>'Mérleg szintű ÖK'!T15</f>
        <v>51605461</v>
      </c>
      <c r="AO16" s="596">
        <f>'Mérleg szintű ÖK'!U15</f>
        <v>36145294</v>
      </c>
      <c r="AP16" s="596">
        <f>'Intézményi összesen'!T12</f>
        <v>0</v>
      </c>
      <c r="AQ16" s="596">
        <f>'Intézményi összesen'!U12</f>
        <v>0</v>
      </c>
      <c r="AR16" s="596">
        <f>'Intézményi összesen'!V12</f>
        <v>0</v>
      </c>
      <c r="AS16" s="596"/>
      <c r="AT16" s="596"/>
      <c r="AU16" s="596"/>
      <c r="AV16" s="596">
        <f>'Mérleg szintű ÖK'!V15</f>
        <v>26509167</v>
      </c>
      <c r="AW16" s="596">
        <f>'Mérleg szintű ÖK'!W15</f>
        <v>62654461</v>
      </c>
      <c r="AX16" s="596">
        <f>'Mérleg szintű ÖK'!X15</f>
        <v>51605461</v>
      </c>
      <c r="AY16" s="596">
        <f>'Intézményi összesen'!AC12</f>
        <v>0</v>
      </c>
      <c r="AZ16" s="50">
        <f t="shared" si="16"/>
        <v>92329000</v>
      </c>
      <c r="BA16" s="50">
        <f t="shared" si="16"/>
        <v>92329000</v>
      </c>
      <c r="BB16" s="50">
        <f t="shared" si="16"/>
        <v>4459000</v>
      </c>
      <c r="BC16" s="50">
        <f t="shared" si="16"/>
        <v>-44388007</v>
      </c>
      <c r="BD16" s="50">
        <f t="shared" si="16"/>
        <v>62654461</v>
      </c>
      <c r="BE16" s="50">
        <f t="shared" si="16"/>
        <v>51605461</v>
      </c>
      <c r="BF16" s="50"/>
      <c r="BG16" s="50"/>
      <c r="BH16" s="50"/>
      <c r="BI16" s="128">
        <f t="shared" si="8"/>
        <v>36145294</v>
      </c>
      <c r="BJ16" s="508">
        <f t="shared" si="9"/>
        <v>26509167</v>
      </c>
      <c r="BK16" s="507">
        <f t="shared" si="10"/>
        <v>62654461</v>
      </c>
      <c r="BL16" s="507">
        <f t="shared" si="11"/>
        <v>51605461</v>
      </c>
    </row>
    <row r="17" spans="1:64" ht="30.75" customHeight="1" x14ac:dyDescent="0.35">
      <c r="A17" s="126" t="s">
        <v>362</v>
      </c>
      <c r="B17" s="127" t="s">
        <v>363</v>
      </c>
      <c r="C17" s="128">
        <f>'Mérleg szintű ÖK'!C16</f>
        <v>0</v>
      </c>
      <c r="D17" s="128">
        <f>'Mérleg szintű ÖK'!D16</f>
        <v>0</v>
      </c>
      <c r="E17" s="128">
        <f>'Mérleg szintű ÖK'!E16</f>
        <v>0</v>
      </c>
      <c r="F17" s="128">
        <f>'Mérleg szintű ÖK'!F16</f>
        <v>0</v>
      </c>
      <c r="G17" s="128">
        <f>'Mérleg szintű ÖK'!G16</f>
        <v>0</v>
      </c>
      <c r="H17" s="128">
        <f>'Mérleg szintű ÖK'!H16</f>
        <v>0</v>
      </c>
      <c r="I17" s="128">
        <f>'Mérleg szintű ÖK'!I16</f>
        <v>0</v>
      </c>
      <c r="J17" s="133"/>
      <c r="K17" s="133"/>
      <c r="L17" s="133"/>
      <c r="M17" s="133"/>
      <c r="N17" s="128">
        <f t="shared" si="4"/>
        <v>0</v>
      </c>
      <c r="O17" s="133"/>
      <c r="P17" s="133"/>
      <c r="Q17" s="133"/>
      <c r="R17" s="133"/>
      <c r="S17" s="728"/>
      <c r="T17" s="128">
        <f t="shared" si="15"/>
        <v>0</v>
      </c>
      <c r="U17" s="128">
        <f t="shared" si="15"/>
        <v>0</v>
      </c>
      <c r="V17" s="128">
        <f t="shared" si="15"/>
        <v>0</v>
      </c>
      <c r="W17" s="128">
        <f t="shared" si="15"/>
        <v>0</v>
      </c>
      <c r="X17" s="128">
        <f t="shared" si="15"/>
        <v>0</v>
      </c>
      <c r="Y17" s="128">
        <f t="shared" si="15"/>
        <v>0</v>
      </c>
      <c r="Z17" s="128"/>
      <c r="AA17" s="128"/>
      <c r="AB17" s="128"/>
      <c r="AC17" s="128">
        <f t="shared" si="1"/>
        <v>0</v>
      </c>
      <c r="AD17" s="128">
        <f t="shared" si="5"/>
        <v>0</v>
      </c>
      <c r="AE17" s="128">
        <f t="shared" si="6"/>
        <v>0</v>
      </c>
      <c r="AF17" s="128">
        <f t="shared" si="7"/>
        <v>0</v>
      </c>
      <c r="AG17" s="3" t="s">
        <v>554</v>
      </c>
      <c r="AH17" s="1" t="s">
        <v>843</v>
      </c>
      <c r="AI17" s="596">
        <f>'Mérleg szintű ÖK'!O16</f>
        <v>1200000</v>
      </c>
      <c r="AJ17" s="596">
        <f>'Mérleg szintű ÖK'!P16</f>
        <v>1200000</v>
      </c>
      <c r="AK17" s="596">
        <f>'Mérleg szintű ÖK'!Q16</f>
        <v>0</v>
      </c>
      <c r="AL17" s="596">
        <f>'Mérleg szintű ÖK'!R15</f>
        <v>37558167</v>
      </c>
      <c r="AM17" s="596">
        <f>'Mérleg szintű ÖK'!S16</f>
        <v>0</v>
      </c>
      <c r="AN17" s="596">
        <f>'Mérleg szintű ÖK'!T16</f>
        <v>0</v>
      </c>
      <c r="AO17" s="596">
        <f>'Mérleg szintű ÖK'!U16</f>
        <v>0</v>
      </c>
      <c r="AP17" s="1"/>
      <c r="AQ17" s="1"/>
      <c r="AR17" s="1"/>
      <c r="AS17" s="1"/>
      <c r="AT17" s="1"/>
      <c r="AU17" s="1"/>
      <c r="AV17" s="1"/>
      <c r="AW17" s="1"/>
      <c r="AX17" s="1"/>
      <c r="AY17" s="521"/>
      <c r="AZ17" s="50">
        <f t="shared" si="16"/>
        <v>1200000</v>
      </c>
      <c r="BA17" s="50">
        <f t="shared" si="16"/>
        <v>1200000</v>
      </c>
      <c r="BB17" s="50">
        <f t="shared" si="16"/>
        <v>0</v>
      </c>
      <c r="BC17" s="50">
        <f t="shared" si="16"/>
        <v>37558167</v>
      </c>
      <c r="BD17" s="50">
        <f t="shared" si="16"/>
        <v>0</v>
      </c>
      <c r="BE17" s="50">
        <f t="shared" si="16"/>
        <v>0</v>
      </c>
      <c r="BF17" s="50"/>
      <c r="BG17" s="50"/>
      <c r="BH17" s="50"/>
      <c r="BI17" s="128">
        <f t="shared" si="8"/>
        <v>0</v>
      </c>
      <c r="BJ17" s="508">
        <f t="shared" si="9"/>
        <v>0</v>
      </c>
      <c r="BK17" s="507">
        <f t="shared" si="10"/>
        <v>0</v>
      </c>
      <c r="BL17" s="507">
        <f t="shared" si="11"/>
        <v>0</v>
      </c>
    </row>
    <row r="18" spans="1:64" x14ac:dyDescent="0.35">
      <c r="A18" s="134" t="s">
        <v>364</v>
      </c>
      <c r="B18" s="135" t="s">
        <v>365</v>
      </c>
      <c r="C18" s="136">
        <f>SUM(C11:C17)</f>
        <v>196450878</v>
      </c>
      <c r="D18" s="136">
        <f t="shared" ref="D18:H18" si="17">SUM(D11:D17)</f>
        <v>230426739</v>
      </c>
      <c r="E18" s="136">
        <f t="shared" si="17"/>
        <v>203750262.75999999</v>
      </c>
      <c r="F18" s="136">
        <f t="shared" si="17"/>
        <v>61429541</v>
      </c>
      <c r="G18" s="136">
        <f t="shared" si="17"/>
        <v>265179803.75999999</v>
      </c>
      <c r="H18" s="136">
        <f t="shared" si="17"/>
        <v>236197443</v>
      </c>
      <c r="I18" s="136">
        <f t="shared" ref="I18:R18" si="18">SUM(I11:I17)</f>
        <v>247096077.68000001</v>
      </c>
      <c r="J18" s="136">
        <f t="shared" si="18"/>
        <v>60000</v>
      </c>
      <c r="K18" s="136">
        <f t="shared" si="18"/>
        <v>1425583</v>
      </c>
      <c r="L18" s="136">
        <f t="shared" si="18"/>
        <v>0</v>
      </c>
      <c r="M18" s="136">
        <f t="shared" si="18"/>
        <v>2175232</v>
      </c>
      <c r="N18" s="136">
        <f t="shared" si="18"/>
        <v>2175232</v>
      </c>
      <c r="O18" s="136">
        <f t="shared" si="18"/>
        <v>2248244</v>
      </c>
      <c r="P18" s="136">
        <f t="shared" si="18"/>
        <v>153261218.81</v>
      </c>
      <c r="Q18" s="136">
        <f t="shared" si="18"/>
        <v>400449558</v>
      </c>
      <c r="R18" s="136">
        <f t="shared" si="18"/>
        <v>400449558</v>
      </c>
      <c r="S18" s="136">
        <f t="shared" ref="S18:AB18" si="19">SUM(S11:S17)</f>
        <v>0</v>
      </c>
      <c r="T18" s="136">
        <f t="shared" si="19"/>
        <v>196510878</v>
      </c>
      <c r="U18" s="136">
        <f t="shared" si="19"/>
        <v>231852322</v>
      </c>
      <c r="V18" s="136">
        <f t="shared" si="19"/>
        <v>203750262.75999999</v>
      </c>
      <c r="W18" s="136">
        <f t="shared" si="19"/>
        <v>63604773</v>
      </c>
      <c r="X18" s="136">
        <f t="shared" si="19"/>
        <v>267355035.75999999</v>
      </c>
      <c r="Y18" s="136">
        <f t="shared" si="19"/>
        <v>238445687</v>
      </c>
      <c r="Z18" s="136">
        <f t="shared" si="19"/>
        <v>654106</v>
      </c>
      <c r="AA18" s="136">
        <f t="shared" si="19"/>
        <v>654106</v>
      </c>
      <c r="AB18" s="136">
        <f t="shared" si="19"/>
        <v>654106</v>
      </c>
      <c r="AC18" s="136">
        <f t="shared" si="1"/>
        <v>247096077.68000001</v>
      </c>
      <c r="AD18" s="136">
        <f>SUM(AD11:AD17)</f>
        <v>153915324.81</v>
      </c>
      <c r="AE18" s="136">
        <f>SUM(AE11:AE17)</f>
        <v>401103664</v>
      </c>
      <c r="AF18" s="136">
        <f>SUM(AF11:AF17)</f>
        <v>401103664</v>
      </c>
      <c r="AG18" s="134" t="s">
        <v>366</v>
      </c>
      <c r="AH18" s="141"/>
      <c r="AI18" s="136">
        <f>SUM(AI9:AI17)</f>
        <v>815599776</v>
      </c>
      <c r="AJ18" s="136">
        <f t="shared" ref="AJ18:AX18" si="20">SUM(AJ9:AJ17)</f>
        <v>849296270</v>
      </c>
      <c r="AK18" s="136">
        <f t="shared" si="20"/>
        <v>229310676.91499999</v>
      </c>
      <c r="AL18" s="136">
        <f t="shared" si="20"/>
        <v>155806112.08500001</v>
      </c>
      <c r="AM18" s="136">
        <f t="shared" si="20"/>
        <v>405493582</v>
      </c>
      <c r="AN18" s="136">
        <f t="shared" si="20"/>
        <v>183118144</v>
      </c>
      <c r="AO18" s="136">
        <f t="shared" si="20"/>
        <v>260996970.91499999</v>
      </c>
      <c r="AP18" s="136">
        <f t="shared" si="20"/>
        <v>95060476.799999997</v>
      </c>
      <c r="AQ18" s="136">
        <f t="shared" si="20"/>
        <v>96565020.799999997</v>
      </c>
      <c r="AR18" s="136">
        <f t="shared" si="20"/>
        <v>93209605.120000005</v>
      </c>
      <c r="AS18" s="136">
        <f t="shared" si="20"/>
        <v>4148748</v>
      </c>
      <c r="AT18" s="136">
        <f t="shared" si="20"/>
        <v>97358353.120000005</v>
      </c>
      <c r="AU18" s="136">
        <f t="shared" si="20"/>
        <v>74257865</v>
      </c>
      <c r="AV18" s="136">
        <f t="shared" si="20"/>
        <v>144404352.08500001</v>
      </c>
      <c r="AW18" s="136">
        <f t="shared" si="20"/>
        <v>405493584</v>
      </c>
      <c r="AX18" s="136">
        <f t="shared" si="20"/>
        <v>183118144</v>
      </c>
      <c r="AY18" s="136">
        <f t="shared" ref="AY18:BH18" si="21">SUM(AY9:AY17)</f>
        <v>99838454.049999997</v>
      </c>
      <c r="AZ18" s="136">
        <f t="shared" si="21"/>
        <v>910660252.79999995</v>
      </c>
      <c r="BA18" s="136">
        <f t="shared" si="21"/>
        <v>945861290.79999995</v>
      </c>
      <c r="BB18" s="136">
        <f t="shared" si="21"/>
        <v>322520282.03499997</v>
      </c>
      <c r="BC18" s="136">
        <f t="shared" si="21"/>
        <v>159954860.08500001</v>
      </c>
      <c r="BD18" s="136">
        <f t="shared" si="21"/>
        <v>502851935.12</v>
      </c>
      <c r="BE18" s="136">
        <f t="shared" si="21"/>
        <v>257376009</v>
      </c>
      <c r="BF18" s="136">
        <f t="shared" si="21"/>
        <v>2229216.9500000002</v>
      </c>
      <c r="BG18" s="136">
        <f t="shared" si="21"/>
        <v>102067671</v>
      </c>
      <c r="BH18" s="136">
        <f t="shared" si="21"/>
        <v>99742986</v>
      </c>
      <c r="BI18" s="137">
        <f t="shared" si="3"/>
        <v>360835424.96499997</v>
      </c>
      <c r="BJ18" s="137">
        <f>SUM(BJ9:BJ17)</f>
        <v>146633569.035</v>
      </c>
      <c r="BK18" s="137">
        <f t="shared" ref="BK18:BL18" si="22">SUM(BK9:BK17)</f>
        <v>507561255</v>
      </c>
      <c r="BL18" s="137">
        <f t="shared" si="22"/>
        <v>282861130</v>
      </c>
    </row>
    <row r="19" spans="1:64" ht="34.5" customHeight="1" x14ac:dyDescent="0.35">
      <c r="A19" s="126" t="s">
        <v>367</v>
      </c>
      <c r="B19" s="127" t="s">
        <v>368</v>
      </c>
      <c r="C19" s="133">
        <f>'Mérleg szintű ÖK'!C18</f>
        <v>718200409</v>
      </c>
      <c r="D19" s="133">
        <f>'Mérleg szintű ÖK'!D18</f>
        <v>718200409</v>
      </c>
      <c r="E19" s="133">
        <f>'Mérleg szintű ÖK'!E18</f>
        <v>582673489</v>
      </c>
      <c r="F19" s="133">
        <f>'Mérleg szintű ÖK'!F18</f>
        <v>0</v>
      </c>
      <c r="G19" s="133">
        <f>'Mérleg szintű ÖK'!G18</f>
        <v>582673489</v>
      </c>
      <c r="H19" s="133">
        <f>'Mérleg szintű ÖK'!H18</f>
        <v>530674445</v>
      </c>
      <c r="I19" s="133">
        <f>'Mérleg szintű ÖK'!I18</f>
        <v>116648252</v>
      </c>
      <c r="J19" s="133">
        <f>'Intézményi összesen'!T17</f>
        <v>0</v>
      </c>
      <c r="K19" s="133">
        <f>'Intézményi összesen'!U17</f>
        <v>138961</v>
      </c>
      <c r="L19" s="133">
        <f>'Intézményi összesen'!V17</f>
        <v>0</v>
      </c>
      <c r="M19" s="133"/>
      <c r="N19" s="133"/>
      <c r="O19" s="133"/>
      <c r="P19" s="133">
        <f>'Mérleg szintű ÖK'!J18</f>
        <v>-14813485</v>
      </c>
      <c r="Q19" s="133">
        <f>'Mérleg szintű ÖK'!K18</f>
        <v>101834767</v>
      </c>
      <c r="R19" s="133">
        <f>'Mérleg szintű ÖK'!L18</f>
        <v>101834767</v>
      </c>
      <c r="S19" s="728">
        <f>'Intézményi összesen'!AC17</f>
        <v>2070297</v>
      </c>
      <c r="T19" s="128">
        <f t="shared" ref="T19:Y19" si="23">SUM(C19,J19)</f>
        <v>718200409</v>
      </c>
      <c r="U19" s="128">
        <f t="shared" si="23"/>
        <v>718339370</v>
      </c>
      <c r="V19" s="128">
        <f t="shared" si="23"/>
        <v>582673489</v>
      </c>
      <c r="W19" s="128">
        <f t="shared" si="23"/>
        <v>0</v>
      </c>
      <c r="X19" s="128">
        <f t="shared" si="23"/>
        <v>582673489</v>
      </c>
      <c r="Y19" s="128">
        <f t="shared" si="23"/>
        <v>530674445</v>
      </c>
      <c r="Z19" s="128">
        <f>'Intézményi összesen'!AD17</f>
        <v>1874645</v>
      </c>
      <c r="AA19" s="128">
        <f>'Intézményi összesen'!AE17</f>
        <v>3944942</v>
      </c>
      <c r="AB19" s="128">
        <f>'Intézményi összesen'!AF17</f>
        <v>3944942</v>
      </c>
      <c r="AC19" s="128">
        <f t="shared" si="1"/>
        <v>118718549</v>
      </c>
      <c r="AD19" s="128">
        <f t="shared" ref="AD19" si="24">P19+Z19</f>
        <v>-12938840</v>
      </c>
      <c r="AE19" s="128">
        <f t="shared" ref="AE19" si="25">Q19+AA19</f>
        <v>105779709</v>
      </c>
      <c r="AF19" s="128">
        <f t="shared" ref="AF19" si="26">R19+AB19</f>
        <v>105779709</v>
      </c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521"/>
      <c r="AZ19" s="50">
        <f t="shared" ref="AZ19:BE20" si="27">SUM(AI19,AP19)</f>
        <v>0</v>
      </c>
      <c r="BA19" s="50">
        <f t="shared" si="27"/>
        <v>0</v>
      </c>
      <c r="BB19" s="50">
        <f t="shared" si="27"/>
        <v>0</v>
      </c>
      <c r="BC19" s="50">
        <f t="shared" si="27"/>
        <v>0</v>
      </c>
      <c r="BD19" s="50">
        <f t="shared" si="27"/>
        <v>0</v>
      </c>
      <c r="BE19" s="50">
        <f t="shared" si="27"/>
        <v>0</v>
      </c>
      <c r="BF19" s="50"/>
      <c r="BG19" s="50"/>
      <c r="BH19" s="50"/>
      <c r="BI19" s="50">
        <f t="shared" si="3"/>
        <v>0</v>
      </c>
      <c r="BJ19" s="507"/>
      <c r="BK19" s="1"/>
      <c r="BL19" s="1"/>
    </row>
    <row r="20" spans="1:64" ht="33" customHeight="1" x14ac:dyDescent="0.35">
      <c r="A20" s="333" t="s">
        <v>369</v>
      </c>
      <c r="B20" s="358" t="s">
        <v>370</v>
      </c>
      <c r="C20" s="670">
        <f>'Mérleg szintű ÖK'!C19</f>
        <v>718200409</v>
      </c>
      <c r="D20" s="670">
        <f>'Mérleg szintű ÖK'!D19</f>
        <v>718200409</v>
      </c>
      <c r="E20" s="670">
        <f>'Mérleg szintű ÖK'!E19</f>
        <v>582673489</v>
      </c>
      <c r="F20" s="670">
        <f>'Mérleg szintű ÖK'!F19</f>
        <v>0</v>
      </c>
      <c r="G20" s="670">
        <f>'Mérleg szintű ÖK'!G19</f>
        <v>582673489</v>
      </c>
      <c r="H20" s="670">
        <f>'Mérleg szintű ÖK'!H19</f>
        <v>530674445</v>
      </c>
      <c r="I20" s="731">
        <f t="shared" ref="I20:R20" si="28">I19</f>
        <v>116648252</v>
      </c>
      <c r="J20" s="731">
        <f t="shared" si="28"/>
        <v>0</v>
      </c>
      <c r="K20" s="731">
        <f t="shared" si="28"/>
        <v>138961</v>
      </c>
      <c r="L20" s="731">
        <f t="shared" si="28"/>
        <v>0</v>
      </c>
      <c r="M20" s="731">
        <f t="shared" si="28"/>
        <v>0</v>
      </c>
      <c r="N20" s="731">
        <f t="shared" si="28"/>
        <v>0</v>
      </c>
      <c r="O20" s="731">
        <f t="shared" si="28"/>
        <v>0</v>
      </c>
      <c r="P20" s="731">
        <f t="shared" si="28"/>
        <v>-14813485</v>
      </c>
      <c r="Q20" s="731">
        <f t="shared" si="28"/>
        <v>101834767</v>
      </c>
      <c r="R20" s="731">
        <f t="shared" si="28"/>
        <v>101834767</v>
      </c>
      <c r="S20" s="731">
        <f>S19</f>
        <v>2070297</v>
      </c>
      <c r="T20" s="731">
        <f t="shared" ref="T20:AB20" si="29">T19</f>
        <v>718200409</v>
      </c>
      <c r="U20" s="731">
        <f t="shared" si="29"/>
        <v>718339370</v>
      </c>
      <c r="V20" s="731">
        <f t="shared" si="29"/>
        <v>582673489</v>
      </c>
      <c r="W20" s="731">
        <f t="shared" si="29"/>
        <v>0</v>
      </c>
      <c r="X20" s="731">
        <f t="shared" si="29"/>
        <v>582673489</v>
      </c>
      <c r="Y20" s="731">
        <f t="shared" si="29"/>
        <v>530674445</v>
      </c>
      <c r="Z20" s="731">
        <f t="shared" si="29"/>
        <v>1874645</v>
      </c>
      <c r="AA20" s="731">
        <f t="shared" si="29"/>
        <v>3944942</v>
      </c>
      <c r="AB20" s="731">
        <f t="shared" si="29"/>
        <v>3944942</v>
      </c>
      <c r="AC20" s="731">
        <f t="shared" ref="AC20" si="30">AC19</f>
        <v>118718549</v>
      </c>
      <c r="AD20" s="128">
        <f t="shared" ref="AD20:AD25" si="31">P20+Z20</f>
        <v>-12938840</v>
      </c>
      <c r="AE20" s="128">
        <f t="shared" ref="AE20:AE25" si="32">Q20+AA20</f>
        <v>105779709</v>
      </c>
      <c r="AF20" s="128">
        <f t="shared" ref="AF20:AF25" si="33">R20+AB20</f>
        <v>105779709</v>
      </c>
      <c r="AG20" s="649" t="s">
        <v>371</v>
      </c>
      <c r="AH20" s="138" t="s">
        <v>372</v>
      </c>
      <c r="AI20" s="139">
        <f>'Mérleg szintű ÖK'!O19</f>
        <v>4051034</v>
      </c>
      <c r="AJ20" s="139">
        <f>'Mérleg szintű ÖK'!P19</f>
        <v>4330401</v>
      </c>
      <c r="AK20" s="139">
        <f>'Mérleg szintű ÖK'!Q19</f>
        <v>4979202</v>
      </c>
      <c r="AL20" s="139">
        <f>'Mérleg szintű ÖK'!R19</f>
        <v>0</v>
      </c>
      <c r="AM20" s="139">
        <f>'Mérleg szintű ÖK'!S19</f>
        <v>4979202</v>
      </c>
      <c r="AN20" s="139">
        <f>'Mérleg szintű ÖK'!T19</f>
        <v>4979202</v>
      </c>
      <c r="AO20" s="873">
        <f>'Mérleg szintű ÖK'!U19</f>
        <v>4979202</v>
      </c>
      <c r="AP20" s="139">
        <v>0</v>
      </c>
      <c r="AQ20" s="139"/>
      <c r="AR20" s="139"/>
      <c r="AS20" s="139"/>
      <c r="AT20" s="139"/>
      <c r="AU20" s="139"/>
      <c r="AV20" s="139">
        <f>'Mérleg szintű ÖK'!V19</f>
        <v>0</v>
      </c>
      <c r="AW20" s="139">
        <f>'Mérleg szintű ÖK'!W19</f>
        <v>4979202</v>
      </c>
      <c r="AX20" s="139">
        <f>'Mérleg szintű ÖK'!X19</f>
        <v>4979202</v>
      </c>
      <c r="AY20" s="139"/>
      <c r="AZ20" s="50">
        <f t="shared" si="27"/>
        <v>4051034</v>
      </c>
      <c r="BA20" s="50">
        <f t="shared" si="27"/>
        <v>4330401</v>
      </c>
      <c r="BB20" s="50">
        <f t="shared" si="27"/>
        <v>4979202</v>
      </c>
      <c r="BC20" s="50">
        <f t="shared" si="27"/>
        <v>0</v>
      </c>
      <c r="BD20" s="50">
        <f t="shared" si="27"/>
        <v>4979202</v>
      </c>
      <c r="BE20" s="50">
        <f t="shared" si="27"/>
        <v>4979202</v>
      </c>
      <c r="BF20" s="50"/>
      <c r="BG20" s="50"/>
      <c r="BH20" s="50"/>
      <c r="BI20" s="50">
        <f t="shared" si="3"/>
        <v>4979202</v>
      </c>
      <c r="BJ20" s="508">
        <f t="shared" ref="BJ20:BJ25" si="34">AV20+BF20</f>
        <v>0</v>
      </c>
      <c r="BK20" s="507">
        <f t="shared" ref="BK20:BK25" si="35">AW20+BG20</f>
        <v>4979202</v>
      </c>
      <c r="BL20" s="507">
        <f t="shared" ref="BL20:BL25" si="36">AX20+BH20</f>
        <v>4979202</v>
      </c>
    </row>
    <row r="21" spans="1:64" ht="33" customHeight="1" x14ac:dyDescent="0.35">
      <c r="A21" s="126" t="s">
        <v>591</v>
      </c>
      <c r="B21" s="127" t="s">
        <v>862</v>
      </c>
      <c r="C21" s="133"/>
      <c r="D21" s="133"/>
      <c r="E21" s="133">
        <f>'Mérleg szintű ÖK'!E20</f>
        <v>0</v>
      </c>
      <c r="F21" s="133">
        <f>'Mérleg szintű ÖK'!F20</f>
        <v>208917</v>
      </c>
      <c r="G21" s="133">
        <f>'Mérleg szintű ÖK'!G20</f>
        <v>208917</v>
      </c>
      <c r="H21" s="133">
        <f>'Mérleg szintű ÖK'!H20</f>
        <v>376455</v>
      </c>
      <c r="I21" s="133">
        <f>'Mérleg szintű ÖK'!I20</f>
        <v>0</v>
      </c>
      <c r="J21" s="131"/>
      <c r="K21" s="131"/>
      <c r="L21" s="131"/>
      <c r="M21" s="131"/>
      <c r="N21" s="131"/>
      <c r="O21" s="131"/>
      <c r="P21" s="131">
        <f>'Mérleg szintű ÖK'!J20</f>
        <v>5657084</v>
      </c>
      <c r="Q21" s="131">
        <f>'Mérleg szintű ÖK'!J20</f>
        <v>5657084</v>
      </c>
      <c r="R21" s="131">
        <f>'Mérleg szintű ÖK'!L20</f>
        <v>5657084</v>
      </c>
      <c r="S21" s="732"/>
      <c r="T21" s="128"/>
      <c r="U21" s="128"/>
      <c r="V21" s="128">
        <f t="shared" ref="V21:Y23" si="37">SUM(E21,L21)</f>
        <v>0</v>
      </c>
      <c r="W21" s="128">
        <f t="shared" si="37"/>
        <v>208917</v>
      </c>
      <c r="X21" s="128">
        <f t="shared" si="37"/>
        <v>208917</v>
      </c>
      <c r="Y21" s="128">
        <f t="shared" si="37"/>
        <v>376455</v>
      </c>
      <c r="Z21" s="128"/>
      <c r="AA21" s="128"/>
      <c r="AB21" s="128"/>
      <c r="AC21" s="128">
        <f>I21+S21</f>
        <v>0</v>
      </c>
      <c r="AD21" s="128">
        <f t="shared" si="31"/>
        <v>5657084</v>
      </c>
      <c r="AE21" s="128">
        <f t="shared" si="32"/>
        <v>5657084</v>
      </c>
      <c r="AF21" s="128">
        <f t="shared" si="33"/>
        <v>5657084</v>
      </c>
      <c r="AG21" s="649"/>
      <c r="AH21" s="138"/>
      <c r="AI21" s="139"/>
      <c r="AJ21" s="139"/>
      <c r="AK21" s="139"/>
      <c r="AL21" s="139"/>
      <c r="AM21" s="139"/>
      <c r="AN21" s="139"/>
      <c r="AO21" s="873"/>
      <c r="AP21" s="139"/>
      <c r="AQ21" s="139"/>
      <c r="AR21" s="139"/>
      <c r="AS21" s="139"/>
      <c r="AT21" s="139"/>
      <c r="AU21" s="139"/>
      <c r="AV21" s="139"/>
      <c r="AW21" s="139"/>
      <c r="AX21" s="139"/>
      <c r="AY21" s="732"/>
      <c r="AZ21" s="50"/>
      <c r="BA21" s="50"/>
      <c r="BB21" s="50"/>
      <c r="BC21" s="50"/>
      <c r="BD21" s="50"/>
      <c r="BE21" s="50"/>
      <c r="BF21" s="50"/>
      <c r="BG21" s="50"/>
      <c r="BH21" s="50"/>
      <c r="BI21" s="50">
        <f t="shared" si="3"/>
        <v>0</v>
      </c>
      <c r="BJ21" s="508">
        <f t="shared" si="34"/>
        <v>0</v>
      </c>
      <c r="BK21" s="507">
        <f t="shared" si="35"/>
        <v>0</v>
      </c>
      <c r="BL21" s="507">
        <f t="shared" si="36"/>
        <v>0</v>
      </c>
    </row>
    <row r="22" spans="1:64" ht="45" customHeight="1" x14ac:dyDescent="0.35">
      <c r="A22" s="140" t="s">
        <v>338</v>
      </c>
      <c r="B22" s="127" t="s">
        <v>154</v>
      </c>
      <c r="C22" s="133">
        <f>'Mérleg szintű ÖK'!C21</f>
        <v>0</v>
      </c>
      <c r="D22" s="133">
        <f>'Mérleg szintű ÖK'!D21</f>
        <v>0</v>
      </c>
      <c r="E22" s="133">
        <f>'Mérleg szintű ÖK'!E21</f>
        <v>0</v>
      </c>
      <c r="F22" s="133">
        <f>'Mérleg szintű ÖK'!F21</f>
        <v>0</v>
      </c>
      <c r="G22" s="133">
        <f>'Mérleg szintű ÖK'!G21</f>
        <v>0</v>
      </c>
      <c r="H22" s="133">
        <f>'Mérleg szintű ÖK'!H21</f>
        <v>0</v>
      </c>
      <c r="I22" s="133">
        <f>'Mérleg szintű ÖK'!I21</f>
        <v>0</v>
      </c>
      <c r="J22" s="131">
        <f>'Intézményi összesen'!T18</f>
        <v>95000477</v>
      </c>
      <c r="K22" s="131">
        <f>'Intézményi összesen'!U18</f>
        <v>95000477</v>
      </c>
      <c r="L22" s="131">
        <f>'Intézményi összesen'!V18</f>
        <v>93209605</v>
      </c>
      <c r="M22" s="131">
        <f>'Intézményi összesen'!W18</f>
        <v>1973516</v>
      </c>
      <c r="N22" s="131">
        <f>'Intézményi összesen'!X18</f>
        <v>95183121</v>
      </c>
      <c r="O22" s="131">
        <f>'Intézményi összesen'!Y18</f>
        <v>76050908.50999999</v>
      </c>
      <c r="P22" s="131"/>
      <c r="Q22" s="131"/>
      <c r="R22" s="131"/>
      <c r="S22" s="872">
        <f>'Intézményi összesen'!AC18</f>
        <v>97768157.049999997</v>
      </c>
      <c r="T22" s="128">
        <f>SUM(C22,J22)</f>
        <v>95000477</v>
      </c>
      <c r="U22" s="128">
        <f>SUM(D22,K22)</f>
        <v>95000477</v>
      </c>
      <c r="V22" s="128">
        <f t="shared" si="37"/>
        <v>93209605</v>
      </c>
      <c r="W22" s="128">
        <f t="shared" si="37"/>
        <v>1973516</v>
      </c>
      <c r="X22" s="128">
        <f t="shared" si="37"/>
        <v>95183121</v>
      </c>
      <c r="Y22" s="128">
        <f t="shared" si="37"/>
        <v>76050908.50999999</v>
      </c>
      <c r="Z22" s="128">
        <f>'Intézményi összesen'!AD18</f>
        <v>-299534.04999999702</v>
      </c>
      <c r="AA22" s="128">
        <f>'Intézményi összesen'!AE18</f>
        <v>97468623</v>
      </c>
      <c r="AB22" s="128">
        <f>'Intézményi összesen'!AF18</f>
        <v>97468623</v>
      </c>
      <c r="AC22" s="128">
        <f>I22+S22</f>
        <v>97768157.049999997</v>
      </c>
      <c r="AD22" s="128">
        <f t="shared" si="31"/>
        <v>-299534.04999999702</v>
      </c>
      <c r="AE22" s="128">
        <f t="shared" si="32"/>
        <v>97468623</v>
      </c>
      <c r="AF22" s="128">
        <f t="shared" si="33"/>
        <v>97468623</v>
      </c>
      <c r="AG22" s="649" t="s">
        <v>373</v>
      </c>
      <c r="AH22" s="138" t="s">
        <v>374</v>
      </c>
      <c r="AI22" s="139">
        <f>'Mérleg szintű ÖK'!O21</f>
        <v>95000477</v>
      </c>
      <c r="AJ22" s="139">
        <f>'Mérleg szintű ÖK'!P21</f>
        <v>95000477</v>
      </c>
      <c r="AK22" s="139">
        <f>'Mérleg szintű ÖK'!Q21</f>
        <v>97768157.049999997</v>
      </c>
      <c r="AL22" s="139">
        <f>'Mérleg szintű ÖK'!R21</f>
        <v>-299534.04999999702</v>
      </c>
      <c r="AM22" s="139">
        <f>'Mérleg szintű ÖK'!S21</f>
        <v>97468623</v>
      </c>
      <c r="AN22" s="139">
        <f>'Mérleg szintű ÖK'!T21</f>
        <v>97468623</v>
      </c>
      <c r="AO22" s="873">
        <f>'Mérleg szintű ÖK'!U21</f>
        <v>97768157.049999997</v>
      </c>
      <c r="AP22" s="139">
        <v>0</v>
      </c>
      <c r="AQ22" s="139"/>
      <c r="AR22" s="139"/>
      <c r="AS22" s="139"/>
      <c r="AT22" s="139"/>
      <c r="AU22" s="139"/>
      <c r="AV22" s="139">
        <f>'Mérleg szintű ÖK'!V21</f>
        <v>-299534.04999999702</v>
      </c>
      <c r="AW22" s="139">
        <f>'Mérleg szintű ÖK'!W21</f>
        <v>97468623</v>
      </c>
      <c r="AX22" s="139">
        <f>'Mérleg szintű ÖK'!X21</f>
        <v>97468623</v>
      </c>
      <c r="AY22" s="732"/>
      <c r="AZ22" s="50">
        <f t="shared" ref="AZ22:BE22" si="38">SUM(AI22,AP22)</f>
        <v>95000477</v>
      </c>
      <c r="BA22" s="50">
        <f t="shared" si="38"/>
        <v>95000477</v>
      </c>
      <c r="BB22" s="50">
        <f t="shared" si="38"/>
        <v>97768157.049999997</v>
      </c>
      <c r="BC22" s="50">
        <f t="shared" si="38"/>
        <v>-299534.04999999702</v>
      </c>
      <c r="BD22" s="50">
        <f t="shared" si="38"/>
        <v>97468623</v>
      </c>
      <c r="BE22" s="50">
        <f t="shared" si="38"/>
        <v>97468623</v>
      </c>
      <c r="BF22" s="50"/>
      <c r="BG22" s="50"/>
      <c r="BH22" s="50"/>
      <c r="BI22" s="50">
        <f t="shared" si="3"/>
        <v>97768157.049999997</v>
      </c>
      <c r="BJ22" s="508">
        <f t="shared" si="34"/>
        <v>-299534.04999999702</v>
      </c>
      <c r="BK22" s="507">
        <f t="shared" si="35"/>
        <v>97468623</v>
      </c>
      <c r="BL22" s="507">
        <f t="shared" si="36"/>
        <v>97468623</v>
      </c>
    </row>
    <row r="23" spans="1:64" ht="23.25" customHeight="1" x14ac:dyDescent="0.35">
      <c r="A23" s="140" t="s">
        <v>866</v>
      </c>
      <c r="B23" s="127" t="s">
        <v>864</v>
      </c>
      <c r="C23" s="133"/>
      <c r="D23" s="133"/>
      <c r="E23" s="133">
        <f>'Mérleg szintű ÖK'!E22</f>
        <v>0</v>
      </c>
      <c r="F23" s="133">
        <f>'Mérleg szintű ÖK'!F22</f>
        <v>0</v>
      </c>
      <c r="G23" s="133">
        <f>'Mérleg szintű ÖK'!G22</f>
        <v>0</v>
      </c>
      <c r="H23" s="133">
        <f>'Mérleg szintű ÖK'!H22</f>
        <v>49968485</v>
      </c>
      <c r="I23" s="133">
        <f>'Mérleg szintű ÖK'!I22</f>
        <v>0</v>
      </c>
      <c r="J23" s="131"/>
      <c r="K23" s="131"/>
      <c r="L23" s="131"/>
      <c r="M23" s="131"/>
      <c r="N23" s="131"/>
      <c r="O23" s="131"/>
      <c r="P23" s="131"/>
      <c r="Q23" s="131"/>
      <c r="R23" s="591">
        <v>40245301</v>
      </c>
      <c r="S23" s="732"/>
      <c r="T23" s="128"/>
      <c r="U23" s="128"/>
      <c r="V23" s="128">
        <f t="shared" si="37"/>
        <v>0</v>
      </c>
      <c r="W23" s="128">
        <f t="shared" si="37"/>
        <v>0</v>
      </c>
      <c r="X23" s="128">
        <f t="shared" si="37"/>
        <v>0</v>
      </c>
      <c r="Y23" s="128">
        <f t="shared" si="37"/>
        <v>49968485</v>
      </c>
      <c r="Z23" s="128"/>
      <c r="AA23" s="128"/>
      <c r="AB23" s="128"/>
      <c r="AC23" s="128">
        <f>I23+S23</f>
        <v>0</v>
      </c>
      <c r="AD23" s="128">
        <f t="shared" si="31"/>
        <v>0</v>
      </c>
      <c r="AE23" s="128">
        <f t="shared" si="32"/>
        <v>0</v>
      </c>
      <c r="AF23" s="128">
        <f t="shared" si="33"/>
        <v>40245301</v>
      </c>
      <c r="AG23" s="649" t="s">
        <v>865</v>
      </c>
      <c r="AH23" s="138"/>
      <c r="AI23" s="139"/>
      <c r="AJ23" s="139"/>
      <c r="AK23" s="139">
        <f>'Mérleg szintű ÖK'!Q22</f>
        <v>0</v>
      </c>
      <c r="AL23" s="139">
        <f>'Mérleg szintű ÖK'!R22</f>
        <v>0</v>
      </c>
      <c r="AM23" s="139">
        <f>'Mérleg szintű ÖK'!S22</f>
        <v>0</v>
      </c>
      <c r="AN23" s="139">
        <f>'Mérleg szintű ÖK'!T22</f>
        <v>20680345</v>
      </c>
      <c r="AO23" s="139">
        <f>'Mérleg szintű ÖK'!U22</f>
        <v>0</v>
      </c>
      <c r="AP23" s="139"/>
      <c r="AQ23" s="139"/>
      <c r="AR23" s="139"/>
      <c r="AS23" s="139"/>
      <c r="AT23" s="139"/>
      <c r="AU23" s="139"/>
      <c r="AV23" s="139"/>
      <c r="AW23" s="139"/>
      <c r="AX23" s="591">
        <v>40255388</v>
      </c>
      <c r="AY23" s="732"/>
      <c r="AZ23" s="50"/>
      <c r="BA23" s="50"/>
      <c r="BB23" s="50"/>
      <c r="BC23" s="50"/>
      <c r="BD23" s="50"/>
      <c r="BE23" s="50"/>
      <c r="BF23" s="50"/>
      <c r="BG23" s="50"/>
      <c r="BH23" s="50"/>
      <c r="BI23" s="50">
        <f t="shared" si="3"/>
        <v>0</v>
      </c>
      <c r="BJ23" s="508">
        <f t="shared" si="34"/>
        <v>0</v>
      </c>
      <c r="BK23" s="507">
        <f t="shared" si="35"/>
        <v>0</v>
      </c>
      <c r="BL23" s="507">
        <f t="shared" si="36"/>
        <v>40255388</v>
      </c>
    </row>
    <row r="24" spans="1:64" x14ac:dyDescent="0.35">
      <c r="A24" s="333" t="s">
        <v>375</v>
      </c>
      <c r="B24" s="358" t="s">
        <v>376</v>
      </c>
      <c r="C24" s="670">
        <f>'Mérleg szintű ÖK'!C23</f>
        <v>718200409</v>
      </c>
      <c r="D24" s="670">
        <f>'Mérleg szintű ÖK'!D23</f>
        <v>718200409</v>
      </c>
      <c r="E24" s="670">
        <f>'Mérleg szintű ÖK'!E23</f>
        <v>582673489</v>
      </c>
      <c r="F24" s="670">
        <f>'Mérleg szintű ÖK'!F23</f>
        <v>208917</v>
      </c>
      <c r="G24" s="670">
        <f>'Mérleg szintű ÖK'!G23</f>
        <v>582882406</v>
      </c>
      <c r="H24" s="670">
        <f>'Mérleg szintű ÖK'!H23</f>
        <v>581019385</v>
      </c>
      <c r="I24" s="670">
        <f>'Mérleg szintű ÖK'!I23</f>
        <v>116648252</v>
      </c>
      <c r="J24" s="670" t="str">
        <f>'Mérleg szintű ÖK'!M23</f>
        <v xml:space="preserve">Belföldi finanszírozás kiadásai </v>
      </c>
      <c r="K24" s="670" t="str">
        <f>'Mérleg szintű ÖK'!N23</f>
        <v>K91</v>
      </c>
      <c r="L24" s="670">
        <f>'Mérleg szintű ÖK'!O23</f>
        <v>99051511</v>
      </c>
      <c r="M24" s="670">
        <f>'Mérleg szintű ÖK'!P23</f>
        <v>99330878</v>
      </c>
      <c r="N24" s="670">
        <f>'Mérleg szintű ÖK'!Q23</f>
        <v>102747359.05</v>
      </c>
      <c r="O24" s="670">
        <f>'Mérleg szintű ÖK'!R23</f>
        <v>-299534.04999999702</v>
      </c>
      <c r="P24" s="670">
        <f>SUM(P20:P23)</f>
        <v>-9156401</v>
      </c>
      <c r="Q24" s="670">
        <f t="shared" ref="Q24:R24" si="39">SUM(Q20:Q23)</f>
        <v>107491851</v>
      </c>
      <c r="R24" s="670">
        <f t="shared" si="39"/>
        <v>147737152</v>
      </c>
      <c r="S24" s="730">
        <f>SUM(S20:S23)</f>
        <v>99838454.049999997</v>
      </c>
      <c r="T24" s="730">
        <f t="shared" ref="T24:AC24" si="40">SUM(T20:T23)</f>
        <v>813200886</v>
      </c>
      <c r="U24" s="730">
        <f t="shared" si="40"/>
        <v>813339847</v>
      </c>
      <c r="V24" s="730">
        <f t="shared" si="40"/>
        <v>675883094</v>
      </c>
      <c r="W24" s="730">
        <f t="shared" si="40"/>
        <v>2182433</v>
      </c>
      <c r="X24" s="730">
        <f t="shared" si="40"/>
        <v>678065527</v>
      </c>
      <c r="Y24" s="730">
        <f t="shared" si="40"/>
        <v>657070293.50999999</v>
      </c>
      <c r="Z24" s="670">
        <f t="shared" si="40"/>
        <v>1575110.950000003</v>
      </c>
      <c r="AA24" s="670">
        <f t="shared" si="40"/>
        <v>101413565</v>
      </c>
      <c r="AB24" s="670">
        <f t="shared" si="40"/>
        <v>101413565</v>
      </c>
      <c r="AC24" s="730">
        <f t="shared" si="40"/>
        <v>216486706.05000001</v>
      </c>
      <c r="AD24" s="128">
        <f>P24+Z24</f>
        <v>-7581290.049999997</v>
      </c>
      <c r="AE24" s="128">
        <f t="shared" si="32"/>
        <v>208905416</v>
      </c>
      <c r="AF24" s="128">
        <f t="shared" si="33"/>
        <v>249150717</v>
      </c>
      <c r="AG24" s="146" t="s">
        <v>377</v>
      </c>
      <c r="AH24" s="666" t="s">
        <v>378</v>
      </c>
      <c r="AI24" s="669">
        <f t="shared" ref="AI24" si="41">SUM(AI20:AI22)</f>
        <v>99051511</v>
      </c>
      <c r="AJ24" s="669">
        <f t="shared" ref="AJ24" si="42">SUM(AJ20:AJ22)</f>
        <v>99330878</v>
      </c>
      <c r="AK24" s="669">
        <f>SUM(AK20:AK23)</f>
        <v>102747359.05</v>
      </c>
      <c r="AL24" s="669">
        <f t="shared" ref="AL24:AO24" si="43">SUM(AL20:AL23)</f>
        <v>-299534.04999999702</v>
      </c>
      <c r="AM24" s="669">
        <f t="shared" si="43"/>
        <v>102447825</v>
      </c>
      <c r="AN24" s="669">
        <f t="shared" si="43"/>
        <v>123128170</v>
      </c>
      <c r="AO24" s="669">
        <f t="shared" si="43"/>
        <v>102747359.05</v>
      </c>
      <c r="AP24" s="669">
        <f t="shared" ref="AP24:AX24" si="44">SUM(AP20:AP23)</f>
        <v>0</v>
      </c>
      <c r="AQ24" s="669">
        <f t="shared" si="44"/>
        <v>0</v>
      </c>
      <c r="AR24" s="669">
        <f t="shared" si="44"/>
        <v>0</v>
      </c>
      <c r="AS24" s="669">
        <f t="shared" si="44"/>
        <v>0</v>
      </c>
      <c r="AT24" s="669">
        <f t="shared" si="44"/>
        <v>0</v>
      </c>
      <c r="AU24" s="669">
        <f t="shared" si="44"/>
        <v>0</v>
      </c>
      <c r="AV24" s="669">
        <f t="shared" si="44"/>
        <v>-299534.04999999702</v>
      </c>
      <c r="AW24" s="669">
        <f t="shared" si="44"/>
        <v>102447825</v>
      </c>
      <c r="AX24" s="669">
        <f t="shared" si="44"/>
        <v>142703213</v>
      </c>
      <c r="AY24" s="669">
        <f>SUM(AY20:AY23)</f>
        <v>0</v>
      </c>
      <c r="AZ24" s="669">
        <f t="shared" ref="AZ24:BH24" si="45">SUM(AZ20:AZ23)</f>
        <v>99051511</v>
      </c>
      <c r="BA24" s="669">
        <f t="shared" si="45"/>
        <v>99330878</v>
      </c>
      <c r="BB24" s="669">
        <f t="shared" si="45"/>
        <v>102747359.05</v>
      </c>
      <c r="BC24" s="669">
        <f t="shared" si="45"/>
        <v>-299534.04999999702</v>
      </c>
      <c r="BD24" s="669">
        <f t="shared" si="45"/>
        <v>102447825</v>
      </c>
      <c r="BE24" s="669">
        <f t="shared" si="45"/>
        <v>102447825</v>
      </c>
      <c r="BF24" s="669">
        <f t="shared" si="45"/>
        <v>0</v>
      </c>
      <c r="BG24" s="669">
        <f t="shared" si="45"/>
        <v>0</v>
      </c>
      <c r="BH24" s="669">
        <f t="shared" si="45"/>
        <v>0</v>
      </c>
      <c r="BI24" s="50">
        <f t="shared" si="3"/>
        <v>102747359.05</v>
      </c>
      <c r="BJ24" s="508">
        <f t="shared" si="34"/>
        <v>-299534.04999999702</v>
      </c>
      <c r="BK24" s="507">
        <f t="shared" si="35"/>
        <v>102447825</v>
      </c>
      <c r="BL24" s="507">
        <f t="shared" si="36"/>
        <v>142703213</v>
      </c>
    </row>
    <row r="25" spans="1:64" x14ac:dyDescent="0.35">
      <c r="A25" s="126" t="s">
        <v>567</v>
      </c>
      <c r="B25" s="127"/>
      <c r="C25" s="131">
        <f>'Mérleg szintű ÖK'!C24</f>
        <v>0</v>
      </c>
      <c r="D25" s="131">
        <f>'Mérleg szintű ÖK'!D24</f>
        <v>0</v>
      </c>
      <c r="E25" s="133">
        <f>'Mérleg szintű ÖK'!E24</f>
        <v>0</v>
      </c>
      <c r="F25" s="133">
        <f>'Mérleg szintű ÖK'!F24</f>
        <v>0</v>
      </c>
      <c r="G25" s="133">
        <f>'Mérleg szintű ÖK'!G24</f>
        <v>0</v>
      </c>
      <c r="H25" s="133">
        <f>'Mérleg szintű ÖK'!H24</f>
        <v>0</v>
      </c>
      <c r="I25" s="133">
        <f>'Mérleg szintű ÖK'!I24</f>
        <v>0</v>
      </c>
      <c r="J25" s="131"/>
      <c r="K25" s="131"/>
      <c r="L25" s="131"/>
      <c r="M25" s="131"/>
      <c r="N25" s="131"/>
      <c r="O25" s="131"/>
      <c r="P25" s="131"/>
      <c r="Q25" s="131"/>
      <c r="R25" s="131"/>
      <c r="S25" s="732"/>
      <c r="T25" s="128">
        <f t="shared" ref="T25:Y25" si="46">SUM(C25,J25)</f>
        <v>0</v>
      </c>
      <c r="U25" s="128">
        <f t="shared" si="46"/>
        <v>0</v>
      </c>
      <c r="V25" s="128">
        <f t="shared" si="46"/>
        <v>0</v>
      </c>
      <c r="W25" s="128">
        <f t="shared" si="46"/>
        <v>0</v>
      </c>
      <c r="X25" s="128">
        <f t="shared" si="46"/>
        <v>0</v>
      </c>
      <c r="Y25" s="128">
        <f t="shared" si="46"/>
        <v>0</v>
      </c>
      <c r="Z25" s="128"/>
      <c r="AA25" s="128"/>
      <c r="AB25" s="128"/>
      <c r="AC25" s="128">
        <f>I25+S25</f>
        <v>0</v>
      </c>
      <c r="AD25" s="128">
        <f t="shared" si="31"/>
        <v>0</v>
      </c>
      <c r="AE25" s="128">
        <f t="shared" si="32"/>
        <v>0</v>
      </c>
      <c r="AF25" s="128">
        <f t="shared" si="33"/>
        <v>0</v>
      </c>
      <c r="AG25" s="649"/>
      <c r="AH25" s="138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50">
        <f t="shared" ref="AZ25:BE25" si="47">SUM(AI25,AP25)</f>
        <v>0</v>
      </c>
      <c r="BA25" s="50">
        <f t="shared" si="47"/>
        <v>0</v>
      </c>
      <c r="BB25" s="50">
        <f t="shared" si="47"/>
        <v>0</v>
      </c>
      <c r="BC25" s="50">
        <f t="shared" si="47"/>
        <v>0</v>
      </c>
      <c r="BD25" s="50">
        <f t="shared" si="47"/>
        <v>0</v>
      </c>
      <c r="BE25" s="50">
        <f t="shared" si="47"/>
        <v>0</v>
      </c>
      <c r="BF25" s="50"/>
      <c r="BG25" s="50"/>
      <c r="BH25" s="50"/>
      <c r="BI25" s="50">
        <f t="shared" si="3"/>
        <v>0</v>
      </c>
      <c r="BJ25" s="508">
        <f t="shared" si="34"/>
        <v>0</v>
      </c>
      <c r="BK25" s="507">
        <f t="shared" si="35"/>
        <v>0</v>
      </c>
      <c r="BL25" s="507">
        <f t="shared" si="36"/>
        <v>0</v>
      </c>
    </row>
    <row r="26" spans="1:64" x14ac:dyDescent="0.35">
      <c r="A26" s="134" t="s">
        <v>379</v>
      </c>
      <c r="B26" s="141" t="s">
        <v>380</v>
      </c>
      <c r="C26" s="142">
        <f>SUM(C24,C25)</f>
        <v>718200409</v>
      </c>
      <c r="D26" s="142">
        <f t="shared" ref="D26" si="48">SUM(D24,D25)</f>
        <v>718200409</v>
      </c>
      <c r="E26" s="142">
        <f>SUM(E24,E25)</f>
        <v>582673489</v>
      </c>
      <c r="F26" s="142">
        <f t="shared" ref="F26:H26" si="49">SUM(F24,F25)</f>
        <v>208917</v>
      </c>
      <c r="G26" s="142">
        <f t="shared" si="49"/>
        <v>582882406</v>
      </c>
      <c r="H26" s="142">
        <f t="shared" si="49"/>
        <v>581019385</v>
      </c>
      <c r="I26" s="142">
        <f t="shared" ref="I26" si="50">SUM(I24,I25)</f>
        <v>116648252</v>
      </c>
      <c r="J26" s="142">
        <f t="shared" ref="J26:T26" si="51">SUM(J24,J25)</f>
        <v>0</v>
      </c>
      <c r="K26" s="142">
        <f t="shared" ref="K26:L26" si="52">SUM(K24,K25)</f>
        <v>0</v>
      </c>
      <c r="L26" s="142">
        <f t="shared" si="52"/>
        <v>99051511</v>
      </c>
      <c r="M26" s="142">
        <f t="shared" ref="M26:O26" si="53">SUM(M24,M25)</f>
        <v>99330878</v>
      </c>
      <c r="N26" s="142">
        <f t="shared" si="53"/>
        <v>102747359.05</v>
      </c>
      <c r="O26" s="142">
        <f t="shared" si="53"/>
        <v>-299534.04999999702</v>
      </c>
      <c r="P26" s="142">
        <f>P24</f>
        <v>-9156401</v>
      </c>
      <c r="Q26" s="142">
        <f t="shared" ref="Q26:R26" si="54">Q24</f>
        <v>107491851</v>
      </c>
      <c r="R26" s="142">
        <f t="shared" si="54"/>
        <v>147737152</v>
      </c>
      <c r="S26" s="142">
        <f t="shared" ref="S26" si="55">SUM(S24,S25)</f>
        <v>99838454.049999997</v>
      </c>
      <c r="T26" s="142">
        <f t="shared" si="51"/>
        <v>813200886</v>
      </c>
      <c r="U26" s="142">
        <f t="shared" ref="U26:V26" si="56">SUM(U24,U25)</f>
        <v>813339847</v>
      </c>
      <c r="V26" s="142">
        <f t="shared" si="56"/>
        <v>675883094</v>
      </c>
      <c r="W26" s="142">
        <f t="shared" ref="W26:Y26" si="57">SUM(W24,W25)</f>
        <v>2182433</v>
      </c>
      <c r="X26" s="142">
        <f t="shared" si="57"/>
        <v>678065527</v>
      </c>
      <c r="Y26" s="142">
        <f t="shared" si="57"/>
        <v>657070293.50999999</v>
      </c>
      <c r="Z26" s="142">
        <f t="shared" ref="Z26:AB26" si="58">Z24</f>
        <v>1575110.950000003</v>
      </c>
      <c r="AA26" s="142">
        <f t="shared" si="58"/>
        <v>101413565</v>
      </c>
      <c r="AB26" s="142">
        <f t="shared" si="58"/>
        <v>101413565</v>
      </c>
      <c r="AC26" s="142">
        <f>I26+S26</f>
        <v>216486706.05000001</v>
      </c>
      <c r="AD26" s="142">
        <f>AD24</f>
        <v>-7581290.049999997</v>
      </c>
      <c r="AE26" s="142">
        <f>AE24</f>
        <v>208905416</v>
      </c>
      <c r="AF26" s="142">
        <f t="shared" ref="AF26" si="59">AF24</f>
        <v>249150717</v>
      </c>
      <c r="AG26" s="134" t="s">
        <v>381</v>
      </c>
      <c r="AH26" s="141" t="s">
        <v>382</v>
      </c>
      <c r="AI26" s="136">
        <f t="shared" ref="AI26" si="60">SUM(AI24)</f>
        <v>99051511</v>
      </c>
      <c r="AJ26" s="136">
        <f t="shared" ref="AJ26:AK26" si="61">SUM(AJ24)</f>
        <v>99330878</v>
      </c>
      <c r="AK26" s="136">
        <f t="shared" si="61"/>
        <v>102747359.05</v>
      </c>
      <c r="AL26" s="136">
        <f t="shared" ref="AL26:AN26" si="62">SUM(AL24)</f>
        <v>-299534.04999999702</v>
      </c>
      <c r="AM26" s="136">
        <f t="shared" si="62"/>
        <v>102447825</v>
      </c>
      <c r="AN26" s="136">
        <f t="shared" si="62"/>
        <v>123128170</v>
      </c>
      <c r="AO26" s="136">
        <f t="shared" ref="AO26:AX26" si="63">SUM(AO24)</f>
        <v>102747359.05</v>
      </c>
      <c r="AP26" s="136">
        <f t="shared" si="63"/>
        <v>0</v>
      </c>
      <c r="AQ26" s="136">
        <f t="shared" si="63"/>
        <v>0</v>
      </c>
      <c r="AR26" s="136">
        <f t="shared" si="63"/>
        <v>0</v>
      </c>
      <c r="AS26" s="136">
        <f t="shared" si="63"/>
        <v>0</v>
      </c>
      <c r="AT26" s="136">
        <f t="shared" si="63"/>
        <v>0</v>
      </c>
      <c r="AU26" s="136">
        <f t="shared" si="63"/>
        <v>0</v>
      </c>
      <c r="AV26" s="136">
        <f t="shared" si="63"/>
        <v>-299534.04999999702</v>
      </c>
      <c r="AW26" s="136">
        <f t="shared" si="63"/>
        <v>102447825</v>
      </c>
      <c r="AX26" s="136">
        <f t="shared" si="63"/>
        <v>142703213</v>
      </c>
      <c r="AY26" s="136">
        <f t="shared" ref="AY26:BH26" si="64">SUM(AY24)</f>
        <v>0</v>
      </c>
      <c r="AZ26" s="136">
        <f t="shared" si="64"/>
        <v>99051511</v>
      </c>
      <c r="BA26" s="136">
        <f t="shared" si="64"/>
        <v>99330878</v>
      </c>
      <c r="BB26" s="136">
        <f t="shared" si="64"/>
        <v>102747359.05</v>
      </c>
      <c r="BC26" s="136">
        <f t="shared" si="64"/>
        <v>-299534.04999999702</v>
      </c>
      <c r="BD26" s="136">
        <f t="shared" si="64"/>
        <v>102447825</v>
      </c>
      <c r="BE26" s="136">
        <f t="shared" si="64"/>
        <v>102447825</v>
      </c>
      <c r="BF26" s="136">
        <f t="shared" si="64"/>
        <v>0</v>
      </c>
      <c r="BG26" s="136">
        <f t="shared" si="64"/>
        <v>0</v>
      </c>
      <c r="BH26" s="136">
        <f t="shared" si="64"/>
        <v>0</v>
      </c>
      <c r="BI26" s="136">
        <f t="shared" si="3"/>
        <v>102747359.05</v>
      </c>
      <c r="BJ26" s="136">
        <f>BJ24</f>
        <v>-299534.04999999702</v>
      </c>
      <c r="BK26" s="136">
        <f t="shared" ref="BK26:BL26" si="65">BK24</f>
        <v>102447825</v>
      </c>
      <c r="BL26" s="136">
        <f t="shared" si="65"/>
        <v>142703213</v>
      </c>
    </row>
    <row r="27" spans="1:64" ht="15.5" x14ac:dyDescent="0.35">
      <c r="A27" s="143" t="s">
        <v>383</v>
      </c>
      <c r="B27" s="141"/>
      <c r="C27" s="144">
        <f>SUM(C26,C18)</f>
        <v>914651287</v>
      </c>
      <c r="D27" s="144">
        <f t="shared" ref="D27:T27" si="66">SUM(D26,D18)</f>
        <v>948627148</v>
      </c>
      <c r="E27" s="144">
        <f t="shared" si="66"/>
        <v>786423751.75999999</v>
      </c>
      <c r="F27" s="144">
        <f t="shared" ref="F27:H27" si="67">SUM(F26,F18)</f>
        <v>61638458</v>
      </c>
      <c r="G27" s="144">
        <f t="shared" si="67"/>
        <v>848062209.75999999</v>
      </c>
      <c r="H27" s="144">
        <f t="shared" si="67"/>
        <v>817216828</v>
      </c>
      <c r="I27" s="144">
        <f t="shared" ref="I27" si="68">SUM(I26,I18)</f>
        <v>363744329.68000001</v>
      </c>
      <c r="J27" s="144">
        <f t="shared" si="66"/>
        <v>60000</v>
      </c>
      <c r="K27" s="144">
        <f t="shared" si="66"/>
        <v>1425583</v>
      </c>
      <c r="L27" s="144">
        <f t="shared" si="66"/>
        <v>99051511</v>
      </c>
      <c r="M27" s="144">
        <f t="shared" ref="M27:O27" si="69">SUM(M26,M18)</f>
        <v>101506110</v>
      </c>
      <c r="N27" s="144">
        <f t="shared" si="69"/>
        <v>104922591.05</v>
      </c>
      <c r="O27" s="144">
        <f t="shared" si="69"/>
        <v>1948709.950000003</v>
      </c>
      <c r="P27" s="144">
        <f>P26+P18</f>
        <v>144104817.81</v>
      </c>
      <c r="Q27" s="144">
        <f t="shared" ref="Q27:R27" si="70">Q26+Q18</f>
        <v>507941409</v>
      </c>
      <c r="R27" s="144">
        <f t="shared" si="70"/>
        <v>548186710</v>
      </c>
      <c r="S27" s="144">
        <f t="shared" ref="S27" si="71">SUM(S26,S18)</f>
        <v>99838454.049999997</v>
      </c>
      <c r="T27" s="144">
        <f t="shared" si="66"/>
        <v>1009711764</v>
      </c>
      <c r="U27" s="144">
        <f t="shared" ref="U27:V27" si="72">SUM(U26,U18)</f>
        <v>1045192169</v>
      </c>
      <c r="V27" s="144">
        <f t="shared" si="72"/>
        <v>879633356.75999999</v>
      </c>
      <c r="W27" s="144">
        <f t="shared" ref="W27:Y27" si="73">SUM(W26,W18)</f>
        <v>65787206</v>
      </c>
      <c r="X27" s="144">
        <f t="shared" si="73"/>
        <v>945420562.75999999</v>
      </c>
      <c r="Y27" s="144">
        <f t="shared" si="73"/>
        <v>895515980.50999999</v>
      </c>
      <c r="Z27" s="144">
        <f>Z26+Z18</f>
        <v>2229216.950000003</v>
      </c>
      <c r="AA27" s="144">
        <f t="shared" ref="AA27:AB27" si="74">AA26+AA18</f>
        <v>102067671</v>
      </c>
      <c r="AB27" s="144">
        <f t="shared" si="74"/>
        <v>102067671</v>
      </c>
      <c r="AC27" s="144">
        <f>I27+S27</f>
        <v>463582783.73000002</v>
      </c>
      <c r="AD27" s="144">
        <f>AD18+AD26</f>
        <v>146334034.75999999</v>
      </c>
      <c r="AE27" s="144">
        <f t="shared" ref="AE27:AF27" si="75">AE18+AE26</f>
        <v>610009080</v>
      </c>
      <c r="AF27" s="144">
        <f t="shared" si="75"/>
        <v>650254381</v>
      </c>
      <c r="AG27" s="143" t="s">
        <v>384</v>
      </c>
      <c r="AH27" s="141"/>
      <c r="AI27" s="525">
        <f t="shared" ref="AI27" si="76">AI18+AI26</f>
        <v>914651287</v>
      </c>
      <c r="AJ27" s="525">
        <f t="shared" ref="AJ27:AK27" si="77">AJ18+AJ26</f>
        <v>948627148</v>
      </c>
      <c r="AK27" s="525">
        <f t="shared" si="77"/>
        <v>332058035.96499997</v>
      </c>
      <c r="AL27" s="525">
        <f t="shared" ref="AL27:AN27" si="78">AL18+AL26</f>
        <v>155506578.03500003</v>
      </c>
      <c r="AM27" s="525">
        <f t="shared" si="78"/>
        <v>507941407</v>
      </c>
      <c r="AN27" s="525">
        <f t="shared" si="78"/>
        <v>306246314</v>
      </c>
      <c r="AO27" s="525">
        <f t="shared" ref="AO27:AX27" si="79">AO18+AO26</f>
        <v>363744329.96499997</v>
      </c>
      <c r="AP27" s="525">
        <f t="shared" si="79"/>
        <v>95060476.799999997</v>
      </c>
      <c r="AQ27" s="525">
        <f t="shared" si="79"/>
        <v>96565020.799999997</v>
      </c>
      <c r="AR27" s="525">
        <f t="shared" si="79"/>
        <v>93209605.120000005</v>
      </c>
      <c r="AS27" s="525">
        <f t="shared" si="79"/>
        <v>4148748</v>
      </c>
      <c r="AT27" s="525">
        <f t="shared" si="79"/>
        <v>97358353.120000005</v>
      </c>
      <c r="AU27" s="525">
        <f t="shared" si="79"/>
        <v>74257865</v>
      </c>
      <c r="AV27" s="525">
        <f t="shared" si="79"/>
        <v>144104818.03500003</v>
      </c>
      <c r="AW27" s="525">
        <f t="shared" si="79"/>
        <v>507941409</v>
      </c>
      <c r="AX27" s="525">
        <f t="shared" si="79"/>
        <v>325821357</v>
      </c>
      <c r="AY27" s="525">
        <f t="shared" ref="AY27:BH27" si="80">AY18+AY26</f>
        <v>99838454.049999997</v>
      </c>
      <c r="AZ27" s="525">
        <f t="shared" si="80"/>
        <v>1009711763.8</v>
      </c>
      <c r="BA27" s="525">
        <f t="shared" si="80"/>
        <v>1045192168.8</v>
      </c>
      <c r="BB27" s="525">
        <f t="shared" si="80"/>
        <v>425267641.08499998</v>
      </c>
      <c r="BC27" s="525">
        <f t="shared" si="80"/>
        <v>159655326.03500003</v>
      </c>
      <c r="BD27" s="525">
        <f t="shared" si="80"/>
        <v>605299760.12</v>
      </c>
      <c r="BE27" s="525">
        <f t="shared" si="80"/>
        <v>359823834</v>
      </c>
      <c r="BF27" s="525">
        <f t="shared" si="80"/>
        <v>2229216.9500000002</v>
      </c>
      <c r="BG27" s="525">
        <f t="shared" si="80"/>
        <v>102067671</v>
      </c>
      <c r="BH27" s="525">
        <f t="shared" si="80"/>
        <v>99742986</v>
      </c>
      <c r="BI27" s="525">
        <f t="shared" si="3"/>
        <v>463582784.01499999</v>
      </c>
      <c r="BJ27" s="525">
        <f>BJ18+BJ26</f>
        <v>146334034.98500001</v>
      </c>
      <c r="BK27" s="525">
        <f t="shared" ref="BK27:BL27" si="81">BK18+BK26</f>
        <v>610009080</v>
      </c>
      <c r="BL27" s="525">
        <f t="shared" si="81"/>
        <v>425564343</v>
      </c>
    </row>
    <row r="28" spans="1:64" x14ac:dyDescent="0.35">
      <c r="Z28" s="145"/>
    </row>
  </sheetData>
  <mergeCells count="13">
    <mergeCell ref="A3:AZ4"/>
    <mergeCell ref="A7:A8"/>
    <mergeCell ref="B7:B8"/>
    <mergeCell ref="AG7:AG8"/>
    <mergeCell ref="AH7:AH8"/>
    <mergeCell ref="C7:R7"/>
    <mergeCell ref="S7:AB7"/>
    <mergeCell ref="AC7:AF7"/>
    <mergeCell ref="A6:AF6"/>
    <mergeCell ref="AI7:AX7"/>
    <mergeCell ref="AY7:BH7"/>
    <mergeCell ref="AG6:BL6"/>
    <mergeCell ref="BI7:BL7"/>
  </mergeCells>
  <pageMargins left="0.70866141732283472" right="0.70866141732283472" top="0.74803149606299213" bottom="0.74803149606299213" header="0.31496062992125984" footer="0.31496062992125984"/>
  <pageSetup paperSize="8" scale="70" fitToWidth="2" orientation="landscape" r:id="rId1"/>
  <colBreaks count="1" manualBreakCount="1">
    <brk id="32" max="2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AS60"/>
  <sheetViews>
    <sheetView zoomScaleNormal="100" zoomScaleSheetLayoutView="100" workbookViewId="0">
      <pane xSplit="3" ySplit="7" topLeftCell="AI12" activePane="bottomRight" state="frozen"/>
      <selection pane="topRight" activeCell="C1" sqref="C1"/>
      <selection pane="bottomLeft" activeCell="A8" sqref="A8"/>
      <selection pane="bottomRight"/>
    </sheetView>
  </sheetViews>
  <sheetFormatPr defaultRowHeight="14.5" x14ac:dyDescent="0.35"/>
  <cols>
    <col min="1" max="1" width="27" customWidth="1"/>
    <col min="2" max="2" width="27" style="532" hidden="1" customWidth="1"/>
    <col min="3" max="3" width="18" customWidth="1"/>
    <col min="4" max="5" width="16" hidden="1" customWidth="1"/>
    <col min="6" max="6" width="16" style="532" customWidth="1"/>
    <col min="7" max="8" width="16" hidden="1" customWidth="1"/>
    <col min="9" max="9" width="16" style="532" customWidth="1"/>
    <col min="10" max="10" width="21.1796875" style="532" customWidth="1"/>
    <col min="11" max="11" width="16" hidden="1" customWidth="1"/>
    <col min="12" max="12" width="14.1796875" hidden="1" customWidth="1"/>
    <col min="13" max="14" width="14.1796875" style="532" customWidth="1"/>
    <col min="15" max="16" width="14.1796875" hidden="1" customWidth="1"/>
    <col min="17" max="18" width="14.1796875" style="532" customWidth="1"/>
    <col min="19" max="19" width="16" hidden="1" customWidth="1"/>
    <col min="20" max="21" width="15.1796875" hidden="1" customWidth="1"/>
    <col min="22" max="22" width="13.54296875" hidden="1" customWidth="1"/>
    <col min="23" max="23" width="13.54296875" style="532" customWidth="1"/>
    <col min="24" max="24" width="13.54296875" style="532" bestFit="1" customWidth="1"/>
    <col min="25" max="26" width="12.26953125" hidden="1" customWidth="1"/>
    <col min="27" max="27" width="16" style="532" customWidth="1"/>
    <col min="28" max="28" width="19.7265625" style="532" customWidth="1"/>
    <col min="29" max="30" width="12.26953125" hidden="1" customWidth="1"/>
    <col min="31" max="31" width="15.1796875" style="532" customWidth="1"/>
    <col min="32" max="32" width="16.26953125" style="532" customWidth="1"/>
    <col min="33" max="34" width="12.26953125" hidden="1" customWidth="1"/>
    <col min="35" max="36" width="12.26953125" style="532" customWidth="1"/>
    <col min="37" max="40" width="16.54296875" hidden="1" customWidth="1"/>
    <col min="41" max="41" width="16.54296875" style="532" customWidth="1"/>
    <col min="42" max="42" width="19.7265625" style="740" customWidth="1"/>
    <col min="43" max="43" width="17.7265625" hidden="1" customWidth="1"/>
    <col min="44" max="44" width="17.81640625" customWidth="1"/>
    <col min="45" max="45" width="17.54296875" customWidth="1"/>
  </cols>
  <sheetData>
    <row r="1" spans="1:45" x14ac:dyDescent="0.35">
      <c r="A1" t="s">
        <v>544</v>
      </c>
    </row>
    <row r="2" spans="1:45" x14ac:dyDescent="0.35">
      <c r="D2" s="1208" t="s">
        <v>660</v>
      </c>
      <c r="E2" s="1208"/>
      <c r="F2" s="1208"/>
      <c r="G2" s="1208"/>
      <c r="H2" s="1208"/>
      <c r="I2" s="1208"/>
      <c r="J2" s="1208"/>
      <c r="K2" s="1208"/>
      <c r="L2" s="1208"/>
      <c r="M2" s="1208"/>
      <c r="N2" s="1208"/>
      <c r="O2" s="1208"/>
    </row>
    <row r="3" spans="1:45" x14ac:dyDescent="0.35">
      <c r="L3" s="500"/>
      <c r="M3" s="882"/>
      <c r="N3" s="736"/>
    </row>
    <row r="5" spans="1:45" ht="15" customHeight="1" x14ac:dyDescent="0.35">
      <c r="A5" s="1215" t="s">
        <v>2</v>
      </c>
      <c r="B5" s="737"/>
      <c r="C5" s="1215" t="s">
        <v>3</v>
      </c>
      <c r="D5" s="1216" t="s">
        <v>661</v>
      </c>
      <c r="E5" s="1217"/>
      <c r="F5" s="1217"/>
      <c r="G5" s="1217"/>
      <c r="H5" s="1217"/>
      <c r="I5" s="1217"/>
      <c r="J5" s="1217"/>
      <c r="K5" s="1217"/>
      <c r="L5" s="1217"/>
      <c r="M5" s="1217"/>
      <c r="N5" s="1217"/>
      <c r="O5" s="1217"/>
      <c r="P5" s="1217"/>
      <c r="Q5" s="1217"/>
      <c r="R5" s="1217"/>
      <c r="S5" s="1217"/>
      <c r="T5" s="1218"/>
      <c r="U5" s="1218"/>
      <c r="V5" s="1218"/>
      <c r="W5" s="1218"/>
      <c r="X5" s="1218"/>
      <c r="Y5" s="1218"/>
      <c r="Z5" s="1218"/>
      <c r="AA5" s="1218"/>
      <c r="AB5" s="1218"/>
      <c r="AC5" s="1218"/>
      <c r="AD5" s="1218"/>
      <c r="AE5" s="1218"/>
      <c r="AF5" s="1218"/>
      <c r="AG5" s="1218"/>
      <c r="AH5" s="1218"/>
      <c r="AI5" s="1218"/>
      <c r="AJ5" s="1219"/>
      <c r="AK5" s="934"/>
      <c r="AL5" s="934"/>
      <c r="AM5" s="934"/>
      <c r="AN5" s="934"/>
      <c r="AO5" s="934"/>
      <c r="AP5" s="934"/>
      <c r="AQ5" s="934"/>
      <c r="AR5" s="934"/>
      <c r="AS5" s="934"/>
    </row>
    <row r="6" spans="1:45" ht="45" customHeight="1" x14ac:dyDescent="0.35">
      <c r="A6" s="1215"/>
      <c r="B6" s="737"/>
      <c r="C6" s="1215"/>
      <c r="D6" s="1220" t="s">
        <v>238</v>
      </c>
      <c r="E6" s="1221"/>
      <c r="F6" s="1221"/>
      <c r="G6" s="1221"/>
      <c r="H6" s="1221"/>
      <c r="I6" s="1221"/>
      <c r="J6" s="1220" t="s">
        <v>1109</v>
      </c>
      <c r="K6" s="1221"/>
      <c r="L6" s="1221"/>
      <c r="M6" s="1221"/>
      <c r="N6" s="1220" t="s">
        <v>261</v>
      </c>
      <c r="O6" s="1221"/>
      <c r="P6" s="1221"/>
      <c r="Q6" s="1221"/>
      <c r="R6" s="1222" t="s">
        <v>262</v>
      </c>
      <c r="S6" s="1222"/>
      <c r="T6" s="1222"/>
      <c r="U6" s="1222"/>
      <c r="V6" s="1222"/>
      <c r="W6" s="1222"/>
      <c r="X6" s="1220" t="s">
        <v>263</v>
      </c>
      <c r="Y6" s="1221"/>
      <c r="Z6" s="1221"/>
      <c r="AA6" s="1221"/>
      <c r="AB6" s="1220" t="s">
        <v>853</v>
      </c>
      <c r="AC6" s="1221"/>
      <c r="AD6" s="1221"/>
      <c r="AE6" s="1221"/>
      <c r="AF6" s="1220" t="s">
        <v>878</v>
      </c>
      <c r="AG6" s="1221"/>
      <c r="AH6" s="1221"/>
      <c r="AI6" s="1221"/>
      <c r="AJ6" s="1220" t="s">
        <v>877</v>
      </c>
      <c r="AK6" s="1221"/>
      <c r="AL6" s="1221"/>
      <c r="AM6" s="1221"/>
      <c r="AN6" s="1221"/>
      <c r="AO6" s="1223"/>
      <c r="AP6" s="1211" t="s">
        <v>851</v>
      </c>
      <c r="AQ6" s="1212"/>
      <c r="AR6" s="1212"/>
      <c r="AS6" s="1213"/>
    </row>
    <row r="7" spans="1:45" ht="31.5" customHeight="1" x14ac:dyDescent="0.35">
      <c r="A7" s="1215"/>
      <c r="B7" s="737"/>
      <c r="C7" s="1215"/>
      <c r="D7" s="382" t="s">
        <v>798</v>
      </c>
      <c r="E7" s="382" t="s">
        <v>870</v>
      </c>
      <c r="F7" s="382" t="s">
        <v>968</v>
      </c>
      <c r="G7" s="382" t="s">
        <v>669</v>
      </c>
      <c r="H7" s="382" t="s">
        <v>870</v>
      </c>
      <c r="I7" s="382" t="s">
        <v>1102</v>
      </c>
      <c r="J7" s="382" t="s">
        <v>968</v>
      </c>
      <c r="K7" s="382" t="s">
        <v>669</v>
      </c>
      <c r="L7" s="382" t="s">
        <v>870</v>
      </c>
      <c r="M7" s="382" t="s">
        <v>1102</v>
      </c>
      <c r="N7" s="382" t="s">
        <v>968</v>
      </c>
      <c r="O7" s="382" t="s">
        <v>669</v>
      </c>
      <c r="P7" s="382" t="s">
        <v>870</v>
      </c>
      <c r="Q7" s="382" t="s">
        <v>1102</v>
      </c>
      <c r="R7" s="382" t="s">
        <v>968</v>
      </c>
      <c r="S7" s="382" t="s">
        <v>669</v>
      </c>
      <c r="T7" s="382" t="s">
        <v>870</v>
      </c>
      <c r="U7" s="382" t="s">
        <v>1102</v>
      </c>
      <c r="V7" s="382" t="s">
        <v>870</v>
      </c>
      <c r="W7" s="382" t="s">
        <v>1102</v>
      </c>
      <c r="X7" s="938" t="s">
        <v>968</v>
      </c>
      <c r="Y7" s="382" t="s">
        <v>669</v>
      </c>
      <c r="Z7" s="382" t="s">
        <v>870</v>
      </c>
      <c r="AA7" s="382" t="s">
        <v>1102</v>
      </c>
      <c r="AB7" s="382" t="s">
        <v>968</v>
      </c>
      <c r="AC7" s="382" t="s">
        <v>669</v>
      </c>
      <c r="AD7" s="382" t="s">
        <v>870</v>
      </c>
      <c r="AE7" s="382" t="s">
        <v>1102</v>
      </c>
      <c r="AF7" s="382" t="s">
        <v>968</v>
      </c>
      <c r="AG7" s="382" t="s">
        <v>669</v>
      </c>
      <c r="AH7" s="382" t="s">
        <v>870</v>
      </c>
      <c r="AI7" s="382" t="s">
        <v>1102</v>
      </c>
      <c r="AJ7" s="382" t="s">
        <v>968</v>
      </c>
      <c r="AK7" s="382" t="s">
        <v>669</v>
      </c>
      <c r="AL7" s="382" t="s">
        <v>870</v>
      </c>
      <c r="AM7" s="382" t="s">
        <v>1102</v>
      </c>
      <c r="AN7" s="382" t="s">
        <v>870</v>
      </c>
      <c r="AO7" s="382" t="s">
        <v>1102</v>
      </c>
      <c r="AP7" s="612" t="s">
        <v>901</v>
      </c>
      <c r="AQ7" s="382" t="s">
        <v>1097</v>
      </c>
      <c r="AR7" s="612" t="s">
        <v>1101</v>
      </c>
      <c r="AS7" s="382" t="s">
        <v>673</v>
      </c>
    </row>
    <row r="8" spans="1:45" ht="24.75" customHeight="1" x14ac:dyDescent="0.35">
      <c r="A8" s="383" t="s">
        <v>675</v>
      </c>
      <c r="B8" s="383" t="s">
        <v>969</v>
      </c>
      <c r="C8" s="344" t="s">
        <v>39</v>
      </c>
      <c r="D8" s="384"/>
      <c r="E8" s="384"/>
      <c r="F8" s="384">
        <v>0</v>
      </c>
      <c r="G8" s="384"/>
      <c r="H8" s="384"/>
      <c r="I8" s="591">
        <v>25343</v>
      </c>
      <c r="J8" s="384"/>
      <c r="K8" s="384"/>
      <c r="L8" s="384"/>
      <c r="M8" s="384"/>
      <c r="N8" s="384"/>
      <c r="O8" s="384"/>
      <c r="P8" s="384"/>
      <c r="Q8" s="384"/>
      <c r="R8" s="384"/>
      <c r="S8" s="771">
        <v>2340000</v>
      </c>
      <c r="T8" s="771">
        <v>0</v>
      </c>
      <c r="U8" s="771">
        <v>0</v>
      </c>
      <c r="V8" s="771">
        <v>1538513</v>
      </c>
      <c r="W8" s="771"/>
      <c r="X8" s="771">
        <v>2726600</v>
      </c>
      <c r="Y8" s="385"/>
      <c r="Z8" s="385"/>
      <c r="AA8" s="592">
        <v>2671408</v>
      </c>
      <c r="AB8" s="385"/>
      <c r="AC8" s="385"/>
      <c r="AD8" s="385"/>
      <c r="AE8" s="385"/>
      <c r="AF8" s="385"/>
      <c r="AG8" s="385"/>
      <c r="AH8" s="385"/>
      <c r="AI8" s="385"/>
      <c r="AJ8" s="385"/>
      <c r="AK8" s="935">
        <f>SUM(D8,G8,K8,O8,S8,Y8,AC8,AG8)</f>
        <v>2340000</v>
      </c>
      <c r="AL8" s="409">
        <v>-313103</v>
      </c>
      <c r="AM8" s="936">
        <f>AK8+AL8</f>
        <v>2026897</v>
      </c>
      <c r="AN8" s="937">
        <f>SUM(E8,H8,L8,P8,V8,Z8,AD8,AH8)</f>
        <v>1538513</v>
      </c>
      <c r="AO8" s="937"/>
      <c r="AP8" s="937">
        <f>SUM(AJ8,AF8,AB8,X8,R8,N8,J8,F8)</f>
        <v>2726600</v>
      </c>
      <c r="AQ8" s="507">
        <f>AR8-AP8</f>
        <v>-29849</v>
      </c>
      <c r="AR8" s="507">
        <f>AS8</f>
        <v>2696751</v>
      </c>
      <c r="AS8" s="507">
        <f>I8+M8+Q8+W8+AA8+AE8+AI8+AO8</f>
        <v>2696751</v>
      </c>
    </row>
    <row r="9" spans="1:45" x14ac:dyDescent="0.35">
      <c r="A9" s="383" t="s">
        <v>676</v>
      </c>
      <c r="B9" s="383"/>
      <c r="C9" s="344" t="s">
        <v>41</v>
      </c>
      <c r="D9" s="384"/>
      <c r="E9" s="384"/>
      <c r="F9" s="384">
        <v>0</v>
      </c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771">
        <v>456300</v>
      </c>
      <c r="T9" s="771">
        <v>0</v>
      </c>
      <c r="U9" s="771">
        <v>0</v>
      </c>
      <c r="V9" s="771">
        <v>298847</v>
      </c>
      <c r="W9" s="771"/>
      <c r="X9" s="771">
        <f>X8*0.175</f>
        <v>477154.99999999994</v>
      </c>
      <c r="Y9" s="385"/>
      <c r="Z9" s="385"/>
      <c r="AA9" s="592">
        <v>460073</v>
      </c>
      <c r="AB9" s="385"/>
      <c r="AC9" s="385"/>
      <c r="AD9" s="385"/>
      <c r="AE9" s="385"/>
      <c r="AF9" s="385"/>
      <c r="AG9" s="385"/>
      <c r="AH9" s="385"/>
      <c r="AI9" s="385"/>
      <c r="AJ9" s="385"/>
      <c r="AK9" s="334">
        <f t="shared" ref="AK9:AK56" si="0">SUM(D9,G9,K9,O9,S9,Y9,AC9,AG9)</f>
        <v>456300</v>
      </c>
      <c r="AL9" s="1">
        <v>-100044</v>
      </c>
      <c r="AM9" s="507">
        <f t="shared" ref="AM9:AM56" si="1">AK9+AL9</f>
        <v>356256</v>
      </c>
      <c r="AN9" s="330">
        <f t="shared" ref="AN9:AN56" si="2">SUM(E9,H9,L9,P9,V9,Z9,AD9,AH9)</f>
        <v>298847</v>
      </c>
      <c r="AO9" s="330"/>
      <c r="AP9" s="330">
        <f t="shared" ref="AP9:AP59" si="3">SUM(AJ9,AF9,AB9,X9,R9,N9,J9,F9)</f>
        <v>477154.99999999994</v>
      </c>
      <c r="AQ9" s="507">
        <f t="shared" ref="AQ9:AQ57" si="4">AR9-AP9</f>
        <v>-17081.999999999942</v>
      </c>
      <c r="AR9" s="507">
        <f t="shared" ref="AR9:AR57" si="5">AS9</f>
        <v>460073</v>
      </c>
      <c r="AS9" s="507">
        <f t="shared" ref="AS9:AS59" si="6">I9+M9+Q9+W9+AA9+AE9+AI9+AO9</f>
        <v>460073</v>
      </c>
    </row>
    <row r="10" spans="1:45" x14ac:dyDescent="0.35">
      <c r="A10" s="383" t="s">
        <v>268</v>
      </c>
      <c r="B10" s="383"/>
      <c r="C10" s="344" t="s">
        <v>44</v>
      </c>
      <c r="D10" s="349">
        <f>SUM(D11:D11)</f>
        <v>0</v>
      </c>
      <c r="E10" s="349"/>
      <c r="F10" s="349">
        <v>0</v>
      </c>
      <c r="G10" s="349">
        <f>SUM(G11:G11)</f>
        <v>0</v>
      </c>
      <c r="H10" s="349"/>
      <c r="I10" s="349"/>
      <c r="J10" s="349"/>
      <c r="K10" s="349">
        <f>SUM(K11:K11)</f>
        <v>0</v>
      </c>
      <c r="L10" s="349"/>
      <c r="M10" s="349"/>
      <c r="N10" s="349"/>
      <c r="O10" s="349">
        <f>SUM(O11:O11)</f>
        <v>0</v>
      </c>
      <c r="P10" s="349"/>
      <c r="Q10" s="349"/>
      <c r="R10" s="349"/>
      <c r="S10" s="349">
        <f>SUM(S11:S11)</f>
        <v>0</v>
      </c>
      <c r="T10" s="349">
        <v>0</v>
      </c>
      <c r="U10" s="349">
        <v>0</v>
      </c>
      <c r="V10" s="349"/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49"/>
      <c r="AH10" s="349"/>
      <c r="AI10" s="349"/>
      <c r="AJ10" s="349"/>
      <c r="AK10" s="334">
        <f t="shared" si="0"/>
        <v>0</v>
      </c>
      <c r="AL10" s="1"/>
      <c r="AM10" s="507">
        <f t="shared" si="1"/>
        <v>0</v>
      </c>
      <c r="AN10" s="330">
        <f t="shared" si="2"/>
        <v>0</v>
      </c>
      <c r="AO10" s="330"/>
      <c r="AP10" s="330">
        <f t="shared" si="3"/>
        <v>0</v>
      </c>
      <c r="AQ10" s="507">
        <f t="shared" si="4"/>
        <v>0</v>
      </c>
      <c r="AR10" s="507">
        <f t="shared" si="5"/>
        <v>0</v>
      </c>
      <c r="AS10" s="507">
        <f t="shared" si="6"/>
        <v>0</v>
      </c>
    </row>
    <row r="11" spans="1:45" hidden="1" x14ac:dyDescent="0.35">
      <c r="A11" s="386" t="s">
        <v>272</v>
      </c>
      <c r="B11" s="386"/>
      <c r="C11" s="346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>
        <v>0</v>
      </c>
      <c r="U11" s="347">
        <v>0</v>
      </c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  <c r="AG11" s="347"/>
      <c r="AH11" s="347"/>
      <c r="AI11" s="347"/>
      <c r="AJ11" s="347"/>
      <c r="AK11" s="334">
        <f t="shared" si="0"/>
        <v>0</v>
      </c>
      <c r="AL11" s="1"/>
      <c r="AM11" s="507">
        <f t="shared" si="1"/>
        <v>0</v>
      </c>
      <c r="AN11" s="330">
        <f t="shared" si="2"/>
        <v>0</v>
      </c>
      <c r="AO11" s="330"/>
      <c r="AP11" s="330">
        <f t="shared" si="3"/>
        <v>0</v>
      </c>
      <c r="AQ11" s="507">
        <f t="shared" si="4"/>
        <v>0</v>
      </c>
      <c r="AR11" s="507">
        <f t="shared" si="5"/>
        <v>0</v>
      </c>
      <c r="AS11" s="507">
        <f t="shared" si="6"/>
        <v>0</v>
      </c>
    </row>
    <row r="12" spans="1:45" x14ac:dyDescent="0.35">
      <c r="A12" s="383" t="s">
        <v>273</v>
      </c>
      <c r="B12" s="383"/>
      <c r="C12" s="344" t="s">
        <v>50</v>
      </c>
      <c r="D12" s="349">
        <f>SUM(D13:D14)</f>
        <v>500000</v>
      </c>
      <c r="E12" s="349">
        <v>102949</v>
      </c>
      <c r="F12" s="349">
        <f>200000+15400</f>
        <v>215400</v>
      </c>
      <c r="G12" s="349">
        <f t="shared" ref="G12:S12" si="7">SUM(G13:G14)</f>
        <v>0</v>
      </c>
      <c r="H12" s="349"/>
      <c r="I12" s="591">
        <v>402632</v>
      </c>
      <c r="J12" s="349"/>
      <c r="K12" s="349">
        <f t="shared" si="7"/>
        <v>0</v>
      </c>
      <c r="L12" s="349"/>
      <c r="M12" s="591">
        <v>15100</v>
      </c>
      <c r="N12" s="349"/>
      <c r="O12" s="349">
        <f t="shared" si="7"/>
        <v>0</v>
      </c>
      <c r="P12" s="349">
        <v>1551</v>
      </c>
      <c r="Q12" s="349"/>
      <c r="R12" s="349">
        <v>10000</v>
      </c>
      <c r="S12" s="349">
        <f t="shared" si="7"/>
        <v>200000</v>
      </c>
      <c r="T12" s="349">
        <v>650000</v>
      </c>
      <c r="U12" s="349">
        <v>650000</v>
      </c>
      <c r="V12" s="349">
        <v>64568</v>
      </c>
      <c r="W12" s="591">
        <v>2728</v>
      </c>
      <c r="X12" s="349">
        <v>200000</v>
      </c>
      <c r="Y12" s="349"/>
      <c r="Z12" s="349"/>
      <c r="AA12" s="591">
        <v>84893</v>
      </c>
      <c r="AB12" s="349"/>
      <c r="AC12" s="349"/>
      <c r="AD12" s="349"/>
      <c r="AE12" s="349"/>
      <c r="AF12" s="349"/>
      <c r="AG12" s="349"/>
      <c r="AH12" s="349"/>
      <c r="AI12" s="349"/>
      <c r="AJ12" s="349"/>
      <c r="AK12" s="334">
        <f t="shared" si="0"/>
        <v>700000</v>
      </c>
      <c r="AL12" s="1">
        <v>78740</v>
      </c>
      <c r="AM12" s="507">
        <f t="shared" si="1"/>
        <v>778740</v>
      </c>
      <c r="AN12" s="330">
        <f t="shared" si="2"/>
        <v>169068</v>
      </c>
      <c r="AO12" s="591">
        <v>1500</v>
      </c>
      <c r="AP12" s="330">
        <f t="shared" si="3"/>
        <v>425400</v>
      </c>
      <c r="AQ12" s="507">
        <f t="shared" si="4"/>
        <v>81453</v>
      </c>
      <c r="AR12" s="507">
        <f t="shared" si="5"/>
        <v>506853</v>
      </c>
      <c r="AS12" s="507">
        <f t="shared" si="6"/>
        <v>506853</v>
      </c>
    </row>
    <row r="13" spans="1:45" ht="21" hidden="1" x14ac:dyDescent="0.35">
      <c r="A13" s="386" t="s">
        <v>537</v>
      </c>
      <c r="B13" s="386"/>
      <c r="C13" s="346"/>
      <c r="D13" s="347"/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347"/>
      <c r="R13" s="347"/>
      <c r="S13" s="347">
        <v>200000</v>
      </c>
      <c r="T13" s="347">
        <v>150000</v>
      </c>
      <c r="U13" s="347">
        <v>150000</v>
      </c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47"/>
      <c r="AH13" s="347"/>
      <c r="AI13" s="347"/>
      <c r="AJ13" s="347"/>
      <c r="AK13" s="334">
        <f t="shared" si="0"/>
        <v>200000</v>
      </c>
      <c r="AL13" s="1"/>
      <c r="AM13" s="507">
        <f t="shared" si="1"/>
        <v>200000</v>
      </c>
      <c r="AN13" s="330">
        <f t="shared" si="2"/>
        <v>0</v>
      </c>
      <c r="AO13" s="330"/>
      <c r="AP13" s="330">
        <f t="shared" si="3"/>
        <v>0</v>
      </c>
      <c r="AQ13" s="507">
        <f t="shared" si="4"/>
        <v>0</v>
      </c>
      <c r="AR13" s="507">
        <f t="shared" si="5"/>
        <v>0</v>
      </c>
      <c r="AS13" s="507">
        <f t="shared" si="6"/>
        <v>0</v>
      </c>
    </row>
    <row r="14" spans="1:45" hidden="1" x14ac:dyDescent="0.35">
      <c r="A14" s="386" t="s">
        <v>278</v>
      </c>
      <c r="B14" s="386"/>
      <c r="C14" s="346"/>
      <c r="D14" s="347">
        <v>500000</v>
      </c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>
        <v>500000</v>
      </c>
      <c r="U14" s="347">
        <v>500000</v>
      </c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34">
        <f t="shared" si="0"/>
        <v>500000</v>
      </c>
      <c r="AL14" s="1"/>
      <c r="AM14" s="507">
        <f t="shared" si="1"/>
        <v>500000</v>
      </c>
      <c r="AN14" s="330">
        <f t="shared" si="2"/>
        <v>0</v>
      </c>
      <c r="AO14" s="330"/>
      <c r="AP14" s="330">
        <f t="shared" si="3"/>
        <v>0</v>
      </c>
      <c r="AQ14" s="507">
        <f t="shared" si="4"/>
        <v>0</v>
      </c>
      <c r="AR14" s="507">
        <f t="shared" si="5"/>
        <v>0</v>
      </c>
      <c r="AS14" s="507">
        <f t="shared" si="6"/>
        <v>0</v>
      </c>
    </row>
    <row r="15" spans="1:45" x14ac:dyDescent="0.35">
      <c r="A15" s="383" t="s">
        <v>279</v>
      </c>
      <c r="B15" s="383"/>
      <c r="C15" s="344" t="s">
        <v>280</v>
      </c>
      <c r="D15" s="348"/>
      <c r="E15" s="348"/>
      <c r="F15" s="348">
        <v>0</v>
      </c>
      <c r="G15" s="348"/>
      <c r="H15" s="348"/>
      <c r="I15" s="348"/>
      <c r="J15" s="348"/>
      <c r="K15" s="348"/>
      <c r="L15" s="348"/>
      <c r="M15" s="348"/>
      <c r="N15" s="348"/>
      <c r="O15" s="348"/>
      <c r="P15" s="348"/>
      <c r="Q15" s="348"/>
      <c r="R15" s="348"/>
      <c r="S15" s="348"/>
      <c r="T15" s="348">
        <v>0</v>
      </c>
      <c r="U15" s="348">
        <v>0</v>
      </c>
      <c r="V15" s="348"/>
      <c r="W15" s="348"/>
      <c r="X15" s="348"/>
      <c r="Y15" s="348"/>
      <c r="Z15" s="348"/>
      <c r="AA15" s="348"/>
      <c r="AB15" s="348"/>
      <c r="AC15" s="348"/>
      <c r="AD15" s="348"/>
      <c r="AE15" s="348"/>
      <c r="AF15" s="348"/>
      <c r="AG15" s="348"/>
      <c r="AH15" s="348"/>
      <c r="AI15" s="348"/>
      <c r="AJ15" s="348"/>
      <c r="AK15" s="334">
        <f t="shared" si="0"/>
        <v>0</v>
      </c>
      <c r="AL15" s="1"/>
      <c r="AM15" s="507">
        <f t="shared" si="1"/>
        <v>0</v>
      </c>
      <c r="AN15" s="330">
        <f t="shared" si="2"/>
        <v>0</v>
      </c>
      <c r="AO15" s="330"/>
      <c r="AP15" s="330">
        <f t="shared" si="3"/>
        <v>0</v>
      </c>
      <c r="AQ15" s="507">
        <f t="shared" si="4"/>
        <v>0</v>
      </c>
      <c r="AR15" s="507">
        <f t="shared" si="5"/>
        <v>0</v>
      </c>
      <c r="AS15" s="507">
        <f t="shared" si="6"/>
        <v>0</v>
      </c>
    </row>
    <row r="16" spans="1:45" s="530" customFormat="1" x14ac:dyDescent="0.35">
      <c r="A16" s="383" t="s">
        <v>281</v>
      </c>
      <c r="B16" s="383"/>
      <c r="C16" s="344" t="s">
        <v>58</v>
      </c>
      <c r="D16" s="349">
        <f>SUM(D12,D10,D15)</f>
        <v>500000</v>
      </c>
      <c r="E16" s="349">
        <f t="shared" ref="E16" si="8">SUM(E12,E10,E15)</f>
        <v>102949</v>
      </c>
      <c r="F16" s="349">
        <f>SUM(F10:F15)</f>
        <v>215400</v>
      </c>
      <c r="G16" s="349">
        <f t="shared" ref="G16:W16" si="9">SUM(G10:G15)</f>
        <v>0</v>
      </c>
      <c r="H16" s="349">
        <f t="shared" si="9"/>
        <v>0</v>
      </c>
      <c r="I16" s="349">
        <f t="shared" si="9"/>
        <v>402632</v>
      </c>
      <c r="J16" s="349">
        <f t="shared" si="9"/>
        <v>0</v>
      </c>
      <c r="K16" s="349">
        <f t="shared" si="9"/>
        <v>0</v>
      </c>
      <c r="L16" s="349">
        <f t="shared" si="9"/>
        <v>0</v>
      </c>
      <c r="M16" s="349">
        <f t="shared" si="9"/>
        <v>15100</v>
      </c>
      <c r="N16" s="349">
        <f t="shared" si="9"/>
        <v>0</v>
      </c>
      <c r="O16" s="349">
        <f t="shared" si="9"/>
        <v>0</v>
      </c>
      <c r="P16" s="349">
        <f t="shared" si="9"/>
        <v>1551</v>
      </c>
      <c r="Q16" s="349">
        <f t="shared" si="9"/>
        <v>0</v>
      </c>
      <c r="R16" s="349">
        <f t="shared" si="9"/>
        <v>10000</v>
      </c>
      <c r="S16" s="349">
        <f t="shared" si="9"/>
        <v>400000</v>
      </c>
      <c r="T16" s="349">
        <f t="shared" si="9"/>
        <v>1300000</v>
      </c>
      <c r="U16" s="349">
        <f t="shared" si="9"/>
        <v>1300000</v>
      </c>
      <c r="V16" s="349">
        <f t="shared" si="9"/>
        <v>64568</v>
      </c>
      <c r="W16" s="349">
        <f t="shared" si="9"/>
        <v>2728</v>
      </c>
      <c r="X16" s="349">
        <f>SUM(X10:X15)</f>
        <v>200000</v>
      </c>
      <c r="Y16" s="349">
        <f t="shared" ref="Y16:AO16" si="10">SUM(Y10:Y15)</f>
        <v>0</v>
      </c>
      <c r="Z16" s="349">
        <f t="shared" si="10"/>
        <v>0</v>
      </c>
      <c r="AA16" s="349">
        <f t="shared" si="10"/>
        <v>84893</v>
      </c>
      <c r="AB16" s="349">
        <f t="shared" si="10"/>
        <v>0</v>
      </c>
      <c r="AC16" s="349">
        <f t="shared" si="10"/>
        <v>0</v>
      </c>
      <c r="AD16" s="349">
        <f t="shared" si="10"/>
        <v>0</v>
      </c>
      <c r="AE16" s="349">
        <f t="shared" si="10"/>
        <v>0</v>
      </c>
      <c r="AF16" s="349">
        <f t="shared" si="10"/>
        <v>0</v>
      </c>
      <c r="AG16" s="349">
        <f t="shared" si="10"/>
        <v>0</v>
      </c>
      <c r="AH16" s="349">
        <f t="shared" si="10"/>
        <v>0</v>
      </c>
      <c r="AI16" s="349">
        <f t="shared" si="10"/>
        <v>0</v>
      </c>
      <c r="AJ16" s="349">
        <f t="shared" si="10"/>
        <v>0</v>
      </c>
      <c r="AK16" s="349">
        <f t="shared" si="10"/>
        <v>1400000</v>
      </c>
      <c r="AL16" s="349">
        <f t="shared" si="10"/>
        <v>78740</v>
      </c>
      <c r="AM16" s="349">
        <f t="shared" si="10"/>
        <v>1478740</v>
      </c>
      <c r="AN16" s="349">
        <f t="shared" si="10"/>
        <v>169068</v>
      </c>
      <c r="AO16" s="349">
        <f t="shared" si="10"/>
        <v>1500</v>
      </c>
      <c r="AP16" s="330">
        <f t="shared" si="3"/>
        <v>425400</v>
      </c>
      <c r="AQ16" s="507">
        <f t="shared" si="4"/>
        <v>81453</v>
      </c>
      <c r="AR16" s="507">
        <f t="shared" si="5"/>
        <v>506853</v>
      </c>
      <c r="AS16" s="507">
        <f t="shared" si="6"/>
        <v>506853</v>
      </c>
    </row>
    <row r="17" spans="1:45" ht="23.5" customHeight="1" x14ac:dyDescent="0.35">
      <c r="A17" s="383" t="s">
        <v>282</v>
      </c>
      <c r="B17" s="383" t="s">
        <v>1001</v>
      </c>
      <c r="C17" s="344" t="s">
        <v>60</v>
      </c>
      <c r="D17" s="348"/>
      <c r="E17" s="348">
        <v>61496</v>
      </c>
      <c r="F17" s="348">
        <v>40000</v>
      </c>
      <c r="G17" s="348"/>
      <c r="H17" s="348"/>
      <c r="I17" s="591">
        <v>25000</v>
      </c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>
        <v>0</v>
      </c>
      <c r="U17" s="348">
        <v>0</v>
      </c>
      <c r="V17" s="348"/>
      <c r="W17" s="348"/>
      <c r="X17" s="348"/>
      <c r="Y17" s="348"/>
      <c r="Z17" s="348"/>
      <c r="AA17" s="348"/>
      <c r="AB17" s="348"/>
      <c r="AC17" s="348"/>
      <c r="AD17" s="348"/>
      <c r="AE17" s="348"/>
      <c r="AF17" s="348"/>
      <c r="AG17" s="348"/>
      <c r="AH17" s="348"/>
      <c r="AI17" s="348"/>
      <c r="AJ17" s="348"/>
      <c r="AK17" s="334">
        <f t="shared" si="0"/>
        <v>0</v>
      </c>
      <c r="AL17" s="1"/>
      <c r="AM17" s="507">
        <f t="shared" si="1"/>
        <v>0</v>
      </c>
      <c r="AN17" s="330">
        <f t="shared" si="2"/>
        <v>61496</v>
      </c>
      <c r="AO17" s="330"/>
      <c r="AP17" s="330">
        <f t="shared" si="3"/>
        <v>40000</v>
      </c>
      <c r="AQ17" s="507">
        <f t="shared" si="4"/>
        <v>-15000</v>
      </c>
      <c r="AR17" s="507">
        <f t="shared" si="5"/>
        <v>25000</v>
      </c>
      <c r="AS17" s="507">
        <f t="shared" si="6"/>
        <v>25000</v>
      </c>
    </row>
    <row r="18" spans="1:45" x14ac:dyDescent="0.35">
      <c r="A18" s="383" t="s">
        <v>287</v>
      </c>
      <c r="B18" s="383" t="s">
        <v>1002</v>
      </c>
      <c r="C18" s="344" t="s">
        <v>64</v>
      </c>
      <c r="D18" s="348">
        <f>SUM(D19:D20)</f>
        <v>120000</v>
      </c>
      <c r="E18" s="348">
        <v>13795</v>
      </c>
      <c r="F18" s="348">
        <v>30000</v>
      </c>
      <c r="G18" s="348"/>
      <c r="H18" s="348"/>
      <c r="I18" s="591">
        <v>20360</v>
      </c>
      <c r="J18" s="348"/>
      <c r="K18" s="348"/>
      <c r="L18" s="348"/>
      <c r="M18" s="348"/>
      <c r="N18" s="348"/>
      <c r="O18" s="348"/>
      <c r="P18" s="348"/>
      <c r="Q18" s="348"/>
      <c r="R18" s="348"/>
      <c r="S18" s="348"/>
      <c r="T18" s="348">
        <v>0</v>
      </c>
      <c r="U18" s="348">
        <v>0</v>
      </c>
      <c r="V18" s="348"/>
      <c r="W18" s="348"/>
      <c r="X18" s="348"/>
      <c r="Y18" s="348"/>
      <c r="Z18" s="348"/>
      <c r="AA18" s="348"/>
      <c r="AB18" s="348"/>
      <c r="AC18" s="348"/>
      <c r="AD18" s="348"/>
      <c r="AE18" s="348"/>
      <c r="AF18" s="348"/>
      <c r="AG18" s="348"/>
      <c r="AH18" s="348"/>
      <c r="AI18" s="348"/>
      <c r="AJ18" s="348"/>
      <c r="AK18" s="334">
        <f t="shared" si="0"/>
        <v>120000</v>
      </c>
      <c r="AL18" s="1"/>
      <c r="AM18" s="507">
        <f t="shared" si="1"/>
        <v>120000</v>
      </c>
      <c r="AN18" s="330">
        <f t="shared" si="2"/>
        <v>13795</v>
      </c>
      <c r="AO18" s="330"/>
      <c r="AP18" s="330">
        <f t="shared" si="3"/>
        <v>30000</v>
      </c>
      <c r="AQ18" s="507">
        <f t="shared" si="4"/>
        <v>-9640</v>
      </c>
      <c r="AR18" s="507">
        <f t="shared" si="5"/>
        <v>20360</v>
      </c>
      <c r="AS18" s="507">
        <f t="shared" si="6"/>
        <v>20360</v>
      </c>
    </row>
    <row r="19" spans="1:45" hidden="1" x14ac:dyDescent="0.35">
      <c r="A19" s="386" t="s">
        <v>288</v>
      </c>
      <c r="B19" s="386"/>
      <c r="C19" s="346"/>
      <c r="D19" s="347">
        <v>120000</v>
      </c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>
        <v>0</v>
      </c>
      <c r="U19" s="347">
        <v>0</v>
      </c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34">
        <f t="shared" si="0"/>
        <v>120000</v>
      </c>
      <c r="AL19" s="1"/>
      <c r="AM19" s="507">
        <f t="shared" si="1"/>
        <v>120000</v>
      </c>
      <c r="AN19" s="334">
        <f t="shared" si="2"/>
        <v>0</v>
      </c>
      <c r="AO19" s="334"/>
      <c r="AP19" s="330">
        <f t="shared" si="3"/>
        <v>0</v>
      </c>
      <c r="AQ19" s="507">
        <f t="shared" si="4"/>
        <v>0</v>
      </c>
      <c r="AR19" s="507">
        <f t="shared" si="5"/>
        <v>0</v>
      </c>
      <c r="AS19" s="507">
        <f t="shared" si="6"/>
        <v>0</v>
      </c>
    </row>
    <row r="20" spans="1:45" ht="21" hidden="1" x14ac:dyDescent="0.35">
      <c r="A20" s="386" t="s">
        <v>289</v>
      </c>
      <c r="B20" s="386"/>
      <c r="C20" s="346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47"/>
      <c r="T20" s="347">
        <v>0</v>
      </c>
      <c r="U20" s="347">
        <v>0</v>
      </c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34">
        <f t="shared" si="0"/>
        <v>0</v>
      </c>
      <c r="AL20" s="1"/>
      <c r="AM20" s="507">
        <f t="shared" si="1"/>
        <v>0</v>
      </c>
      <c r="AN20" s="334">
        <f t="shared" si="2"/>
        <v>0</v>
      </c>
      <c r="AO20" s="334"/>
      <c r="AP20" s="330">
        <f t="shared" si="3"/>
        <v>0</v>
      </c>
      <c r="AQ20" s="507">
        <f t="shared" si="4"/>
        <v>0</v>
      </c>
      <c r="AR20" s="507">
        <f t="shared" si="5"/>
        <v>0</v>
      </c>
      <c r="AS20" s="507">
        <f t="shared" si="6"/>
        <v>0</v>
      </c>
    </row>
    <row r="21" spans="1:45" s="530" customFormat="1" x14ac:dyDescent="0.35">
      <c r="A21" s="383" t="s">
        <v>68</v>
      </c>
      <c r="B21" s="383"/>
      <c r="C21" s="344" t="s">
        <v>69</v>
      </c>
      <c r="D21" s="349">
        <f>SUM(D17,D18)</f>
        <v>120000</v>
      </c>
      <c r="E21" s="349">
        <f t="shared" ref="E21" si="11">SUM(E17,E18)</f>
        <v>75291</v>
      </c>
      <c r="F21" s="349">
        <f>SUM(F17:F18)</f>
        <v>70000</v>
      </c>
      <c r="G21" s="349">
        <f t="shared" ref="G21:AO21" si="12">SUM(G17:G18)</f>
        <v>0</v>
      </c>
      <c r="H21" s="349">
        <f t="shared" si="12"/>
        <v>0</v>
      </c>
      <c r="I21" s="349">
        <f t="shared" si="12"/>
        <v>45360</v>
      </c>
      <c r="J21" s="349">
        <f t="shared" si="12"/>
        <v>0</v>
      </c>
      <c r="K21" s="349">
        <f t="shared" si="12"/>
        <v>0</v>
      </c>
      <c r="L21" s="349">
        <f t="shared" si="12"/>
        <v>0</v>
      </c>
      <c r="M21" s="349">
        <f t="shared" si="12"/>
        <v>0</v>
      </c>
      <c r="N21" s="349">
        <f t="shared" si="12"/>
        <v>0</v>
      </c>
      <c r="O21" s="349">
        <f t="shared" si="12"/>
        <v>0</v>
      </c>
      <c r="P21" s="349">
        <f t="shared" si="12"/>
        <v>0</v>
      </c>
      <c r="Q21" s="349">
        <f t="shared" si="12"/>
        <v>0</v>
      </c>
      <c r="R21" s="349">
        <f t="shared" si="12"/>
        <v>0</v>
      </c>
      <c r="S21" s="349">
        <f t="shared" si="12"/>
        <v>0</v>
      </c>
      <c r="T21" s="349">
        <f t="shared" si="12"/>
        <v>0</v>
      </c>
      <c r="U21" s="349">
        <f t="shared" si="12"/>
        <v>0</v>
      </c>
      <c r="V21" s="349">
        <f t="shared" si="12"/>
        <v>0</v>
      </c>
      <c r="W21" s="349">
        <f t="shared" si="12"/>
        <v>0</v>
      </c>
      <c r="X21" s="349">
        <f t="shared" si="12"/>
        <v>0</v>
      </c>
      <c r="Y21" s="349">
        <f t="shared" si="12"/>
        <v>0</v>
      </c>
      <c r="Z21" s="349">
        <f t="shared" si="12"/>
        <v>0</v>
      </c>
      <c r="AA21" s="349">
        <f t="shared" si="12"/>
        <v>0</v>
      </c>
      <c r="AB21" s="349">
        <f t="shared" si="12"/>
        <v>0</v>
      </c>
      <c r="AC21" s="349">
        <f t="shared" si="12"/>
        <v>0</v>
      </c>
      <c r="AD21" s="349">
        <f t="shared" si="12"/>
        <v>0</v>
      </c>
      <c r="AE21" s="349">
        <f t="shared" si="12"/>
        <v>0</v>
      </c>
      <c r="AF21" s="349">
        <f t="shared" si="12"/>
        <v>0</v>
      </c>
      <c r="AG21" s="349">
        <f t="shared" si="12"/>
        <v>0</v>
      </c>
      <c r="AH21" s="349">
        <f t="shared" si="12"/>
        <v>0</v>
      </c>
      <c r="AI21" s="349">
        <f t="shared" si="12"/>
        <v>0</v>
      </c>
      <c r="AJ21" s="349">
        <f t="shared" si="12"/>
        <v>0</v>
      </c>
      <c r="AK21" s="349">
        <f t="shared" si="12"/>
        <v>120000</v>
      </c>
      <c r="AL21" s="349">
        <f t="shared" si="12"/>
        <v>0</v>
      </c>
      <c r="AM21" s="349">
        <f t="shared" si="12"/>
        <v>120000</v>
      </c>
      <c r="AN21" s="349">
        <f t="shared" si="12"/>
        <v>75291</v>
      </c>
      <c r="AO21" s="349">
        <f t="shared" si="12"/>
        <v>0</v>
      </c>
      <c r="AP21" s="330">
        <f t="shared" si="3"/>
        <v>70000</v>
      </c>
      <c r="AQ21" s="507">
        <f t="shared" si="4"/>
        <v>-24640</v>
      </c>
      <c r="AR21" s="507">
        <f t="shared" si="5"/>
        <v>45360</v>
      </c>
      <c r="AS21" s="507">
        <f t="shared" si="6"/>
        <v>45360</v>
      </c>
    </row>
    <row r="22" spans="1:45" x14ac:dyDescent="0.35">
      <c r="A22" s="383" t="s">
        <v>290</v>
      </c>
      <c r="B22" s="383" t="s">
        <v>1003</v>
      </c>
      <c r="C22" s="344" t="s">
        <v>71</v>
      </c>
      <c r="D22" s="349">
        <v>1500000</v>
      </c>
      <c r="E22" s="349">
        <v>604019</v>
      </c>
      <c r="F22" s="349">
        <v>1500000</v>
      </c>
      <c r="G22" s="349">
        <f t="shared" ref="G22:S22" si="13">SUM(G23:G25)</f>
        <v>0</v>
      </c>
      <c r="H22" s="349"/>
      <c r="I22" s="591">
        <v>1135822</v>
      </c>
      <c r="J22" s="349"/>
      <c r="K22" s="349">
        <v>2800000</v>
      </c>
      <c r="L22" s="349">
        <v>1810460</v>
      </c>
      <c r="M22" s="349"/>
      <c r="N22" s="349">
        <v>2800000</v>
      </c>
      <c r="O22" s="349">
        <v>160000</v>
      </c>
      <c r="P22" s="349">
        <v>27170</v>
      </c>
      <c r="Q22" s="591">
        <v>2571432</v>
      </c>
      <c r="R22" s="349">
        <v>50000</v>
      </c>
      <c r="S22" s="349">
        <f t="shared" si="13"/>
        <v>0</v>
      </c>
      <c r="T22" s="349">
        <v>3592000</v>
      </c>
      <c r="U22" s="349">
        <v>3592000</v>
      </c>
      <c r="V22" s="349"/>
      <c r="W22" s="591">
        <v>23713</v>
      </c>
      <c r="X22" s="349"/>
      <c r="Y22" s="349"/>
      <c r="Z22" s="349"/>
      <c r="AA22" s="349"/>
      <c r="AB22" s="349"/>
      <c r="AC22" s="349"/>
      <c r="AD22" s="349">
        <v>122649</v>
      </c>
      <c r="AE22" s="349"/>
      <c r="AF22" s="349">
        <v>150000</v>
      </c>
      <c r="AG22" s="349"/>
      <c r="AH22" s="349"/>
      <c r="AI22" s="591">
        <v>252956</v>
      </c>
      <c r="AJ22" s="349"/>
      <c r="AK22" s="334">
        <f t="shared" si="0"/>
        <v>4460000</v>
      </c>
      <c r="AL22" s="1">
        <f>-437580+190000</f>
        <v>-247580</v>
      </c>
      <c r="AM22" s="507">
        <f t="shared" si="1"/>
        <v>4212420</v>
      </c>
      <c r="AN22" s="330">
        <f t="shared" si="2"/>
        <v>2564298</v>
      </c>
      <c r="AO22" s="330"/>
      <c r="AP22" s="330">
        <f t="shared" si="3"/>
        <v>4500000</v>
      </c>
      <c r="AQ22" s="507">
        <f t="shared" si="4"/>
        <v>-516077</v>
      </c>
      <c r="AR22" s="507">
        <f t="shared" si="5"/>
        <v>3983923</v>
      </c>
      <c r="AS22" s="507">
        <f t="shared" si="6"/>
        <v>3983923</v>
      </c>
    </row>
    <row r="23" spans="1:45" hidden="1" x14ac:dyDescent="0.35">
      <c r="A23" s="386" t="s">
        <v>291</v>
      </c>
      <c r="B23" s="386"/>
      <c r="C23" s="346"/>
      <c r="D23" s="347">
        <v>910000</v>
      </c>
      <c r="E23" s="347"/>
      <c r="F23" s="347"/>
      <c r="G23" s="347"/>
      <c r="H23" s="347"/>
      <c r="I23" s="347"/>
      <c r="J23" s="347"/>
      <c r="K23" s="347">
        <v>2200000</v>
      </c>
      <c r="L23" s="347"/>
      <c r="M23" s="347"/>
      <c r="N23" s="347"/>
      <c r="O23" s="347"/>
      <c r="P23" s="347"/>
      <c r="Q23" s="347"/>
      <c r="R23" s="347"/>
      <c r="S23" s="347"/>
      <c r="T23" s="347">
        <v>3110000</v>
      </c>
      <c r="U23" s="347">
        <v>3110000</v>
      </c>
      <c r="V23" s="347"/>
      <c r="W23" s="347"/>
      <c r="X23" s="347"/>
      <c r="Y23" s="347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347"/>
      <c r="AK23" s="334">
        <f t="shared" si="0"/>
        <v>3110000</v>
      </c>
      <c r="AL23" s="1"/>
      <c r="AM23" s="507">
        <f t="shared" si="1"/>
        <v>3110000</v>
      </c>
      <c r="AN23" s="330">
        <f t="shared" si="2"/>
        <v>0</v>
      </c>
      <c r="AO23" s="330"/>
      <c r="AP23" s="330">
        <f t="shared" si="3"/>
        <v>0</v>
      </c>
      <c r="AQ23" s="507">
        <f t="shared" si="4"/>
        <v>0</v>
      </c>
      <c r="AR23" s="507">
        <f t="shared" si="5"/>
        <v>0</v>
      </c>
      <c r="AS23" s="507">
        <f t="shared" si="6"/>
        <v>0</v>
      </c>
    </row>
    <row r="24" spans="1:45" hidden="1" x14ac:dyDescent="0.35">
      <c r="A24" s="386" t="s">
        <v>292</v>
      </c>
      <c r="B24" s="386"/>
      <c r="C24" s="346"/>
      <c r="D24" s="347">
        <v>565000</v>
      </c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>
        <v>565000</v>
      </c>
      <c r="U24" s="347">
        <v>565000</v>
      </c>
      <c r="V24" s="347"/>
      <c r="W24" s="347"/>
      <c r="X24" s="347"/>
      <c r="Y24" s="347"/>
      <c r="Z24" s="347"/>
      <c r="AA24" s="347"/>
      <c r="AB24" s="347"/>
      <c r="AC24" s="347"/>
      <c r="AD24" s="347"/>
      <c r="AE24" s="347"/>
      <c r="AF24" s="347"/>
      <c r="AG24" s="347"/>
      <c r="AH24" s="347"/>
      <c r="AI24" s="347"/>
      <c r="AJ24" s="347"/>
      <c r="AK24" s="334">
        <f t="shared" si="0"/>
        <v>565000</v>
      </c>
      <c r="AL24" s="1"/>
      <c r="AM24" s="507">
        <f t="shared" si="1"/>
        <v>565000</v>
      </c>
      <c r="AN24" s="330">
        <f t="shared" si="2"/>
        <v>0</v>
      </c>
      <c r="AO24" s="330"/>
      <c r="AP24" s="330">
        <f t="shared" si="3"/>
        <v>0</v>
      </c>
      <c r="AQ24" s="507">
        <f t="shared" si="4"/>
        <v>0</v>
      </c>
      <c r="AR24" s="507">
        <f t="shared" si="5"/>
        <v>0</v>
      </c>
      <c r="AS24" s="507">
        <f t="shared" si="6"/>
        <v>0</v>
      </c>
    </row>
    <row r="25" spans="1:45" hidden="1" x14ac:dyDescent="0.35">
      <c r="A25" s="386" t="s">
        <v>293</v>
      </c>
      <c r="B25" s="386"/>
      <c r="C25" s="346"/>
      <c r="D25" s="347">
        <v>75000</v>
      </c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>
        <v>137000</v>
      </c>
      <c r="U25" s="347">
        <v>137000</v>
      </c>
      <c r="V25" s="347"/>
      <c r="W25" s="347"/>
      <c r="X25" s="347"/>
      <c r="Y25" s="347"/>
      <c r="Z25" s="347"/>
      <c r="AA25" s="347"/>
      <c r="AB25" s="347"/>
      <c r="AC25" s="347"/>
      <c r="AD25" s="347"/>
      <c r="AE25" s="347"/>
      <c r="AF25" s="347"/>
      <c r="AG25" s="347"/>
      <c r="AH25" s="347"/>
      <c r="AI25" s="347"/>
      <c r="AJ25" s="347"/>
      <c r="AK25" s="334">
        <f t="shared" si="0"/>
        <v>75000</v>
      </c>
      <c r="AL25" s="1"/>
      <c r="AM25" s="507">
        <f t="shared" si="1"/>
        <v>75000</v>
      </c>
      <c r="AN25" s="330">
        <f t="shared" si="2"/>
        <v>0</v>
      </c>
      <c r="AO25" s="330"/>
      <c r="AP25" s="330">
        <f t="shared" si="3"/>
        <v>0</v>
      </c>
      <c r="AQ25" s="507">
        <f t="shared" si="4"/>
        <v>0</v>
      </c>
      <c r="AR25" s="507">
        <f t="shared" si="5"/>
        <v>0</v>
      </c>
      <c r="AS25" s="507">
        <f t="shared" si="6"/>
        <v>0</v>
      </c>
    </row>
    <row r="26" spans="1:45" x14ac:dyDescent="0.35">
      <c r="A26" s="383" t="s">
        <v>294</v>
      </c>
      <c r="B26" s="383"/>
      <c r="C26" s="344" t="s">
        <v>76</v>
      </c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  <c r="Q26" s="348"/>
      <c r="R26" s="348"/>
      <c r="S26" s="348"/>
      <c r="T26" s="348">
        <v>0</v>
      </c>
      <c r="U26" s="348">
        <v>0</v>
      </c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34">
        <f t="shared" si="0"/>
        <v>0</v>
      </c>
      <c r="AL26" s="1"/>
      <c r="AM26" s="507">
        <f t="shared" si="1"/>
        <v>0</v>
      </c>
      <c r="AN26" s="330">
        <f t="shared" si="2"/>
        <v>0</v>
      </c>
      <c r="AO26" s="330"/>
      <c r="AP26" s="330">
        <f t="shared" si="3"/>
        <v>0</v>
      </c>
      <c r="AQ26" s="507">
        <f t="shared" si="4"/>
        <v>0</v>
      </c>
      <c r="AR26" s="507">
        <f t="shared" si="5"/>
        <v>0</v>
      </c>
      <c r="AS26" s="507">
        <f t="shared" si="6"/>
        <v>0</v>
      </c>
    </row>
    <row r="27" spans="1:45" x14ac:dyDescent="0.35">
      <c r="A27" s="383" t="s">
        <v>295</v>
      </c>
      <c r="B27" s="383"/>
      <c r="C27" s="344" t="s">
        <v>79</v>
      </c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>
        <v>0</v>
      </c>
      <c r="U27" s="348">
        <v>0</v>
      </c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8"/>
      <c r="AH27" s="348"/>
      <c r="AI27" s="348"/>
      <c r="AJ27" s="348"/>
      <c r="AK27" s="334">
        <f t="shared" si="0"/>
        <v>0</v>
      </c>
      <c r="AL27" s="1"/>
      <c r="AM27" s="507">
        <f t="shared" si="1"/>
        <v>0</v>
      </c>
      <c r="AN27" s="330">
        <f t="shared" si="2"/>
        <v>0</v>
      </c>
      <c r="AO27" s="330"/>
      <c r="AP27" s="330">
        <f t="shared" si="3"/>
        <v>0</v>
      </c>
      <c r="AQ27" s="507">
        <f t="shared" si="4"/>
        <v>0</v>
      </c>
      <c r="AR27" s="507">
        <f t="shared" si="5"/>
        <v>0</v>
      </c>
      <c r="AS27" s="507">
        <f t="shared" si="6"/>
        <v>0</v>
      </c>
    </row>
    <row r="28" spans="1:45" ht="42" x14ac:dyDescent="0.35">
      <c r="A28" s="383" t="s">
        <v>677</v>
      </c>
      <c r="B28" s="383"/>
      <c r="C28" s="344" t="s">
        <v>80</v>
      </c>
      <c r="D28" s="348">
        <v>700000</v>
      </c>
      <c r="E28" s="348">
        <v>48329</v>
      </c>
      <c r="F28" s="348">
        <v>0</v>
      </c>
      <c r="G28" s="348">
        <v>1000000</v>
      </c>
      <c r="H28" s="348"/>
      <c r="I28" s="591">
        <f>251647+430326-260500</f>
        <v>421473</v>
      </c>
      <c r="J28" s="348">
        <v>1000000</v>
      </c>
      <c r="K28" s="348"/>
      <c r="L28" s="348"/>
      <c r="M28" s="348"/>
      <c r="N28" s="348"/>
      <c r="O28" s="348">
        <v>50000</v>
      </c>
      <c r="P28" s="348"/>
      <c r="Q28" s="348"/>
      <c r="R28" s="348"/>
      <c r="S28" s="348">
        <v>50000</v>
      </c>
      <c r="T28" s="348">
        <v>722000</v>
      </c>
      <c r="U28" s="348">
        <v>827000</v>
      </c>
      <c r="V28" s="348"/>
      <c r="W28" s="348"/>
      <c r="X28" s="348">
        <v>50000</v>
      </c>
      <c r="Y28" s="348"/>
      <c r="Z28" s="348"/>
      <c r="AA28" s="348"/>
      <c r="AB28" s="348"/>
      <c r="AC28" s="348"/>
      <c r="AD28" s="348"/>
      <c r="AE28" s="348"/>
      <c r="AF28" s="348"/>
      <c r="AG28" s="348"/>
      <c r="AH28" s="348"/>
      <c r="AI28" s="348"/>
      <c r="AJ28" s="348"/>
      <c r="AK28" s="334">
        <f t="shared" si="0"/>
        <v>1800000</v>
      </c>
      <c r="AL28" s="1"/>
      <c r="AM28" s="507">
        <f t="shared" si="1"/>
        <v>1800000</v>
      </c>
      <c r="AN28" s="330">
        <f t="shared" si="2"/>
        <v>48329</v>
      </c>
      <c r="AO28" s="330"/>
      <c r="AP28" s="330">
        <f t="shared" si="3"/>
        <v>1050000</v>
      </c>
      <c r="AQ28" s="507">
        <f t="shared" si="4"/>
        <v>-368027</v>
      </c>
      <c r="AR28" s="507">
        <f>AS28+260500</f>
        <v>681973</v>
      </c>
      <c r="AS28" s="507">
        <f t="shared" si="6"/>
        <v>421473</v>
      </c>
    </row>
    <row r="29" spans="1:45" x14ac:dyDescent="0.35">
      <c r="A29" s="383" t="s">
        <v>81</v>
      </c>
      <c r="B29" s="383"/>
      <c r="C29" s="344" t="s">
        <v>82</v>
      </c>
      <c r="D29" s="348"/>
      <c r="E29" s="348">
        <v>11120</v>
      </c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>
        <v>0</v>
      </c>
      <c r="U29" s="348">
        <v>0</v>
      </c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34">
        <f t="shared" si="0"/>
        <v>0</v>
      </c>
      <c r="AL29" s="1"/>
      <c r="AM29" s="507">
        <f t="shared" si="1"/>
        <v>0</v>
      </c>
      <c r="AN29" s="330">
        <f t="shared" si="2"/>
        <v>11120</v>
      </c>
      <c r="AO29" s="330"/>
      <c r="AP29" s="330">
        <f t="shared" si="3"/>
        <v>0</v>
      </c>
      <c r="AQ29" s="507">
        <f t="shared" si="4"/>
        <v>0</v>
      </c>
      <c r="AR29" s="507">
        <f t="shared" si="5"/>
        <v>0</v>
      </c>
      <c r="AS29" s="507">
        <f t="shared" si="6"/>
        <v>0</v>
      </c>
    </row>
    <row r="30" spans="1:45" ht="21" x14ac:dyDescent="0.35">
      <c r="A30" s="383" t="s">
        <v>296</v>
      </c>
      <c r="B30" s="383" t="s">
        <v>1004</v>
      </c>
      <c r="C30" s="344" t="s">
        <v>84</v>
      </c>
      <c r="D30" s="349">
        <f t="shared" ref="D30:S30" si="14">SUM(D31:D33)</f>
        <v>0</v>
      </c>
      <c r="E30" s="349">
        <v>65000</v>
      </c>
      <c r="F30" s="349">
        <v>50000</v>
      </c>
      <c r="G30" s="349">
        <v>500000</v>
      </c>
      <c r="H30" s="349"/>
      <c r="I30" s="591">
        <v>60000</v>
      </c>
      <c r="J30" s="349"/>
      <c r="K30" s="349">
        <f t="shared" si="14"/>
        <v>0</v>
      </c>
      <c r="L30" s="349"/>
      <c r="M30" s="349"/>
      <c r="N30" s="349"/>
      <c r="O30" s="349">
        <f t="shared" si="14"/>
        <v>0</v>
      </c>
      <c r="P30" s="349"/>
      <c r="Q30" s="349"/>
      <c r="R30" s="349"/>
      <c r="S30" s="349">
        <f t="shared" si="14"/>
        <v>0</v>
      </c>
      <c r="T30" s="349">
        <v>0</v>
      </c>
      <c r="U30" s="349">
        <v>0</v>
      </c>
      <c r="V30" s="349"/>
      <c r="W30" s="349"/>
      <c r="X30" s="349"/>
      <c r="Y30" s="349"/>
      <c r="Z30" s="349"/>
      <c r="AA30" s="349"/>
      <c r="AB30" s="349"/>
      <c r="AC30" s="349"/>
      <c r="AD30" s="349"/>
      <c r="AE30" s="349"/>
      <c r="AF30" s="349"/>
      <c r="AG30" s="349"/>
      <c r="AH30" s="349"/>
      <c r="AI30" s="349"/>
      <c r="AJ30" s="349"/>
      <c r="AK30" s="334">
        <f t="shared" si="0"/>
        <v>500000</v>
      </c>
      <c r="AL30" s="1"/>
      <c r="AM30" s="507">
        <f t="shared" si="1"/>
        <v>500000</v>
      </c>
      <c r="AN30" s="330">
        <f t="shared" si="2"/>
        <v>65000</v>
      </c>
      <c r="AO30" s="330"/>
      <c r="AP30" s="330">
        <f t="shared" si="3"/>
        <v>50000</v>
      </c>
      <c r="AQ30" s="507">
        <f t="shared" si="4"/>
        <v>10000</v>
      </c>
      <c r="AR30" s="507">
        <f t="shared" si="5"/>
        <v>60000</v>
      </c>
      <c r="AS30" s="507">
        <f t="shared" si="6"/>
        <v>60000</v>
      </c>
    </row>
    <row r="31" spans="1:45" hidden="1" x14ac:dyDescent="0.35">
      <c r="A31" s="386" t="s">
        <v>85</v>
      </c>
      <c r="B31" s="386"/>
      <c r="C31" s="346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>
        <v>0</v>
      </c>
      <c r="U31" s="347">
        <v>0</v>
      </c>
      <c r="V31" s="347"/>
      <c r="W31" s="347"/>
      <c r="X31" s="347"/>
      <c r="Y31" s="347"/>
      <c r="Z31" s="347"/>
      <c r="AA31" s="347"/>
      <c r="AB31" s="347"/>
      <c r="AC31" s="347"/>
      <c r="AD31" s="347"/>
      <c r="AE31" s="347"/>
      <c r="AF31" s="347"/>
      <c r="AG31" s="347"/>
      <c r="AH31" s="347"/>
      <c r="AI31" s="347"/>
      <c r="AJ31" s="347"/>
      <c r="AK31" s="334">
        <f t="shared" si="0"/>
        <v>0</v>
      </c>
      <c r="AL31" s="1"/>
      <c r="AM31" s="507">
        <f t="shared" si="1"/>
        <v>0</v>
      </c>
      <c r="AN31" s="330">
        <f t="shared" si="2"/>
        <v>0</v>
      </c>
      <c r="AO31" s="330"/>
      <c r="AP31" s="330">
        <f t="shared" si="3"/>
        <v>0</v>
      </c>
      <c r="AQ31" s="507">
        <f t="shared" si="4"/>
        <v>0</v>
      </c>
      <c r="AR31" s="507">
        <f t="shared" si="5"/>
        <v>0</v>
      </c>
      <c r="AS31" s="507">
        <f t="shared" si="6"/>
        <v>0</v>
      </c>
    </row>
    <row r="32" spans="1:45" hidden="1" x14ac:dyDescent="0.35">
      <c r="A32" s="386" t="s">
        <v>86</v>
      </c>
      <c r="B32" s="386"/>
      <c r="C32" s="346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7"/>
      <c r="S32" s="347"/>
      <c r="T32" s="347">
        <v>0</v>
      </c>
      <c r="U32" s="347">
        <v>0</v>
      </c>
      <c r="V32" s="347"/>
      <c r="W32" s="347"/>
      <c r="X32" s="347"/>
      <c r="Y32" s="347"/>
      <c r="Z32" s="347"/>
      <c r="AA32" s="347"/>
      <c r="AB32" s="347"/>
      <c r="AC32" s="347"/>
      <c r="AD32" s="347"/>
      <c r="AE32" s="347"/>
      <c r="AF32" s="347"/>
      <c r="AG32" s="347"/>
      <c r="AH32" s="347"/>
      <c r="AI32" s="347"/>
      <c r="AJ32" s="347"/>
      <c r="AK32" s="334">
        <f t="shared" si="0"/>
        <v>0</v>
      </c>
      <c r="AL32" s="1"/>
      <c r="AM32" s="507">
        <f t="shared" si="1"/>
        <v>0</v>
      </c>
      <c r="AN32" s="330">
        <f t="shared" si="2"/>
        <v>0</v>
      </c>
      <c r="AO32" s="330"/>
      <c r="AP32" s="330">
        <f t="shared" si="3"/>
        <v>0</v>
      </c>
      <c r="AQ32" s="507">
        <f t="shared" si="4"/>
        <v>0</v>
      </c>
      <c r="AR32" s="507">
        <f t="shared" si="5"/>
        <v>0</v>
      </c>
      <c r="AS32" s="507">
        <f t="shared" si="6"/>
        <v>0</v>
      </c>
    </row>
    <row r="33" spans="1:45" hidden="1" x14ac:dyDescent="0.35">
      <c r="A33" s="386" t="s">
        <v>297</v>
      </c>
      <c r="B33" s="386"/>
      <c r="C33" s="346"/>
      <c r="D33" s="347"/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47"/>
      <c r="R33" s="347"/>
      <c r="S33" s="347"/>
      <c r="T33" s="347">
        <v>0</v>
      </c>
      <c r="U33" s="347">
        <v>0</v>
      </c>
      <c r="V33" s="347"/>
      <c r="W33" s="347"/>
      <c r="X33" s="347"/>
      <c r="Y33" s="347"/>
      <c r="Z33" s="347"/>
      <c r="AA33" s="347"/>
      <c r="AB33" s="347"/>
      <c r="AC33" s="347"/>
      <c r="AD33" s="347"/>
      <c r="AE33" s="347"/>
      <c r="AF33" s="347"/>
      <c r="AG33" s="347"/>
      <c r="AH33" s="347"/>
      <c r="AI33" s="347"/>
      <c r="AJ33" s="347"/>
      <c r="AK33" s="334">
        <f t="shared" si="0"/>
        <v>0</v>
      </c>
      <c r="AL33" s="1"/>
      <c r="AM33" s="507">
        <f t="shared" si="1"/>
        <v>0</v>
      </c>
      <c r="AN33" s="330">
        <f t="shared" si="2"/>
        <v>0</v>
      </c>
      <c r="AO33" s="330"/>
      <c r="AP33" s="330">
        <f t="shared" si="3"/>
        <v>0</v>
      </c>
      <c r="AQ33" s="507">
        <f t="shared" si="4"/>
        <v>0</v>
      </c>
      <c r="AR33" s="507">
        <f t="shared" si="5"/>
        <v>0</v>
      </c>
      <c r="AS33" s="507">
        <f t="shared" si="6"/>
        <v>0</v>
      </c>
    </row>
    <row r="34" spans="1:45" x14ac:dyDescent="0.35">
      <c r="A34" s="383" t="s">
        <v>298</v>
      </c>
      <c r="B34" s="532" t="s">
        <v>1005</v>
      </c>
      <c r="C34" s="344" t="s">
        <v>88</v>
      </c>
      <c r="D34" s="349">
        <v>3500000</v>
      </c>
      <c r="E34" s="349">
        <v>1144957</v>
      </c>
      <c r="F34" s="349">
        <v>2000000</v>
      </c>
      <c r="G34" s="349">
        <v>500000</v>
      </c>
      <c r="H34" s="349">
        <v>30000</v>
      </c>
      <c r="I34" s="591">
        <v>451417</v>
      </c>
      <c r="J34" s="349">
        <v>500000</v>
      </c>
      <c r="K34" s="349">
        <f t="shared" ref="K34:S34" si="15">SUM(K35:K44)</f>
        <v>0</v>
      </c>
      <c r="L34" s="349"/>
      <c r="M34" s="591">
        <f>1152000+351914</f>
        <v>1503914</v>
      </c>
      <c r="N34" s="349"/>
      <c r="O34" s="349">
        <v>0</v>
      </c>
      <c r="P34" s="349">
        <v>47244</v>
      </c>
      <c r="Q34" s="349"/>
      <c r="R34" s="349">
        <v>100000</v>
      </c>
      <c r="S34" s="349">
        <f t="shared" si="15"/>
        <v>0</v>
      </c>
      <c r="T34" s="349">
        <v>920000</v>
      </c>
      <c r="U34" s="349">
        <v>4040940</v>
      </c>
      <c r="V34" s="349"/>
      <c r="W34" s="349"/>
      <c r="X34" s="349"/>
      <c r="Y34" s="349"/>
      <c r="Z34" s="349">
        <v>40000</v>
      </c>
      <c r="AA34" s="349"/>
      <c r="AB34" s="349">
        <v>40000</v>
      </c>
      <c r="AC34" s="349"/>
      <c r="AD34" s="349"/>
      <c r="AE34" s="591">
        <v>1364318</v>
      </c>
      <c r="AF34" s="349"/>
      <c r="AG34" s="349"/>
      <c r="AH34" s="349">
        <v>236250</v>
      </c>
      <c r="AI34" s="349"/>
      <c r="AJ34" s="349">
        <v>240000</v>
      </c>
      <c r="AK34" s="334">
        <f t="shared" si="0"/>
        <v>4000000</v>
      </c>
      <c r="AL34" s="1">
        <v>240157</v>
      </c>
      <c r="AM34" s="507">
        <f t="shared" si="1"/>
        <v>4240157</v>
      </c>
      <c r="AN34" s="330">
        <f t="shared" si="2"/>
        <v>1498451</v>
      </c>
      <c r="AO34" s="591">
        <v>342200</v>
      </c>
      <c r="AP34" s="330">
        <f t="shared" si="3"/>
        <v>2880000</v>
      </c>
      <c r="AQ34" s="507">
        <f t="shared" si="4"/>
        <v>781849</v>
      </c>
      <c r="AR34" s="507">
        <f t="shared" si="5"/>
        <v>3661849</v>
      </c>
      <c r="AS34" s="507">
        <f t="shared" si="6"/>
        <v>3661849</v>
      </c>
    </row>
    <row r="35" spans="1:45" hidden="1" x14ac:dyDescent="0.35">
      <c r="A35" s="386" t="s">
        <v>299</v>
      </c>
      <c r="B35" s="386"/>
      <c r="C35" s="350"/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>
        <v>0</v>
      </c>
      <c r="U35" s="347">
        <v>0</v>
      </c>
      <c r="V35" s="347"/>
      <c r="W35" s="347"/>
      <c r="X35" s="347"/>
      <c r="Y35" s="347"/>
      <c r="Z35" s="347"/>
      <c r="AA35" s="347"/>
      <c r="AB35" s="347"/>
      <c r="AC35" s="347"/>
      <c r="AD35" s="347"/>
      <c r="AE35" s="347"/>
      <c r="AF35" s="347"/>
      <c r="AG35" s="347"/>
      <c r="AH35" s="347"/>
      <c r="AI35" s="347"/>
      <c r="AJ35" s="347"/>
      <c r="AK35" s="334">
        <f t="shared" si="0"/>
        <v>0</v>
      </c>
      <c r="AL35" s="1"/>
      <c r="AM35" s="507">
        <f t="shared" si="1"/>
        <v>0</v>
      </c>
      <c r="AN35" s="334">
        <f t="shared" si="2"/>
        <v>0</v>
      </c>
      <c r="AO35" s="334"/>
      <c r="AP35" s="330">
        <f t="shared" si="3"/>
        <v>0</v>
      </c>
      <c r="AQ35" s="507">
        <f t="shared" si="4"/>
        <v>0</v>
      </c>
      <c r="AR35" s="507">
        <f t="shared" si="5"/>
        <v>0</v>
      </c>
      <c r="AS35" s="507">
        <f t="shared" si="6"/>
        <v>0</v>
      </c>
    </row>
    <row r="36" spans="1:45" hidden="1" x14ac:dyDescent="0.35">
      <c r="A36" s="386" t="s">
        <v>300</v>
      </c>
      <c r="B36" s="386"/>
      <c r="C36" s="350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>
        <v>0</v>
      </c>
      <c r="U36" s="347">
        <v>0</v>
      </c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34">
        <f t="shared" si="0"/>
        <v>0</v>
      </c>
      <c r="AL36" s="1"/>
      <c r="AM36" s="507">
        <f t="shared" si="1"/>
        <v>0</v>
      </c>
      <c r="AN36" s="334">
        <f t="shared" si="2"/>
        <v>0</v>
      </c>
      <c r="AO36" s="334"/>
      <c r="AP36" s="330">
        <f t="shared" si="3"/>
        <v>0</v>
      </c>
      <c r="AQ36" s="507">
        <f t="shared" si="4"/>
        <v>0</v>
      </c>
      <c r="AR36" s="507">
        <f t="shared" si="5"/>
        <v>0</v>
      </c>
      <c r="AS36" s="507">
        <f t="shared" si="6"/>
        <v>0</v>
      </c>
    </row>
    <row r="37" spans="1:45" hidden="1" x14ac:dyDescent="0.35">
      <c r="A37" s="386" t="s">
        <v>301</v>
      </c>
      <c r="B37" s="386"/>
      <c r="C37" s="350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>
        <v>0</v>
      </c>
      <c r="U37" s="347">
        <v>0</v>
      </c>
      <c r="V37" s="347"/>
      <c r="W37" s="347"/>
      <c r="X37" s="347"/>
      <c r="Y37" s="347"/>
      <c r="Z37" s="347"/>
      <c r="AA37" s="347"/>
      <c r="AB37" s="347"/>
      <c r="AC37" s="347"/>
      <c r="AD37" s="347"/>
      <c r="AE37" s="347"/>
      <c r="AF37" s="347"/>
      <c r="AG37" s="347"/>
      <c r="AH37" s="347"/>
      <c r="AI37" s="347"/>
      <c r="AJ37" s="347"/>
      <c r="AK37" s="334">
        <f t="shared" si="0"/>
        <v>0</v>
      </c>
      <c r="AL37" s="1"/>
      <c r="AM37" s="507">
        <f t="shared" si="1"/>
        <v>0</v>
      </c>
      <c r="AN37" s="334">
        <f t="shared" si="2"/>
        <v>0</v>
      </c>
      <c r="AO37" s="334"/>
      <c r="AP37" s="330">
        <f t="shared" si="3"/>
        <v>0</v>
      </c>
      <c r="AQ37" s="507">
        <f t="shared" si="4"/>
        <v>0</v>
      </c>
      <c r="AR37" s="507">
        <f t="shared" si="5"/>
        <v>0</v>
      </c>
      <c r="AS37" s="507">
        <f t="shared" si="6"/>
        <v>0</v>
      </c>
    </row>
    <row r="38" spans="1:45" hidden="1" x14ac:dyDescent="0.35">
      <c r="A38" s="386" t="s">
        <v>302</v>
      </c>
      <c r="B38" s="386"/>
      <c r="C38" s="350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>
        <v>0</v>
      </c>
      <c r="U38" s="347">
        <v>0</v>
      </c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34">
        <f t="shared" si="0"/>
        <v>0</v>
      </c>
      <c r="AL38" s="1"/>
      <c r="AM38" s="507">
        <f t="shared" si="1"/>
        <v>0</v>
      </c>
      <c r="AN38" s="334">
        <f t="shared" si="2"/>
        <v>0</v>
      </c>
      <c r="AO38" s="334"/>
      <c r="AP38" s="330">
        <f t="shared" si="3"/>
        <v>0</v>
      </c>
      <c r="AQ38" s="507">
        <f t="shared" si="4"/>
        <v>0</v>
      </c>
      <c r="AR38" s="507">
        <f t="shared" si="5"/>
        <v>0</v>
      </c>
      <c r="AS38" s="507">
        <f t="shared" si="6"/>
        <v>0</v>
      </c>
    </row>
    <row r="39" spans="1:45" hidden="1" x14ac:dyDescent="0.35">
      <c r="A39" s="386" t="s">
        <v>303</v>
      </c>
      <c r="B39" s="386"/>
      <c r="C39" s="350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>
        <v>0</v>
      </c>
      <c r="U39" s="347">
        <v>0</v>
      </c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34">
        <f t="shared" si="0"/>
        <v>0</v>
      </c>
      <c r="AL39" s="1"/>
      <c r="AM39" s="507">
        <f t="shared" si="1"/>
        <v>0</v>
      </c>
      <c r="AN39" s="334">
        <f t="shared" si="2"/>
        <v>0</v>
      </c>
      <c r="AO39" s="334"/>
      <c r="AP39" s="330">
        <f t="shared" si="3"/>
        <v>0</v>
      </c>
      <c r="AQ39" s="507">
        <f t="shared" si="4"/>
        <v>0</v>
      </c>
      <c r="AR39" s="507">
        <f t="shared" si="5"/>
        <v>0</v>
      </c>
      <c r="AS39" s="507">
        <f t="shared" si="6"/>
        <v>0</v>
      </c>
    </row>
    <row r="40" spans="1:45" hidden="1" x14ac:dyDescent="0.35">
      <c r="A40" s="386" t="s">
        <v>304</v>
      </c>
      <c r="B40" s="386"/>
      <c r="C40" s="350"/>
      <c r="D40" s="347">
        <v>1800000</v>
      </c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>
        <v>20000</v>
      </c>
      <c r="P40" s="347"/>
      <c r="Q40" s="347"/>
      <c r="R40" s="347"/>
      <c r="S40" s="347">
        <v>0</v>
      </c>
      <c r="T40" s="347">
        <v>1870000</v>
      </c>
      <c r="U40" s="347">
        <v>1870000</v>
      </c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  <c r="AI40" s="347"/>
      <c r="AJ40" s="347"/>
      <c r="AK40" s="334">
        <f t="shared" si="0"/>
        <v>1820000</v>
      </c>
      <c r="AL40" s="1"/>
      <c r="AM40" s="507">
        <f t="shared" si="1"/>
        <v>1820000</v>
      </c>
      <c r="AN40" s="334">
        <f t="shared" si="2"/>
        <v>0</v>
      </c>
      <c r="AO40" s="334"/>
      <c r="AP40" s="330">
        <f t="shared" si="3"/>
        <v>0</v>
      </c>
      <c r="AQ40" s="507">
        <f t="shared" si="4"/>
        <v>0</v>
      </c>
      <c r="AR40" s="507">
        <f t="shared" si="5"/>
        <v>0</v>
      </c>
      <c r="AS40" s="507">
        <f t="shared" si="6"/>
        <v>0</v>
      </c>
    </row>
    <row r="41" spans="1:45" ht="21" hidden="1" x14ac:dyDescent="0.35">
      <c r="A41" s="386" t="s">
        <v>561</v>
      </c>
      <c r="B41" s="386"/>
      <c r="C41" s="350"/>
      <c r="D41" s="347">
        <v>200000</v>
      </c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>
        <v>200000</v>
      </c>
      <c r="U41" s="347">
        <v>200000</v>
      </c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347"/>
      <c r="AI41" s="347"/>
      <c r="AJ41" s="347"/>
      <c r="AK41" s="334">
        <f t="shared" si="0"/>
        <v>200000</v>
      </c>
      <c r="AL41" s="1"/>
      <c r="AM41" s="507">
        <f t="shared" si="1"/>
        <v>200000</v>
      </c>
      <c r="AN41" s="334">
        <f t="shared" si="2"/>
        <v>0</v>
      </c>
      <c r="AO41" s="334"/>
      <c r="AP41" s="330">
        <f t="shared" si="3"/>
        <v>0</v>
      </c>
      <c r="AQ41" s="507">
        <f t="shared" si="4"/>
        <v>0</v>
      </c>
      <c r="AR41" s="507">
        <f t="shared" si="5"/>
        <v>0</v>
      </c>
      <c r="AS41" s="507">
        <f t="shared" si="6"/>
        <v>0</v>
      </c>
    </row>
    <row r="42" spans="1:45" hidden="1" x14ac:dyDescent="0.35">
      <c r="A42" s="387" t="s">
        <v>538</v>
      </c>
      <c r="B42" s="387"/>
      <c r="C42" s="350"/>
      <c r="D42" s="347">
        <v>250000</v>
      </c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>
        <v>250000</v>
      </c>
      <c r="U42" s="347">
        <v>250000</v>
      </c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34">
        <f t="shared" si="0"/>
        <v>250000</v>
      </c>
      <c r="AL42" s="1"/>
      <c r="AM42" s="507">
        <f t="shared" si="1"/>
        <v>250000</v>
      </c>
      <c r="AN42" s="334">
        <f t="shared" si="2"/>
        <v>0</v>
      </c>
      <c r="AO42" s="334"/>
      <c r="AP42" s="330">
        <f t="shared" si="3"/>
        <v>0</v>
      </c>
      <c r="AQ42" s="507">
        <f t="shared" si="4"/>
        <v>0</v>
      </c>
      <c r="AR42" s="507">
        <f t="shared" si="5"/>
        <v>0</v>
      </c>
      <c r="AS42" s="507">
        <f t="shared" si="6"/>
        <v>0</v>
      </c>
    </row>
    <row r="43" spans="1:45" hidden="1" x14ac:dyDescent="0.35">
      <c r="A43" s="387" t="s">
        <v>539</v>
      </c>
      <c r="B43" s="387"/>
      <c r="C43" s="350"/>
      <c r="D43" s="347">
        <v>300000</v>
      </c>
      <c r="E43" s="347"/>
      <c r="F43" s="347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7">
        <v>300000</v>
      </c>
      <c r="U43" s="347">
        <v>300000</v>
      </c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7"/>
      <c r="AK43" s="334">
        <f t="shared" si="0"/>
        <v>300000</v>
      </c>
      <c r="AL43" s="1"/>
      <c r="AM43" s="507">
        <f t="shared" si="1"/>
        <v>300000</v>
      </c>
      <c r="AN43" s="334">
        <f t="shared" si="2"/>
        <v>0</v>
      </c>
      <c r="AO43" s="334"/>
      <c r="AP43" s="330">
        <f t="shared" si="3"/>
        <v>0</v>
      </c>
      <c r="AQ43" s="507">
        <f t="shared" si="4"/>
        <v>0</v>
      </c>
      <c r="AR43" s="507">
        <f t="shared" si="5"/>
        <v>0</v>
      </c>
      <c r="AS43" s="507">
        <f t="shared" si="6"/>
        <v>0</v>
      </c>
    </row>
    <row r="44" spans="1:45" hidden="1" x14ac:dyDescent="0.35">
      <c r="A44" s="387" t="s">
        <v>540</v>
      </c>
      <c r="B44" s="387"/>
      <c r="C44" s="350"/>
      <c r="D44" s="347"/>
      <c r="E44" s="347"/>
      <c r="F44" s="347"/>
      <c r="G44" s="347">
        <v>300000</v>
      </c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>
        <v>300000</v>
      </c>
      <c r="U44" s="347">
        <v>300001</v>
      </c>
      <c r="V44" s="347"/>
      <c r="W44" s="347"/>
      <c r="X44" s="347"/>
      <c r="Y44" s="347"/>
      <c r="Z44" s="347"/>
      <c r="AA44" s="347"/>
      <c r="AB44" s="347"/>
      <c r="AC44" s="347"/>
      <c r="AD44" s="347"/>
      <c r="AE44" s="347"/>
      <c r="AF44" s="347"/>
      <c r="AG44" s="347"/>
      <c r="AH44" s="347"/>
      <c r="AI44" s="347"/>
      <c r="AJ44" s="347"/>
      <c r="AK44" s="334">
        <f t="shared" si="0"/>
        <v>300000</v>
      </c>
      <c r="AL44" s="1"/>
      <c r="AM44" s="507">
        <f t="shared" si="1"/>
        <v>300000</v>
      </c>
      <c r="AN44" s="334">
        <f t="shared" si="2"/>
        <v>0</v>
      </c>
      <c r="AO44" s="334"/>
      <c r="AP44" s="330">
        <f t="shared" si="3"/>
        <v>0</v>
      </c>
      <c r="AQ44" s="507">
        <f t="shared" si="4"/>
        <v>0</v>
      </c>
      <c r="AR44" s="507">
        <f t="shared" si="5"/>
        <v>0</v>
      </c>
      <c r="AS44" s="507">
        <f t="shared" si="6"/>
        <v>0</v>
      </c>
    </row>
    <row r="45" spans="1:45" s="530" customFormat="1" x14ac:dyDescent="0.35">
      <c r="A45" s="383" t="s">
        <v>94</v>
      </c>
      <c r="B45" s="383"/>
      <c r="C45" s="344" t="s">
        <v>95</v>
      </c>
      <c r="D45" s="349">
        <f>SUM(D22,D26:D30,D34)</f>
        <v>5700000</v>
      </c>
      <c r="E45" s="349">
        <f t="shared" ref="E45" si="16">SUM(E22,E26:E30,E34)</f>
        <v>1873425</v>
      </c>
      <c r="F45" s="349">
        <f>SUM(F34,F30,F29,F28,F27,F26,F22)</f>
        <v>3550000</v>
      </c>
      <c r="G45" s="349">
        <f t="shared" ref="G45:AO45" si="17">SUM(G34,G30,G29,G28,G27,G26,G22)</f>
        <v>2000000</v>
      </c>
      <c r="H45" s="349">
        <f t="shared" si="17"/>
        <v>30000</v>
      </c>
      <c r="I45" s="349">
        <f t="shared" si="17"/>
        <v>2068712</v>
      </c>
      <c r="J45" s="349">
        <f t="shared" si="17"/>
        <v>1500000</v>
      </c>
      <c r="K45" s="349">
        <f t="shared" si="17"/>
        <v>2800000</v>
      </c>
      <c r="L45" s="349">
        <f t="shared" si="17"/>
        <v>1810460</v>
      </c>
      <c r="M45" s="349">
        <f t="shared" si="17"/>
        <v>1503914</v>
      </c>
      <c r="N45" s="349">
        <f t="shared" si="17"/>
        <v>2800000</v>
      </c>
      <c r="O45" s="349">
        <f t="shared" si="17"/>
        <v>210000</v>
      </c>
      <c r="P45" s="349">
        <f t="shared" si="17"/>
        <v>74414</v>
      </c>
      <c r="Q45" s="349">
        <f t="shared" si="17"/>
        <v>2571432</v>
      </c>
      <c r="R45" s="349">
        <f t="shared" si="17"/>
        <v>150000</v>
      </c>
      <c r="S45" s="349">
        <f t="shared" si="17"/>
        <v>50000</v>
      </c>
      <c r="T45" s="349">
        <f t="shared" si="17"/>
        <v>5234000</v>
      </c>
      <c r="U45" s="349">
        <f t="shared" si="17"/>
        <v>8459940</v>
      </c>
      <c r="V45" s="349">
        <f t="shared" si="17"/>
        <v>0</v>
      </c>
      <c r="W45" s="349">
        <f t="shared" si="17"/>
        <v>23713</v>
      </c>
      <c r="X45" s="349">
        <f t="shared" si="17"/>
        <v>50000</v>
      </c>
      <c r="Y45" s="349">
        <f t="shared" si="17"/>
        <v>0</v>
      </c>
      <c r="Z45" s="349">
        <f t="shared" si="17"/>
        <v>40000</v>
      </c>
      <c r="AA45" s="349">
        <f t="shared" si="17"/>
        <v>0</v>
      </c>
      <c r="AB45" s="349">
        <f t="shared" si="17"/>
        <v>40000</v>
      </c>
      <c r="AC45" s="349">
        <f t="shared" si="17"/>
        <v>0</v>
      </c>
      <c r="AD45" s="349">
        <f t="shared" si="17"/>
        <v>122649</v>
      </c>
      <c r="AE45" s="349">
        <f t="shared" si="17"/>
        <v>1364318</v>
      </c>
      <c r="AF45" s="349">
        <f t="shared" si="17"/>
        <v>150000</v>
      </c>
      <c r="AG45" s="349">
        <f t="shared" si="17"/>
        <v>0</v>
      </c>
      <c r="AH45" s="349">
        <f t="shared" si="17"/>
        <v>236250</v>
      </c>
      <c r="AI45" s="349">
        <f t="shared" si="17"/>
        <v>252956</v>
      </c>
      <c r="AJ45" s="349">
        <f t="shared" si="17"/>
        <v>240000</v>
      </c>
      <c r="AK45" s="349">
        <f t="shared" si="17"/>
        <v>10760000</v>
      </c>
      <c r="AL45" s="349">
        <f t="shared" si="17"/>
        <v>-7423</v>
      </c>
      <c r="AM45" s="349">
        <f t="shared" si="17"/>
        <v>10752577</v>
      </c>
      <c r="AN45" s="349">
        <f t="shared" si="17"/>
        <v>4187198</v>
      </c>
      <c r="AO45" s="349">
        <f t="shared" si="17"/>
        <v>342200</v>
      </c>
      <c r="AP45" s="330">
        <f t="shared" si="3"/>
        <v>8480000</v>
      </c>
      <c r="AQ45" s="507">
        <f>AR45-AP45+260500</f>
        <v>168245</v>
      </c>
      <c r="AR45" s="507">
        <f>AS45+260500</f>
        <v>8387745</v>
      </c>
      <c r="AS45" s="507">
        <f t="shared" si="6"/>
        <v>8127245</v>
      </c>
    </row>
    <row r="46" spans="1:45" hidden="1" x14ac:dyDescent="0.35">
      <c r="A46" s="388" t="s">
        <v>305</v>
      </c>
      <c r="B46" s="388"/>
      <c r="C46" s="346" t="s">
        <v>97</v>
      </c>
      <c r="D46" s="347"/>
      <c r="E46" s="347"/>
      <c r="F46" s="347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>
        <v>0</v>
      </c>
      <c r="U46" s="347">
        <v>0</v>
      </c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34">
        <f t="shared" si="0"/>
        <v>0</v>
      </c>
      <c r="AL46" s="1"/>
      <c r="AM46" s="507">
        <f t="shared" si="1"/>
        <v>0</v>
      </c>
      <c r="AN46" s="334">
        <f t="shared" si="2"/>
        <v>0</v>
      </c>
      <c r="AO46" s="334"/>
      <c r="AP46" s="330">
        <f t="shared" si="3"/>
        <v>0</v>
      </c>
      <c r="AQ46" s="507">
        <f t="shared" si="4"/>
        <v>0</v>
      </c>
      <c r="AR46" s="507">
        <f t="shared" si="5"/>
        <v>0</v>
      </c>
      <c r="AS46" s="507">
        <f t="shared" si="6"/>
        <v>0</v>
      </c>
    </row>
    <row r="47" spans="1:45" hidden="1" x14ac:dyDescent="0.35">
      <c r="A47" s="388" t="s">
        <v>306</v>
      </c>
      <c r="B47" s="388"/>
      <c r="C47" s="346" t="s">
        <v>99</v>
      </c>
      <c r="D47" s="347"/>
      <c r="E47" s="347"/>
      <c r="F47" s="347"/>
      <c r="G47" s="347"/>
      <c r="H47" s="347"/>
      <c r="I47" s="347"/>
      <c r="J47" s="347"/>
      <c r="K47" s="347"/>
      <c r="L47" s="347"/>
      <c r="M47" s="347"/>
      <c r="N47" s="347"/>
      <c r="O47" s="347"/>
      <c r="P47" s="347"/>
      <c r="Q47" s="347"/>
      <c r="R47" s="347"/>
      <c r="S47" s="347"/>
      <c r="T47" s="347">
        <v>0</v>
      </c>
      <c r="U47" s="347">
        <v>0</v>
      </c>
      <c r="V47" s="347"/>
      <c r="W47" s="347"/>
      <c r="X47" s="347"/>
      <c r="Y47" s="347"/>
      <c r="Z47" s="347"/>
      <c r="AA47" s="347"/>
      <c r="AB47" s="347"/>
      <c r="AC47" s="347"/>
      <c r="AD47" s="347"/>
      <c r="AE47" s="347"/>
      <c r="AF47" s="347"/>
      <c r="AG47" s="347"/>
      <c r="AH47" s="347"/>
      <c r="AI47" s="347"/>
      <c r="AJ47" s="347"/>
      <c r="AK47" s="334">
        <f t="shared" si="0"/>
        <v>0</v>
      </c>
      <c r="AL47" s="1"/>
      <c r="AM47" s="507">
        <f t="shared" si="1"/>
        <v>0</v>
      </c>
      <c r="AN47" s="334">
        <f t="shared" si="2"/>
        <v>0</v>
      </c>
      <c r="AO47" s="334"/>
      <c r="AP47" s="330">
        <f t="shared" si="3"/>
        <v>0</v>
      </c>
      <c r="AQ47" s="507">
        <f t="shared" si="4"/>
        <v>0</v>
      </c>
      <c r="AR47" s="507">
        <f t="shared" si="5"/>
        <v>0</v>
      </c>
      <c r="AS47" s="507">
        <f t="shared" si="6"/>
        <v>0</v>
      </c>
    </row>
    <row r="48" spans="1:45" ht="21" x14ac:dyDescent="0.35">
      <c r="A48" s="383" t="s">
        <v>100</v>
      </c>
      <c r="B48" s="383"/>
      <c r="C48" s="344" t="s">
        <v>101</v>
      </c>
      <c r="D48" s="349">
        <v>0</v>
      </c>
      <c r="E48" s="349"/>
      <c r="F48" s="349"/>
      <c r="G48" s="349">
        <f>SUM(G46:G47)</f>
        <v>0</v>
      </c>
      <c r="H48" s="349"/>
      <c r="I48" s="349"/>
      <c r="J48" s="349"/>
      <c r="K48" s="349"/>
      <c r="L48" s="349"/>
      <c r="M48" s="349"/>
      <c r="N48" s="349"/>
      <c r="O48" s="349">
        <f>SUM(O46:O47)</f>
        <v>0</v>
      </c>
      <c r="P48" s="349"/>
      <c r="Q48" s="349"/>
      <c r="R48" s="349"/>
      <c r="S48" s="349">
        <f>SUM(S46:S47)</f>
        <v>0</v>
      </c>
      <c r="T48" s="349">
        <v>10000</v>
      </c>
      <c r="U48" s="349">
        <v>10000</v>
      </c>
      <c r="V48" s="349">
        <v>43765</v>
      </c>
      <c r="W48" s="349"/>
      <c r="X48" s="349"/>
      <c r="Y48" s="349"/>
      <c r="Z48" s="349"/>
      <c r="AA48" s="591">
        <v>76765</v>
      </c>
      <c r="AB48" s="349"/>
      <c r="AC48" s="349"/>
      <c r="AD48" s="349"/>
      <c r="AE48" s="349"/>
      <c r="AF48" s="349"/>
      <c r="AG48" s="349"/>
      <c r="AH48" s="349"/>
      <c r="AI48" s="349"/>
      <c r="AJ48" s="349"/>
      <c r="AK48" s="334">
        <f t="shared" si="0"/>
        <v>0</v>
      </c>
      <c r="AL48" s="1"/>
      <c r="AM48" s="507">
        <f t="shared" si="1"/>
        <v>0</v>
      </c>
      <c r="AN48" s="330">
        <f t="shared" si="2"/>
        <v>43765</v>
      </c>
      <c r="AO48" s="330"/>
      <c r="AP48" s="330">
        <f t="shared" si="3"/>
        <v>0</v>
      </c>
      <c r="AQ48" s="507">
        <f t="shared" si="4"/>
        <v>76765</v>
      </c>
      <c r="AR48" s="507">
        <f t="shared" si="5"/>
        <v>76765</v>
      </c>
      <c r="AS48" s="507">
        <f t="shared" si="6"/>
        <v>76765</v>
      </c>
    </row>
    <row r="49" spans="1:45" ht="21" x14ac:dyDescent="0.35">
      <c r="A49" s="383" t="s">
        <v>307</v>
      </c>
      <c r="B49" s="383"/>
      <c r="C49" s="344" t="s">
        <v>103</v>
      </c>
      <c r="D49" s="349">
        <f t="shared" ref="D49:S49" si="18">SUM(D50:D51)</f>
        <v>831600</v>
      </c>
      <c r="E49" s="349">
        <f>442451+3402</f>
        <v>445853</v>
      </c>
      <c r="F49" s="349">
        <f>F45*0.27</f>
        <v>958500.00000000012</v>
      </c>
      <c r="G49" s="349">
        <f t="shared" si="18"/>
        <v>540000</v>
      </c>
      <c r="H49" s="349">
        <v>3780</v>
      </c>
      <c r="I49" s="591">
        <v>590747</v>
      </c>
      <c r="J49" s="349">
        <f>J45*0.27</f>
        <v>405000</v>
      </c>
      <c r="K49" s="349">
        <f t="shared" si="18"/>
        <v>756000</v>
      </c>
      <c r="L49" s="349">
        <v>462083</v>
      </c>
      <c r="M49" s="591">
        <f>4077+95017</f>
        <v>99094</v>
      </c>
      <c r="N49" s="349">
        <f>N45*0.27</f>
        <v>756000</v>
      </c>
      <c r="O49" s="349">
        <f t="shared" si="18"/>
        <v>56700.000000000007</v>
      </c>
      <c r="P49" s="349">
        <v>20276</v>
      </c>
      <c r="Q49" s="591">
        <v>646508</v>
      </c>
      <c r="R49" s="349">
        <f>R45*0.27</f>
        <v>40500</v>
      </c>
      <c r="S49" s="349">
        <f t="shared" si="18"/>
        <v>121500.00000000001</v>
      </c>
      <c r="T49" s="349">
        <v>1428600</v>
      </c>
      <c r="U49" s="349">
        <v>1428600</v>
      </c>
      <c r="V49" s="349">
        <v>17433</v>
      </c>
      <c r="W49" s="591">
        <v>7128</v>
      </c>
      <c r="X49" s="349">
        <f>X45*0.27</f>
        <v>13500</v>
      </c>
      <c r="Y49" s="349"/>
      <c r="Z49" s="349">
        <v>9450</v>
      </c>
      <c r="AA49" s="591">
        <v>6451</v>
      </c>
      <c r="AB49" s="349"/>
      <c r="AC49" s="349"/>
      <c r="AD49" s="349">
        <v>30203</v>
      </c>
      <c r="AE49" s="591">
        <v>352166</v>
      </c>
      <c r="AF49" s="349">
        <f>AF45*0.27</f>
        <v>40500</v>
      </c>
      <c r="AG49" s="349"/>
      <c r="AH49" s="349"/>
      <c r="AI49" s="591">
        <v>61482</v>
      </c>
      <c r="AJ49" s="349">
        <f>AJ45*0.27</f>
        <v>64800.000000000007</v>
      </c>
      <c r="AK49" s="334">
        <f t="shared" si="0"/>
        <v>2305800</v>
      </c>
      <c r="AL49" s="1">
        <f>21260+64843</f>
        <v>86103</v>
      </c>
      <c r="AM49" s="507">
        <f t="shared" si="1"/>
        <v>2391903</v>
      </c>
      <c r="AN49" s="330">
        <f t="shared" si="2"/>
        <v>989078</v>
      </c>
      <c r="AO49" s="591">
        <v>405</v>
      </c>
      <c r="AP49" s="330">
        <f t="shared" si="3"/>
        <v>2278800</v>
      </c>
      <c r="AQ49" s="507">
        <f t="shared" si="4"/>
        <v>-514819</v>
      </c>
      <c r="AR49" s="507">
        <f t="shared" si="5"/>
        <v>1763981</v>
      </c>
      <c r="AS49" s="507">
        <f t="shared" si="6"/>
        <v>1763981</v>
      </c>
    </row>
    <row r="50" spans="1:45" hidden="1" x14ac:dyDescent="0.35">
      <c r="A50" s="386" t="s">
        <v>308</v>
      </c>
      <c r="B50" s="386"/>
      <c r="C50" s="346"/>
      <c r="D50" s="347"/>
      <c r="E50" s="347"/>
      <c r="F50" s="347"/>
      <c r="G50" s="347"/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>
        <v>0</v>
      </c>
      <c r="U50" s="347">
        <v>0</v>
      </c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34">
        <f t="shared" si="0"/>
        <v>0</v>
      </c>
      <c r="AL50" s="1"/>
      <c r="AM50" s="507">
        <f t="shared" si="1"/>
        <v>0</v>
      </c>
      <c r="AN50" s="330">
        <f t="shared" si="2"/>
        <v>0</v>
      </c>
      <c r="AO50" s="330"/>
      <c r="AP50" s="330">
        <f t="shared" si="3"/>
        <v>0</v>
      </c>
      <c r="AQ50" s="507">
        <f t="shared" si="4"/>
        <v>0</v>
      </c>
      <c r="AR50" s="507">
        <f t="shared" si="5"/>
        <v>0</v>
      </c>
      <c r="AS50" s="507">
        <f t="shared" si="6"/>
        <v>0</v>
      </c>
    </row>
    <row r="51" spans="1:45" hidden="1" x14ac:dyDescent="0.35">
      <c r="A51" s="386" t="s">
        <v>309</v>
      </c>
      <c r="B51" s="386"/>
      <c r="C51" s="346"/>
      <c r="D51" s="438">
        <v>831600</v>
      </c>
      <c r="E51" s="438"/>
      <c r="F51" s="438"/>
      <c r="G51" s="347">
        <f>SUM(G45)*0.27</f>
        <v>540000</v>
      </c>
      <c r="H51" s="347"/>
      <c r="I51" s="347"/>
      <c r="J51" s="347"/>
      <c r="K51" s="347">
        <v>756000</v>
      </c>
      <c r="L51" s="347"/>
      <c r="M51" s="347"/>
      <c r="N51" s="347"/>
      <c r="O51" s="347">
        <f>SUM(O45)*0.27</f>
        <v>56700.000000000007</v>
      </c>
      <c r="P51" s="347"/>
      <c r="Q51" s="347"/>
      <c r="R51" s="347"/>
      <c r="S51" s="347">
        <f>SUM(S48,S45,S21,S16,S10)*0.27</f>
        <v>121500.00000000001</v>
      </c>
      <c r="T51" s="347">
        <v>1428600</v>
      </c>
      <c r="U51" s="347">
        <v>1428600</v>
      </c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347"/>
      <c r="AH51" s="347"/>
      <c r="AI51" s="347"/>
      <c r="AJ51" s="347"/>
      <c r="AK51" s="334">
        <f t="shared" si="0"/>
        <v>2305800</v>
      </c>
      <c r="AL51" s="1"/>
      <c r="AM51" s="507">
        <f t="shared" si="1"/>
        <v>2305800</v>
      </c>
      <c r="AN51" s="330">
        <f t="shared" si="2"/>
        <v>0</v>
      </c>
      <c r="AO51" s="330"/>
      <c r="AP51" s="330">
        <f t="shared" si="3"/>
        <v>0</v>
      </c>
      <c r="AQ51" s="507">
        <f t="shared" si="4"/>
        <v>0</v>
      </c>
      <c r="AR51" s="507">
        <f t="shared" si="5"/>
        <v>0</v>
      </c>
      <c r="AS51" s="507">
        <f t="shared" si="6"/>
        <v>0</v>
      </c>
    </row>
    <row r="52" spans="1:45" x14ac:dyDescent="0.35">
      <c r="A52" s="383" t="s">
        <v>310</v>
      </c>
      <c r="B52" s="383"/>
      <c r="C52" s="344" t="s">
        <v>105</v>
      </c>
      <c r="D52" s="348">
        <v>0</v>
      </c>
      <c r="E52" s="348"/>
      <c r="F52" s="348"/>
      <c r="G52" s="348"/>
      <c r="H52" s="348">
        <v>86068201</v>
      </c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>
        <v>0</v>
      </c>
      <c r="U52" s="348">
        <v>0</v>
      </c>
      <c r="V52" s="348"/>
      <c r="W52" s="348"/>
      <c r="X52" s="348"/>
      <c r="Y52" s="348"/>
      <c r="Z52" s="348"/>
      <c r="AA52" s="348"/>
      <c r="AB52" s="348"/>
      <c r="AC52" s="348"/>
      <c r="AD52" s="348"/>
      <c r="AE52" s="348"/>
      <c r="AF52" s="348"/>
      <c r="AG52" s="348"/>
      <c r="AH52" s="348"/>
      <c r="AI52" s="348"/>
      <c r="AJ52" s="348"/>
      <c r="AK52" s="334">
        <f t="shared" si="0"/>
        <v>0</v>
      </c>
      <c r="AL52" s="1">
        <f>86068201+87597</f>
        <v>86155798</v>
      </c>
      <c r="AM52" s="507">
        <f t="shared" si="1"/>
        <v>86155798</v>
      </c>
      <c r="AN52" s="330">
        <f t="shared" si="2"/>
        <v>86068201</v>
      </c>
      <c r="AO52" s="330"/>
      <c r="AP52" s="330">
        <f t="shared" si="3"/>
        <v>0</v>
      </c>
      <c r="AQ52" s="507">
        <f t="shared" si="4"/>
        <v>0</v>
      </c>
      <c r="AR52" s="507">
        <f t="shared" si="5"/>
        <v>0</v>
      </c>
      <c r="AS52" s="507">
        <f t="shared" si="6"/>
        <v>0</v>
      </c>
    </row>
    <row r="53" spans="1:45" x14ac:dyDescent="0.35">
      <c r="A53" s="383" t="s">
        <v>106</v>
      </c>
      <c r="B53" s="383"/>
      <c r="C53" s="344" t="s">
        <v>107</v>
      </c>
      <c r="D53" s="348">
        <v>0</v>
      </c>
      <c r="E53" s="348"/>
      <c r="F53" s="348"/>
      <c r="G53" s="348"/>
      <c r="H53" s="348"/>
      <c r="I53" s="348"/>
      <c r="J53" s="348"/>
      <c r="K53" s="348"/>
      <c r="L53" s="348"/>
      <c r="M53" s="591">
        <v>31483</v>
      </c>
      <c r="N53" s="348"/>
      <c r="O53" s="348"/>
      <c r="P53" s="348"/>
      <c r="Q53" s="348"/>
      <c r="R53" s="348"/>
      <c r="S53" s="348"/>
      <c r="T53" s="348">
        <v>0</v>
      </c>
      <c r="U53" s="348">
        <v>0</v>
      </c>
      <c r="V53" s="348"/>
      <c r="W53" s="348"/>
      <c r="X53" s="348"/>
      <c r="Y53" s="348"/>
      <c r="Z53" s="348"/>
      <c r="AA53" s="348"/>
      <c r="AB53" s="348"/>
      <c r="AC53" s="348"/>
      <c r="AD53" s="348"/>
      <c r="AE53" s="348"/>
      <c r="AF53" s="348"/>
      <c r="AG53" s="348"/>
      <c r="AH53" s="348"/>
      <c r="AI53" s="348"/>
      <c r="AJ53" s="348"/>
      <c r="AK53" s="334">
        <f t="shared" si="0"/>
        <v>0</v>
      </c>
      <c r="AL53" s="1"/>
      <c r="AM53" s="507">
        <f t="shared" si="1"/>
        <v>0</v>
      </c>
      <c r="AN53" s="334">
        <f t="shared" si="2"/>
        <v>0</v>
      </c>
      <c r="AO53" s="334"/>
      <c r="AP53" s="330">
        <f t="shared" si="3"/>
        <v>0</v>
      </c>
      <c r="AQ53" s="507">
        <f t="shared" si="4"/>
        <v>31483</v>
      </c>
      <c r="AR53" s="507">
        <f t="shared" si="5"/>
        <v>31483</v>
      </c>
      <c r="AS53" s="507">
        <f t="shared" si="6"/>
        <v>31483</v>
      </c>
    </row>
    <row r="54" spans="1:45" x14ac:dyDescent="0.35">
      <c r="A54" s="383" t="s">
        <v>311</v>
      </c>
      <c r="B54" s="383"/>
      <c r="C54" s="344" t="s">
        <v>111</v>
      </c>
      <c r="D54" s="349">
        <f>SUM(D55:D55)</f>
        <v>0</v>
      </c>
      <c r="E54" s="349">
        <v>158901</v>
      </c>
      <c r="F54" s="349">
        <v>200000</v>
      </c>
      <c r="G54" s="349">
        <f>SUM(G55:G56)</f>
        <v>0</v>
      </c>
      <c r="H54" s="349">
        <f>90163+14000</f>
        <v>104163</v>
      </c>
      <c r="I54" s="591">
        <v>178333</v>
      </c>
      <c r="J54" s="349"/>
      <c r="K54" s="349">
        <f>SUM(K55:K55)</f>
        <v>0</v>
      </c>
      <c r="L54" s="349"/>
      <c r="M54" s="591">
        <f>4036970+39800</f>
        <v>4076770</v>
      </c>
      <c r="N54" s="349"/>
      <c r="O54" s="349">
        <f>SUM(O55:O55)</f>
        <v>0</v>
      </c>
      <c r="P54" s="349"/>
      <c r="Q54" s="349"/>
      <c r="R54" s="349"/>
      <c r="S54" s="349">
        <f>SUM(S55:S55)</f>
        <v>0</v>
      </c>
      <c r="T54" s="349">
        <v>300000</v>
      </c>
      <c r="U54" s="349">
        <v>300000</v>
      </c>
      <c r="V54" s="349">
        <v>0</v>
      </c>
      <c r="W54" s="349"/>
      <c r="X54" s="349"/>
      <c r="Y54" s="349"/>
      <c r="Z54" s="349">
        <v>135000</v>
      </c>
      <c r="AA54" s="349"/>
      <c r="AB54" s="349"/>
      <c r="AC54" s="349"/>
      <c r="AD54" s="349"/>
      <c r="AE54" s="349"/>
      <c r="AF54" s="349"/>
      <c r="AG54" s="349"/>
      <c r="AH54" s="349"/>
      <c r="AI54" s="349"/>
      <c r="AJ54" s="349"/>
      <c r="AK54" s="334">
        <f t="shared" si="0"/>
        <v>0</v>
      </c>
      <c r="AL54" s="1">
        <v>400000</v>
      </c>
      <c r="AM54" s="632">
        <f t="shared" si="1"/>
        <v>400000</v>
      </c>
      <c r="AN54" s="330">
        <f t="shared" si="2"/>
        <v>398064</v>
      </c>
      <c r="AO54" s="330"/>
      <c r="AP54" s="330">
        <f t="shared" si="3"/>
        <v>200000</v>
      </c>
      <c r="AQ54" s="507">
        <f t="shared" si="4"/>
        <v>4055103</v>
      </c>
      <c r="AR54" s="507">
        <f t="shared" si="5"/>
        <v>4255103</v>
      </c>
      <c r="AS54" s="507">
        <f t="shared" si="6"/>
        <v>4255103</v>
      </c>
    </row>
    <row r="55" spans="1:45" hidden="1" x14ac:dyDescent="0.35">
      <c r="A55" s="386" t="s">
        <v>541</v>
      </c>
      <c r="B55" s="386"/>
      <c r="C55" s="346"/>
      <c r="D55" s="347"/>
      <c r="E55" s="347"/>
      <c r="F55" s="347"/>
      <c r="G55" s="347">
        <v>0</v>
      </c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47"/>
      <c r="T55" s="347">
        <v>300000</v>
      </c>
      <c r="U55" s="347">
        <v>300000</v>
      </c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7"/>
      <c r="AH55" s="347"/>
      <c r="AI55" s="347"/>
      <c r="AJ55" s="347"/>
      <c r="AK55" s="334">
        <f t="shared" si="0"/>
        <v>0</v>
      </c>
      <c r="AL55" s="1"/>
      <c r="AM55" s="507">
        <f t="shared" si="1"/>
        <v>0</v>
      </c>
      <c r="AN55" s="334">
        <f t="shared" si="2"/>
        <v>0</v>
      </c>
      <c r="AO55" s="334"/>
      <c r="AP55" s="330">
        <f t="shared" si="3"/>
        <v>0</v>
      </c>
      <c r="AQ55" s="507">
        <f t="shared" si="4"/>
        <v>0</v>
      </c>
      <c r="AR55" s="507">
        <f t="shared" si="5"/>
        <v>0</v>
      </c>
      <c r="AS55" s="507">
        <f t="shared" si="6"/>
        <v>0</v>
      </c>
    </row>
    <row r="56" spans="1:45" hidden="1" x14ac:dyDescent="0.35">
      <c r="A56" s="386" t="s">
        <v>475</v>
      </c>
      <c r="B56" s="386"/>
      <c r="C56" s="346"/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47"/>
      <c r="AH56" s="347"/>
      <c r="AI56" s="347"/>
      <c r="AJ56" s="347"/>
      <c r="AK56" s="334">
        <f t="shared" si="0"/>
        <v>0</v>
      </c>
      <c r="AL56" s="1"/>
      <c r="AM56" s="507">
        <f t="shared" si="1"/>
        <v>0</v>
      </c>
      <c r="AN56" s="334">
        <f t="shared" si="2"/>
        <v>0</v>
      </c>
      <c r="AO56" s="334"/>
      <c r="AP56" s="330">
        <f t="shared" si="3"/>
        <v>0</v>
      </c>
      <c r="AQ56" s="507">
        <f t="shared" si="4"/>
        <v>0</v>
      </c>
      <c r="AR56" s="507">
        <f t="shared" si="5"/>
        <v>0</v>
      </c>
      <c r="AS56" s="507">
        <f t="shared" si="6"/>
        <v>0</v>
      </c>
    </row>
    <row r="57" spans="1:45" s="530" customFormat="1" ht="21" x14ac:dyDescent="0.35">
      <c r="A57" s="383" t="s">
        <v>314</v>
      </c>
      <c r="B57" s="383"/>
      <c r="C57" s="344" t="s">
        <v>117</v>
      </c>
      <c r="D57" s="349">
        <f>SUM(D54,D49,D52,D53)</f>
        <v>831600</v>
      </c>
      <c r="E57" s="349">
        <f t="shared" ref="E57" si="19">SUM(E54,E49,E52,E53)</f>
        <v>604754</v>
      </c>
      <c r="F57" s="349">
        <f>SUM(F49:F54)</f>
        <v>1158500</v>
      </c>
      <c r="G57" s="349">
        <f t="shared" ref="G57:AO57" si="20">SUM(G49:G54)</f>
        <v>1080000</v>
      </c>
      <c r="H57" s="349">
        <f t="shared" si="20"/>
        <v>86176144</v>
      </c>
      <c r="I57" s="349">
        <f t="shared" si="20"/>
        <v>769080</v>
      </c>
      <c r="J57" s="349">
        <f t="shared" si="20"/>
        <v>405000</v>
      </c>
      <c r="K57" s="349">
        <f t="shared" si="20"/>
        <v>1512000</v>
      </c>
      <c r="L57" s="349">
        <f t="shared" si="20"/>
        <v>462083</v>
      </c>
      <c r="M57" s="349">
        <f t="shared" si="20"/>
        <v>4207347</v>
      </c>
      <c r="N57" s="349">
        <f t="shared" si="20"/>
        <v>756000</v>
      </c>
      <c r="O57" s="349">
        <f t="shared" si="20"/>
        <v>113400.00000000001</v>
      </c>
      <c r="P57" s="349">
        <f t="shared" si="20"/>
        <v>20276</v>
      </c>
      <c r="Q57" s="349">
        <f t="shared" si="20"/>
        <v>646508</v>
      </c>
      <c r="R57" s="349">
        <f t="shared" si="20"/>
        <v>40500</v>
      </c>
      <c r="S57" s="349">
        <f t="shared" si="20"/>
        <v>243000.00000000003</v>
      </c>
      <c r="T57" s="349">
        <f t="shared" si="20"/>
        <v>3157200</v>
      </c>
      <c r="U57" s="349">
        <f t="shared" si="20"/>
        <v>3157200</v>
      </c>
      <c r="V57" s="349">
        <f t="shared" si="20"/>
        <v>17433</v>
      </c>
      <c r="W57" s="349">
        <f t="shared" si="20"/>
        <v>7128</v>
      </c>
      <c r="X57" s="349">
        <f t="shared" si="20"/>
        <v>13500</v>
      </c>
      <c r="Y57" s="349">
        <f t="shared" si="20"/>
        <v>0</v>
      </c>
      <c r="Z57" s="349">
        <f t="shared" si="20"/>
        <v>144450</v>
      </c>
      <c r="AA57" s="349">
        <f t="shared" si="20"/>
        <v>6451</v>
      </c>
      <c r="AB57" s="349">
        <f t="shared" si="20"/>
        <v>0</v>
      </c>
      <c r="AC57" s="349">
        <f t="shared" si="20"/>
        <v>0</v>
      </c>
      <c r="AD57" s="349">
        <f t="shared" si="20"/>
        <v>30203</v>
      </c>
      <c r="AE57" s="349">
        <f t="shared" si="20"/>
        <v>352166</v>
      </c>
      <c r="AF57" s="349">
        <f t="shared" si="20"/>
        <v>40500</v>
      </c>
      <c r="AG57" s="349">
        <f t="shared" si="20"/>
        <v>0</v>
      </c>
      <c r="AH57" s="349">
        <f t="shared" si="20"/>
        <v>0</v>
      </c>
      <c r="AI57" s="349">
        <f t="shared" si="20"/>
        <v>61482</v>
      </c>
      <c r="AJ57" s="349">
        <f t="shared" si="20"/>
        <v>64800.000000000007</v>
      </c>
      <c r="AK57" s="349">
        <f t="shared" si="20"/>
        <v>4611600</v>
      </c>
      <c r="AL57" s="349">
        <f t="shared" si="20"/>
        <v>86641901</v>
      </c>
      <c r="AM57" s="349">
        <f t="shared" si="20"/>
        <v>91253501</v>
      </c>
      <c r="AN57" s="349">
        <f t="shared" si="20"/>
        <v>87455343</v>
      </c>
      <c r="AO57" s="349">
        <f t="shared" si="20"/>
        <v>405</v>
      </c>
      <c r="AP57" s="330">
        <f t="shared" si="3"/>
        <v>2478800</v>
      </c>
      <c r="AQ57" s="507">
        <f t="shared" si="4"/>
        <v>3571767</v>
      </c>
      <c r="AR57" s="507">
        <f t="shared" si="5"/>
        <v>6050567</v>
      </c>
      <c r="AS57" s="507">
        <f t="shared" si="6"/>
        <v>6050567</v>
      </c>
    </row>
    <row r="58" spans="1:45" x14ac:dyDescent="0.35">
      <c r="A58" s="383" t="s">
        <v>315</v>
      </c>
      <c r="B58" s="383"/>
      <c r="C58" s="344" t="s">
        <v>119</v>
      </c>
      <c r="D58" s="349">
        <f>SUM(D57,D48,D45,D21,D16)</f>
        <v>7151600</v>
      </c>
      <c r="E58" s="349">
        <f t="shared" ref="E58" si="21">SUM(E57,E48,E45,E21,E16)</f>
        <v>2656419</v>
      </c>
      <c r="F58" s="349">
        <f>SUM(F57,F48,F45,F21,F16)</f>
        <v>4993900</v>
      </c>
      <c r="G58" s="349">
        <f t="shared" ref="G58:AO58" si="22">SUM(G57,G48,G45,G21,G16)</f>
        <v>3080000</v>
      </c>
      <c r="H58" s="349">
        <f t="shared" si="22"/>
        <v>86206144</v>
      </c>
      <c r="I58" s="349">
        <f t="shared" si="22"/>
        <v>3285784</v>
      </c>
      <c r="J58" s="349">
        <f t="shared" si="22"/>
        <v>1905000</v>
      </c>
      <c r="K58" s="349">
        <f t="shared" si="22"/>
        <v>4312000</v>
      </c>
      <c r="L58" s="349">
        <f t="shared" si="22"/>
        <v>2272543</v>
      </c>
      <c r="M58" s="349">
        <f t="shared" si="22"/>
        <v>5726361</v>
      </c>
      <c r="N58" s="349">
        <f t="shared" si="22"/>
        <v>3556000</v>
      </c>
      <c r="O58" s="349">
        <f t="shared" si="22"/>
        <v>323400</v>
      </c>
      <c r="P58" s="349">
        <f t="shared" si="22"/>
        <v>96241</v>
      </c>
      <c r="Q58" s="349">
        <f t="shared" si="22"/>
        <v>3217940</v>
      </c>
      <c r="R58" s="349">
        <f t="shared" si="22"/>
        <v>200500</v>
      </c>
      <c r="S58" s="349">
        <f t="shared" si="22"/>
        <v>693000</v>
      </c>
      <c r="T58" s="349">
        <f t="shared" si="22"/>
        <v>9701200</v>
      </c>
      <c r="U58" s="349">
        <f t="shared" si="22"/>
        <v>12927140</v>
      </c>
      <c r="V58" s="349">
        <f t="shared" si="22"/>
        <v>125766</v>
      </c>
      <c r="W58" s="349">
        <f t="shared" si="22"/>
        <v>33569</v>
      </c>
      <c r="X58" s="349">
        <f t="shared" si="22"/>
        <v>263500</v>
      </c>
      <c r="Y58" s="349">
        <f t="shared" si="22"/>
        <v>0</v>
      </c>
      <c r="Z58" s="349">
        <f t="shared" si="22"/>
        <v>184450</v>
      </c>
      <c r="AA58" s="349">
        <f t="shared" si="22"/>
        <v>168109</v>
      </c>
      <c r="AB58" s="349">
        <f t="shared" si="22"/>
        <v>40000</v>
      </c>
      <c r="AC58" s="349">
        <f t="shared" si="22"/>
        <v>0</v>
      </c>
      <c r="AD58" s="349">
        <f t="shared" si="22"/>
        <v>152852</v>
      </c>
      <c r="AE58" s="349">
        <f t="shared" si="22"/>
        <v>1716484</v>
      </c>
      <c r="AF58" s="349">
        <f t="shared" si="22"/>
        <v>190500</v>
      </c>
      <c r="AG58" s="349">
        <f t="shared" si="22"/>
        <v>0</v>
      </c>
      <c r="AH58" s="349">
        <f t="shared" si="22"/>
        <v>236250</v>
      </c>
      <c r="AI58" s="349">
        <f t="shared" si="22"/>
        <v>314438</v>
      </c>
      <c r="AJ58" s="349">
        <f t="shared" si="22"/>
        <v>304800</v>
      </c>
      <c r="AK58" s="349">
        <f t="shared" si="22"/>
        <v>16891600</v>
      </c>
      <c r="AL58" s="349">
        <f t="shared" si="22"/>
        <v>86713218</v>
      </c>
      <c r="AM58" s="349">
        <f t="shared" si="22"/>
        <v>103604818</v>
      </c>
      <c r="AN58" s="349">
        <f t="shared" si="22"/>
        <v>91930665</v>
      </c>
      <c r="AO58" s="349">
        <f t="shared" si="22"/>
        <v>344105</v>
      </c>
      <c r="AP58" s="330">
        <f t="shared" si="3"/>
        <v>11454200</v>
      </c>
      <c r="AQ58" s="507">
        <f>AR58-AP58+260500</f>
        <v>3873590</v>
      </c>
      <c r="AR58" s="507">
        <f>AS58+260500</f>
        <v>15067290</v>
      </c>
      <c r="AS58" s="507">
        <f t="shared" si="6"/>
        <v>14806790</v>
      </c>
    </row>
    <row r="59" spans="1:45" s="630" customFormat="1" x14ac:dyDescent="0.35">
      <c r="A59" s="1214" t="s">
        <v>542</v>
      </c>
      <c r="B59" s="1214"/>
      <c r="C59" s="1214"/>
      <c r="D59" s="633">
        <f>D58+D8+D9</f>
        <v>7151600</v>
      </c>
      <c r="E59" s="633">
        <f t="shared" ref="E59" si="23">E58+E8+E9</f>
        <v>2656419</v>
      </c>
      <c r="F59" s="633">
        <f>SUM(F58,F9,F8)</f>
        <v>4993900</v>
      </c>
      <c r="G59" s="633">
        <f t="shared" ref="G59:AO59" si="24">SUM(G58,G9,G8)</f>
        <v>3080000</v>
      </c>
      <c r="H59" s="633">
        <f t="shared" si="24"/>
        <v>86206144</v>
      </c>
      <c r="I59" s="633">
        <f t="shared" si="24"/>
        <v>3311127</v>
      </c>
      <c r="J59" s="633">
        <f t="shared" si="24"/>
        <v>1905000</v>
      </c>
      <c r="K59" s="633">
        <f t="shared" si="24"/>
        <v>4312000</v>
      </c>
      <c r="L59" s="633">
        <f t="shared" si="24"/>
        <v>2272543</v>
      </c>
      <c r="M59" s="633">
        <f t="shared" si="24"/>
        <v>5726361</v>
      </c>
      <c r="N59" s="633">
        <f t="shared" si="24"/>
        <v>3556000</v>
      </c>
      <c r="O59" s="633">
        <f t="shared" si="24"/>
        <v>323400</v>
      </c>
      <c r="P59" s="633">
        <f t="shared" si="24"/>
        <v>96241</v>
      </c>
      <c r="Q59" s="633">
        <f t="shared" si="24"/>
        <v>3217940</v>
      </c>
      <c r="R59" s="633">
        <f t="shared" si="24"/>
        <v>200500</v>
      </c>
      <c r="S59" s="633">
        <f t="shared" si="24"/>
        <v>3489300</v>
      </c>
      <c r="T59" s="633">
        <f t="shared" si="24"/>
        <v>9701200</v>
      </c>
      <c r="U59" s="633">
        <f t="shared" si="24"/>
        <v>12927140</v>
      </c>
      <c r="V59" s="633">
        <f t="shared" si="24"/>
        <v>1963126</v>
      </c>
      <c r="W59" s="633">
        <f t="shared" si="24"/>
        <v>33569</v>
      </c>
      <c r="X59" s="633">
        <f t="shared" si="24"/>
        <v>3467255</v>
      </c>
      <c r="Y59" s="633">
        <f t="shared" si="24"/>
        <v>0</v>
      </c>
      <c r="Z59" s="633">
        <f t="shared" si="24"/>
        <v>184450</v>
      </c>
      <c r="AA59" s="633">
        <f t="shared" si="24"/>
        <v>3299590</v>
      </c>
      <c r="AB59" s="633">
        <f t="shared" si="24"/>
        <v>40000</v>
      </c>
      <c r="AC59" s="633">
        <f t="shared" si="24"/>
        <v>0</v>
      </c>
      <c r="AD59" s="633">
        <f t="shared" si="24"/>
        <v>152852</v>
      </c>
      <c r="AE59" s="633">
        <f t="shared" si="24"/>
        <v>1716484</v>
      </c>
      <c r="AF59" s="633">
        <f t="shared" si="24"/>
        <v>190500</v>
      </c>
      <c r="AG59" s="633">
        <f t="shared" si="24"/>
        <v>0</v>
      </c>
      <c r="AH59" s="633">
        <f t="shared" si="24"/>
        <v>236250</v>
      </c>
      <c r="AI59" s="633">
        <f t="shared" si="24"/>
        <v>314438</v>
      </c>
      <c r="AJ59" s="633">
        <f t="shared" si="24"/>
        <v>304800</v>
      </c>
      <c r="AK59" s="633">
        <f t="shared" si="24"/>
        <v>19687900</v>
      </c>
      <c r="AL59" s="633">
        <f t="shared" si="24"/>
        <v>86300071</v>
      </c>
      <c r="AM59" s="633">
        <f t="shared" si="24"/>
        <v>105987971</v>
      </c>
      <c r="AN59" s="633">
        <f t="shared" si="24"/>
        <v>93768025</v>
      </c>
      <c r="AO59" s="633">
        <f t="shared" si="24"/>
        <v>344105</v>
      </c>
      <c r="AP59" s="330">
        <f t="shared" si="3"/>
        <v>14657955</v>
      </c>
      <c r="AQ59" s="507">
        <f>AR59-AP59+260500</f>
        <v>3826659</v>
      </c>
      <c r="AR59" s="507">
        <f>AS59+260500</f>
        <v>18224114</v>
      </c>
      <c r="AS59" s="507">
        <f t="shared" si="6"/>
        <v>17963614</v>
      </c>
    </row>
    <row r="60" spans="1:45" x14ac:dyDescent="0.35">
      <c r="AK60" s="168"/>
    </row>
  </sheetData>
  <mergeCells count="14">
    <mergeCell ref="AP6:AS6"/>
    <mergeCell ref="A59:C59"/>
    <mergeCell ref="A5:A7"/>
    <mergeCell ref="C5:C7"/>
    <mergeCell ref="D2:O2"/>
    <mergeCell ref="D5:AJ5"/>
    <mergeCell ref="D6:I6"/>
    <mergeCell ref="J6:M6"/>
    <mergeCell ref="N6:Q6"/>
    <mergeCell ref="R6:W6"/>
    <mergeCell ref="X6:AA6"/>
    <mergeCell ref="AB6:AE6"/>
    <mergeCell ref="AF6:AI6"/>
    <mergeCell ref="AJ6:AO6"/>
  </mergeCells>
  <pageMargins left="0.70866141732283472" right="0.70866141732283472" top="0.74803149606299213" bottom="0.74803149606299213" header="0.31496062992125984" footer="0.31496062992125984"/>
  <pageSetup paperSize="8" scale="59" fitToWidth="2" orientation="landscape" r:id="rId1"/>
  <colBreaks count="1" manualBreakCount="1">
    <brk id="18" max="5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  <pageSetUpPr fitToPage="1"/>
  </sheetPr>
  <dimension ref="A1:X70"/>
  <sheetViews>
    <sheetView view="pageBreakPreview" zoomScale="80" zoomScaleNormal="100" zoomScaleSheetLayoutView="80" workbookViewId="0"/>
  </sheetViews>
  <sheetFormatPr defaultRowHeight="14.5" x14ac:dyDescent="0.35"/>
  <cols>
    <col min="1" max="1" width="26.26953125" customWidth="1"/>
    <col min="2" max="2" width="7.1796875" customWidth="1"/>
    <col min="3" max="4" width="17.26953125" hidden="1" customWidth="1"/>
    <col min="5" max="5" width="24.453125" style="532" customWidth="1"/>
    <col min="6" max="7" width="16.1796875" hidden="1" customWidth="1"/>
    <col min="8" max="8" width="22.7265625" style="532" customWidth="1"/>
    <col min="9" max="9" width="26.81640625" style="532" customWidth="1"/>
    <col min="10" max="13" width="16.1796875" hidden="1" customWidth="1"/>
    <col min="14" max="14" width="16.1796875" style="532" customWidth="1"/>
    <col min="15" max="15" width="22.54296875" style="532" customWidth="1"/>
    <col min="16" max="16" width="19.26953125" hidden="1" customWidth="1"/>
    <col min="17" max="17" width="16" hidden="1" customWidth="1"/>
    <col min="18" max="18" width="17.1796875" hidden="1" customWidth="1"/>
    <col min="19" max="19" width="19.7265625" hidden="1" customWidth="1"/>
    <col min="20" max="20" width="19.7265625" style="532" customWidth="1"/>
    <col min="21" max="21" width="17" style="753" bestFit="1" customWidth="1"/>
    <col min="22" max="22" width="18.26953125" hidden="1" customWidth="1"/>
    <col min="23" max="23" width="17" customWidth="1"/>
    <col min="24" max="24" width="19.7265625" customWidth="1"/>
  </cols>
  <sheetData>
    <row r="1" spans="1:24" x14ac:dyDescent="0.35">
      <c r="A1" t="s">
        <v>555</v>
      </c>
    </row>
    <row r="3" spans="1:24" x14ac:dyDescent="0.35">
      <c r="A3" s="1208" t="s">
        <v>543</v>
      </c>
      <c r="B3" s="1208"/>
      <c r="C3" s="1208"/>
      <c r="D3" s="1208"/>
      <c r="E3" s="1208"/>
      <c r="F3" s="1208"/>
      <c r="G3" s="1208"/>
      <c r="H3" s="1208"/>
      <c r="I3" s="1208"/>
      <c r="J3" s="1208"/>
      <c r="K3" s="1208"/>
      <c r="L3" s="1208"/>
      <c r="M3" s="1208"/>
      <c r="N3" s="1208"/>
      <c r="O3" s="1208"/>
      <c r="P3" s="1208"/>
    </row>
    <row r="5" spans="1:24" x14ac:dyDescent="0.35">
      <c r="A5" s="1226" t="s">
        <v>2</v>
      </c>
      <c r="B5" s="1226" t="s">
        <v>3</v>
      </c>
      <c r="C5" s="1225" t="s">
        <v>726</v>
      </c>
      <c r="D5" s="1225"/>
      <c r="E5" s="1225"/>
      <c r="F5" s="1225"/>
      <c r="G5" s="1225"/>
      <c r="H5" s="1225"/>
      <c r="I5" s="1225"/>
      <c r="J5" s="1225"/>
      <c r="K5" s="1225"/>
      <c r="L5" s="1225"/>
      <c r="M5" s="1225"/>
      <c r="N5" s="1225"/>
      <c r="O5" s="1225"/>
      <c r="P5" s="1225"/>
      <c r="Q5" s="1225"/>
      <c r="R5" s="1225"/>
      <c r="S5" s="1225"/>
      <c r="T5" s="1225"/>
      <c r="U5" s="1225"/>
      <c r="V5" s="1225"/>
      <c r="W5" s="1225"/>
      <c r="X5" s="1225"/>
    </row>
    <row r="6" spans="1:24" ht="28.5" customHeight="1" x14ac:dyDescent="0.35">
      <c r="A6" s="1226"/>
      <c r="B6" s="1226"/>
      <c r="C6" s="1227" t="s">
        <v>521</v>
      </c>
      <c r="D6" s="1227"/>
      <c r="E6" s="1227"/>
      <c r="F6" s="1227"/>
      <c r="G6" s="1227"/>
      <c r="H6" s="1227"/>
      <c r="I6" s="1228" t="s">
        <v>264</v>
      </c>
      <c r="J6" s="1228"/>
      <c r="K6" s="1228"/>
      <c r="L6" s="1228"/>
      <c r="M6" s="1228"/>
      <c r="N6" s="1228"/>
      <c r="O6" s="1228" t="s">
        <v>727</v>
      </c>
      <c r="P6" s="1228"/>
      <c r="Q6" s="1228"/>
      <c r="R6" s="1228"/>
      <c r="S6" s="1228"/>
      <c r="T6" s="1228"/>
      <c r="U6" s="1224" t="s">
        <v>4</v>
      </c>
      <c r="V6" s="1224"/>
      <c r="W6" s="1224"/>
      <c r="X6" s="1224"/>
    </row>
    <row r="7" spans="1:24" ht="42.75" customHeight="1" x14ac:dyDescent="0.35">
      <c r="A7" s="1226"/>
      <c r="B7" s="1226"/>
      <c r="C7" s="326" t="s">
        <v>669</v>
      </c>
      <c r="D7" s="326" t="s">
        <v>870</v>
      </c>
      <c r="E7" s="326" t="s">
        <v>927</v>
      </c>
      <c r="F7" s="326" t="s">
        <v>669</v>
      </c>
      <c r="G7" s="326" t="s">
        <v>870</v>
      </c>
      <c r="H7" s="326" t="s">
        <v>1103</v>
      </c>
      <c r="I7" s="326" t="s">
        <v>927</v>
      </c>
      <c r="J7" s="326" t="s">
        <v>669</v>
      </c>
      <c r="K7" s="327" t="s">
        <v>830</v>
      </c>
      <c r="L7" s="327" t="s">
        <v>831</v>
      </c>
      <c r="M7" s="326" t="s">
        <v>870</v>
      </c>
      <c r="N7" s="326" t="s">
        <v>1103</v>
      </c>
      <c r="O7" s="326" t="s">
        <v>927</v>
      </c>
      <c r="P7" s="612" t="s">
        <v>825</v>
      </c>
      <c r="Q7" s="612" t="s">
        <v>871</v>
      </c>
      <c r="R7" s="612" t="s">
        <v>872</v>
      </c>
      <c r="S7" s="612" t="s">
        <v>870</v>
      </c>
      <c r="T7" s="326" t="s">
        <v>1103</v>
      </c>
      <c r="U7" s="939" t="s">
        <v>901</v>
      </c>
      <c r="V7" s="384" t="s">
        <v>1097</v>
      </c>
      <c r="W7" s="939" t="s">
        <v>1101</v>
      </c>
      <c r="X7" s="326" t="s">
        <v>1103</v>
      </c>
    </row>
    <row r="8" spans="1:24" ht="21" hidden="1" customHeight="1" x14ac:dyDescent="0.35">
      <c r="A8" s="328" t="s">
        <v>268</v>
      </c>
      <c r="B8" s="74" t="s">
        <v>44</v>
      </c>
      <c r="C8" s="95">
        <f t="shared" ref="C8:F8" si="0">SUM(C9:C13)</f>
        <v>0</v>
      </c>
      <c r="D8" s="95"/>
      <c r="E8" s="95"/>
      <c r="F8" s="95">
        <f t="shared" si="0"/>
        <v>0</v>
      </c>
      <c r="G8" s="95"/>
      <c r="H8" s="95"/>
      <c r="I8" s="95"/>
      <c r="J8" s="95"/>
      <c r="K8" s="95"/>
      <c r="L8" s="95"/>
      <c r="M8" s="95"/>
      <c r="N8" s="95"/>
      <c r="O8" s="95"/>
      <c r="P8" s="336"/>
      <c r="Q8" s="1"/>
      <c r="R8" s="1"/>
      <c r="S8" s="1"/>
      <c r="T8" s="1"/>
      <c r="U8" s="648"/>
      <c r="V8" s="1"/>
      <c r="W8" s="1"/>
      <c r="X8" s="1"/>
    </row>
    <row r="9" spans="1:24" ht="21" hidden="1" customHeight="1" x14ac:dyDescent="0.35">
      <c r="A9" s="329" t="s">
        <v>269</v>
      </c>
      <c r="B9" s="81"/>
      <c r="C9" s="330"/>
      <c r="D9" s="330"/>
      <c r="E9" s="330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6"/>
      <c r="Q9" s="1"/>
      <c r="R9" s="1"/>
      <c r="S9" s="1"/>
      <c r="T9" s="1"/>
      <c r="U9" s="648"/>
      <c r="V9" s="1"/>
      <c r="W9" s="1"/>
      <c r="X9" s="1"/>
    </row>
    <row r="10" spans="1:24" ht="21" hidden="1" customHeight="1" x14ac:dyDescent="0.35">
      <c r="A10" s="331" t="s">
        <v>45</v>
      </c>
      <c r="B10" s="8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6"/>
      <c r="Q10" s="1"/>
      <c r="R10" s="1"/>
      <c r="S10" s="1"/>
      <c r="T10" s="1"/>
      <c r="U10" s="648"/>
      <c r="V10" s="1"/>
      <c r="W10" s="1"/>
      <c r="X10" s="1"/>
    </row>
    <row r="11" spans="1:24" ht="21" hidden="1" customHeight="1" x14ac:dyDescent="0.35">
      <c r="A11" s="331" t="s">
        <v>270</v>
      </c>
      <c r="B11" s="8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6"/>
      <c r="Q11" s="1"/>
      <c r="R11" s="1"/>
      <c r="S11" s="1"/>
      <c r="T11" s="1"/>
      <c r="U11" s="648"/>
      <c r="V11" s="1"/>
      <c r="W11" s="1"/>
      <c r="X11" s="1"/>
    </row>
    <row r="12" spans="1:24" ht="21" hidden="1" customHeight="1" x14ac:dyDescent="0.35">
      <c r="A12" s="331" t="s">
        <v>271</v>
      </c>
      <c r="B12" s="88"/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6"/>
      <c r="Q12" s="1"/>
      <c r="R12" s="1"/>
      <c r="S12" s="1"/>
      <c r="T12" s="1"/>
      <c r="U12" s="648"/>
      <c r="V12" s="1"/>
      <c r="W12" s="1"/>
      <c r="X12" s="1"/>
    </row>
    <row r="13" spans="1:24" ht="21" hidden="1" customHeight="1" x14ac:dyDescent="0.35">
      <c r="A13" s="331" t="s">
        <v>272</v>
      </c>
      <c r="B13" s="88"/>
      <c r="C13" s="338"/>
      <c r="D13" s="338"/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36"/>
      <c r="Q13" s="1"/>
      <c r="R13" s="1"/>
      <c r="S13" s="1"/>
      <c r="T13" s="1"/>
      <c r="U13" s="648"/>
      <c r="V13" s="1"/>
      <c r="W13" s="1"/>
      <c r="X13" s="1"/>
    </row>
    <row r="14" spans="1:24" ht="32.25" customHeight="1" x14ac:dyDescent="0.35">
      <c r="A14" s="333" t="s">
        <v>273</v>
      </c>
      <c r="B14" s="117" t="s">
        <v>50</v>
      </c>
      <c r="C14" s="334">
        <f>SUM(C15:C20)</f>
        <v>0</v>
      </c>
      <c r="D14" s="334">
        <v>1531</v>
      </c>
      <c r="E14" s="334"/>
      <c r="F14" s="334">
        <f t="shared" ref="F14" si="1">SUM(F15:F20)</f>
        <v>0</v>
      </c>
      <c r="G14" s="334"/>
      <c r="H14" s="334"/>
      <c r="I14" s="334"/>
      <c r="J14" s="334">
        <v>1324836</v>
      </c>
      <c r="K14" s="334">
        <v>0</v>
      </c>
      <c r="L14" s="334">
        <v>0</v>
      </c>
      <c r="M14" s="334">
        <v>1165800</v>
      </c>
      <c r="N14" s="334"/>
      <c r="O14" s="334">
        <v>1500000</v>
      </c>
      <c r="P14" s="334">
        <f t="shared" ref="P14:P61" si="2">SUM(C14,F14,J14)</f>
        <v>1324836</v>
      </c>
      <c r="Q14" s="1"/>
      <c r="R14" s="507">
        <f>P14+Q14</f>
        <v>1324836</v>
      </c>
      <c r="S14" s="507">
        <f>D14+G14+M14</f>
        <v>1167331</v>
      </c>
      <c r="T14" s="507"/>
      <c r="U14" s="790">
        <f>SUM(O14,I14,E14)</f>
        <v>1500000</v>
      </c>
      <c r="V14" s="507">
        <f>W14-U14</f>
        <v>-1500000</v>
      </c>
      <c r="W14" s="507">
        <f>X14</f>
        <v>0</v>
      </c>
      <c r="X14" s="507">
        <f>H14+N14+T14</f>
        <v>0</v>
      </c>
    </row>
    <row r="15" spans="1:24" ht="21" hidden="1" customHeight="1" x14ac:dyDescent="0.35">
      <c r="A15" s="331" t="s">
        <v>274</v>
      </c>
      <c r="B15" s="88"/>
      <c r="C15" s="338"/>
      <c r="D15" s="338"/>
      <c r="E15" s="338"/>
      <c r="F15" s="337"/>
      <c r="G15" s="337"/>
      <c r="H15" s="337"/>
      <c r="I15" s="337"/>
      <c r="J15" s="337"/>
      <c r="K15" s="334">
        <v>0</v>
      </c>
      <c r="L15" s="334">
        <v>0</v>
      </c>
      <c r="M15" s="334"/>
      <c r="N15" s="334"/>
      <c r="O15" s="334"/>
      <c r="P15" s="334">
        <f t="shared" si="2"/>
        <v>0</v>
      </c>
      <c r="Q15" s="1"/>
      <c r="R15" s="507">
        <f t="shared" ref="R15:R67" si="3">P15+Q15</f>
        <v>0</v>
      </c>
      <c r="S15" s="507">
        <f t="shared" ref="S15:S67" si="4">D15+G15+M15</f>
        <v>0</v>
      </c>
      <c r="T15" s="507"/>
      <c r="U15" s="790">
        <f t="shared" ref="U15:U67" si="5">SUM(O15,I15,E15)</f>
        <v>0</v>
      </c>
      <c r="V15" s="507">
        <f t="shared" ref="V15:V67" si="6">W15-U15</f>
        <v>0</v>
      </c>
      <c r="W15" s="507">
        <f t="shared" ref="W15:W67" si="7">X15</f>
        <v>0</v>
      </c>
      <c r="X15" s="507">
        <f t="shared" ref="X15:X62" si="8">H15+N15+T15</f>
        <v>0</v>
      </c>
    </row>
    <row r="16" spans="1:24" ht="21" hidden="1" customHeight="1" x14ac:dyDescent="0.35">
      <c r="A16" s="331" t="s">
        <v>275</v>
      </c>
      <c r="B16" s="88"/>
      <c r="C16" s="338"/>
      <c r="D16" s="338"/>
      <c r="E16" s="338"/>
      <c r="F16" s="337"/>
      <c r="G16" s="337"/>
      <c r="H16" s="337"/>
      <c r="I16" s="337"/>
      <c r="J16" s="337"/>
      <c r="K16" s="334">
        <v>0</v>
      </c>
      <c r="L16" s="334">
        <v>0</v>
      </c>
      <c r="M16" s="334"/>
      <c r="N16" s="334"/>
      <c r="O16" s="334"/>
      <c r="P16" s="334">
        <f t="shared" si="2"/>
        <v>0</v>
      </c>
      <c r="Q16" s="1"/>
      <c r="R16" s="507">
        <f t="shared" si="3"/>
        <v>0</v>
      </c>
      <c r="S16" s="507">
        <f t="shared" si="4"/>
        <v>0</v>
      </c>
      <c r="T16" s="507"/>
      <c r="U16" s="790">
        <f t="shared" si="5"/>
        <v>0</v>
      </c>
      <c r="V16" s="507">
        <f t="shared" si="6"/>
        <v>0</v>
      </c>
      <c r="W16" s="507">
        <f t="shared" si="7"/>
        <v>0</v>
      </c>
      <c r="X16" s="507">
        <f t="shared" si="8"/>
        <v>0</v>
      </c>
    </row>
    <row r="17" spans="1:24" ht="21" hidden="1" customHeight="1" x14ac:dyDescent="0.35">
      <c r="A17" s="331" t="s">
        <v>276</v>
      </c>
      <c r="B17" s="88"/>
      <c r="C17" s="338"/>
      <c r="D17" s="338"/>
      <c r="E17" s="338"/>
      <c r="F17" s="337"/>
      <c r="G17" s="337"/>
      <c r="H17" s="337"/>
      <c r="I17" s="337"/>
      <c r="J17" s="337"/>
      <c r="K17" s="334">
        <v>0</v>
      </c>
      <c r="L17" s="334">
        <v>0</v>
      </c>
      <c r="M17" s="334"/>
      <c r="N17" s="334"/>
      <c r="O17" s="334"/>
      <c r="P17" s="334">
        <f t="shared" si="2"/>
        <v>0</v>
      </c>
      <c r="Q17" s="1"/>
      <c r="R17" s="507">
        <f t="shared" si="3"/>
        <v>0</v>
      </c>
      <c r="S17" s="507">
        <f t="shared" si="4"/>
        <v>0</v>
      </c>
      <c r="T17" s="507"/>
      <c r="U17" s="790">
        <f t="shared" si="5"/>
        <v>0</v>
      </c>
      <c r="V17" s="507">
        <f t="shared" si="6"/>
        <v>0</v>
      </c>
      <c r="W17" s="507">
        <f t="shared" si="7"/>
        <v>0</v>
      </c>
      <c r="X17" s="507">
        <f t="shared" si="8"/>
        <v>0</v>
      </c>
    </row>
    <row r="18" spans="1:24" ht="21" hidden="1" customHeight="1" x14ac:dyDescent="0.35">
      <c r="A18" s="331" t="s">
        <v>277</v>
      </c>
      <c r="B18" s="88"/>
      <c r="C18" s="338"/>
      <c r="D18" s="338"/>
      <c r="E18" s="338"/>
      <c r="F18" s="337"/>
      <c r="G18" s="337"/>
      <c r="H18" s="337"/>
      <c r="I18" s="337"/>
      <c r="J18" s="337"/>
      <c r="K18" s="334">
        <v>0</v>
      </c>
      <c r="L18" s="334">
        <v>0</v>
      </c>
      <c r="M18" s="334"/>
      <c r="N18" s="334"/>
      <c r="O18" s="334"/>
      <c r="P18" s="334">
        <f t="shared" si="2"/>
        <v>0</v>
      </c>
      <c r="Q18" s="1"/>
      <c r="R18" s="507">
        <f t="shared" si="3"/>
        <v>0</v>
      </c>
      <c r="S18" s="507">
        <f t="shared" si="4"/>
        <v>0</v>
      </c>
      <c r="T18" s="507"/>
      <c r="U18" s="790">
        <f t="shared" si="5"/>
        <v>0</v>
      </c>
      <c r="V18" s="507">
        <f t="shared" si="6"/>
        <v>0</v>
      </c>
      <c r="W18" s="507">
        <f t="shared" si="7"/>
        <v>0</v>
      </c>
      <c r="X18" s="507">
        <f t="shared" si="8"/>
        <v>0</v>
      </c>
    </row>
    <row r="19" spans="1:24" ht="21" hidden="1" customHeight="1" x14ac:dyDescent="0.35">
      <c r="A19" s="331" t="s">
        <v>56</v>
      </c>
      <c r="B19" s="88"/>
      <c r="C19" s="338"/>
      <c r="D19" s="338"/>
      <c r="E19" s="338"/>
      <c r="F19" s="337"/>
      <c r="G19" s="337"/>
      <c r="H19" s="337"/>
      <c r="I19" s="337"/>
      <c r="J19" s="337"/>
      <c r="K19" s="334">
        <v>0</v>
      </c>
      <c r="L19" s="334">
        <v>0</v>
      </c>
      <c r="M19" s="334"/>
      <c r="N19" s="334"/>
      <c r="O19" s="334"/>
      <c r="P19" s="334">
        <f t="shared" si="2"/>
        <v>0</v>
      </c>
      <c r="Q19" s="1"/>
      <c r="R19" s="507">
        <f t="shared" si="3"/>
        <v>0</v>
      </c>
      <c r="S19" s="507">
        <f t="shared" si="4"/>
        <v>0</v>
      </c>
      <c r="T19" s="507"/>
      <c r="U19" s="790">
        <f t="shared" si="5"/>
        <v>0</v>
      </c>
      <c r="V19" s="507">
        <f t="shared" si="6"/>
        <v>0</v>
      </c>
      <c r="W19" s="507">
        <f t="shared" si="7"/>
        <v>0</v>
      </c>
      <c r="X19" s="507">
        <f t="shared" si="8"/>
        <v>0</v>
      </c>
    </row>
    <row r="20" spans="1:24" ht="21" hidden="1" customHeight="1" x14ac:dyDescent="0.35">
      <c r="A20" s="331" t="s">
        <v>278</v>
      </c>
      <c r="B20" s="88"/>
      <c r="C20" s="338"/>
      <c r="D20" s="338"/>
      <c r="E20" s="338"/>
      <c r="F20" s="337"/>
      <c r="G20" s="337"/>
      <c r="H20" s="337"/>
      <c r="I20" s="337"/>
      <c r="J20" s="337"/>
      <c r="K20" s="334">
        <v>0</v>
      </c>
      <c r="L20" s="334">
        <v>0</v>
      </c>
      <c r="M20" s="334"/>
      <c r="N20" s="334"/>
      <c r="O20" s="334"/>
      <c r="P20" s="334">
        <f t="shared" si="2"/>
        <v>0</v>
      </c>
      <c r="Q20" s="1"/>
      <c r="R20" s="507">
        <f t="shared" si="3"/>
        <v>0</v>
      </c>
      <c r="S20" s="507">
        <f t="shared" si="4"/>
        <v>0</v>
      </c>
      <c r="T20" s="507"/>
      <c r="U20" s="790">
        <f t="shared" si="5"/>
        <v>0</v>
      </c>
      <c r="V20" s="507">
        <f t="shared" si="6"/>
        <v>0</v>
      </c>
      <c r="W20" s="507">
        <f t="shared" si="7"/>
        <v>0</v>
      </c>
      <c r="X20" s="507">
        <f t="shared" si="8"/>
        <v>0</v>
      </c>
    </row>
    <row r="21" spans="1:24" ht="21" hidden="1" customHeight="1" x14ac:dyDescent="0.35">
      <c r="A21" s="328" t="s">
        <v>279</v>
      </c>
      <c r="B21" s="74" t="s">
        <v>280</v>
      </c>
      <c r="C21" s="339">
        <v>0</v>
      </c>
      <c r="D21" s="339"/>
      <c r="E21" s="339"/>
      <c r="F21" s="340"/>
      <c r="G21" s="340"/>
      <c r="H21" s="340"/>
      <c r="I21" s="340"/>
      <c r="J21" s="340"/>
      <c r="K21" s="334">
        <v>0</v>
      </c>
      <c r="L21" s="334">
        <v>0</v>
      </c>
      <c r="M21" s="334"/>
      <c r="N21" s="334"/>
      <c r="O21" s="334"/>
      <c r="P21" s="334">
        <f t="shared" si="2"/>
        <v>0</v>
      </c>
      <c r="Q21" s="1"/>
      <c r="R21" s="507">
        <f t="shared" si="3"/>
        <v>0</v>
      </c>
      <c r="S21" s="507">
        <f t="shared" si="4"/>
        <v>0</v>
      </c>
      <c r="T21" s="507"/>
      <c r="U21" s="790">
        <f t="shared" si="5"/>
        <v>0</v>
      </c>
      <c r="V21" s="507">
        <f t="shared" si="6"/>
        <v>0</v>
      </c>
      <c r="W21" s="507">
        <f t="shared" si="7"/>
        <v>0</v>
      </c>
      <c r="X21" s="507">
        <f t="shared" si="8"/>
        <v>0</v>
      </c>
    </row>
    <row r="22" spans="1:24" ht="21" hidden="1" customHeight="1" x14ac:dyDescent="0.35">
      <c r="A22" s="332" t="s">
        <v>281</v>
      </c>
      <c r="B22" s="100" t="s">
        <v>58</v>
      </c>
      <c r="C22" s="104">
        <f t="shared" ref="C22:F22" si="9">SUM(C14,C8,C21)</f>
        <v>0</v>
      </c>
      <c r="D22" s="104"/>
      <c r="E22" s="104"/>
      <c r="F22" s="334">
        <f t="shared" si="9"/>
        <v>0</v>
      </c>
      <c r="G22" s="334"/>
      <c r="H22" s="334"/>
      <c r="I22" s="334"/>
      <c r="J22" s="334"/>
      <c r="K22" s="334">
        <v>0</v>
      </c>
      <c r="L22" s="334">
        <v>0</v>
      </c>
      <c r="M22" s="334"/>
      <c r="N22" s="334"/>
      <c r="O22" s="334"/>
      <c r="P22" s="334">
        <f t="shared" si="2"/>
        <v>0</v>
      </c>
      <c r="Q22" s="1"/>
      <c r="R22" s="507">
        <f t="shared" si="3"/>
        <v>0</v>
      </c>
      <c r="S22" s="507">
        <f t="shared" si="4"/>
        <v>0</v>
      </c>
      <c r="T22" s="507"/>
      <c r="U22" s="790">
        <f t="shared" si="5"/>
        <v>0</v>
      </c>
      <c r="V22" s="507">
        <f t="shared" si="6"/>
        <v>0</v>
      </c>
      <c r="W22" s="507">
        <f t="shared" si="7"/>
        <v>0</v>
      </c>
      <c r="X22" s="507">
        <f t="shared" si="8"/>
        <v>0</v>
      </c>
    </row>
    <row r="23" spans="1:24" ht="21" hidden="1" customHeight="1" x14ac:dyDescent="0.35">
      <c r="A23" s="328" t="s">
        <v>282</v>
      </c>
      <c r="B23" s="74" t="s">
        <v>60</v>
      </c>
      <c r="C23" s="339">
        <f t="shared" ref="C23" si="10">SUM(C24:C27)</f>
        <v>0</v>
      </c>
      <c r="D23" s="339"/>
      <c r="E23" s="339"/>
      <c r="F23" s="340"/>
      <c r="G23" s="340"/>
      <c r="H23" s="340"/>
      <c r="I23" s="340"/>
      <c r="J23" s="340"/>
      <c r="K23" s="334">
        <v>0</v>
      </c>
      <c r="L23" s="334">
        <v>0</v>
      </c>
      <c r="M23" s="334"/>
      <c r="N23" s="334"/>
      <c r="O23" s="334"/>
      <c r="P23" s="334">
        <f t="shared" si="2"/>
        <v>0</v>
      </c>
      <c r="Q23" s="1"/>
      <c r="R23" s="507">
        <f t="shared" si="3"/>
        <v>0</v>
      </c>
      <c r="S23" s="507">
        <f t="shared" si="4"/>
        <v>0</v>
      </c>
      <c r="T23" s="507"/>
      <c r="U23" s="790">
        <f t="shared" si="5"/>
        <v>0</v>
      </c>
      <c r="V23" s="507">
        <f t="shared" si="6"/>
        <v>0</v>
      </c>
      <c r="W23" s="507">
        <f t="shared" si="7"/>
        <v>0</v>
      </c>
      <c r="X23" s="507">
        <f t="shared" si="8"/>
        <v>0</v>
      </c>
    </row>
    <row r="24" spans="1:24" ht="21" hidden="1" customHeight="1" x14ac:dyDescent="0.35">
      <c r="A24" s="331" t="s">
        <v>283</v>
      </c>
      <c r="B24" s="88"/>
      <c r="C24" s="338"/>
      <c r="D24" s="338"/>
      <c r="E24" s="338"/>
      <c r="F24" s="337"/>
      <c r="G24" s="337"/>
      <c r="H24" s="337"/>
      <c r="I24" s="337"/>
      <c r="J24" s="337"/>
      <c r="K24" s="334">
        <v>0</v>
      </c>
      <c r="L24" s="334">
        <v>0</v>
      </c>
      <c r="M24" s="334"/>
      <c r="N24" s="334"/>
      <c r="O24" s="334"/>
      <c r="P24" s="334">
        <f t="shared" si="2"/>
        <v>0</v>
      </c>
      <c r="Q24" s="1"/>
      <c r="R24" s="507">
        <f t="shared" si="3"/>
        <v>0</v>
      </c>
      <c r="S24" s="507">
        <f t="shared" si="4"/>
        <v>0</v>
      </c>
      <c r="T24" s="507"/>
      <c r="U24" s="790">
        <f t="shared" si="5"/>
        <v>0</v>
      </c>
      <c r="V24" s="507">
        <f t="shared" si="6"/>
        <v>0</v>
      </c>
      <c r="W24" s="507">
        <f t="shared" si="7"/>
        <v>0</v>
      </c>
      <c r="X24" s="507">
        <f t="shared" si="8"/>
        <v>0</v>
      </c>
    </row>
    <row r="25" spans="1:24" ht="21" hidden="1" customHeight="1" x14ac:dyDescent="0.35">
      <c r="A25" s="331" t="s">
        <v>284</v>
      </c>
      <c r="B25" s="88"/>
      <c r="C25" s="338"/>
      <c r="D25" s="338"/>
      <c r="E25" s="338"/>
      <c r="F25" s="337"/>
      <c r="G25" s="337"/>
      <c r="H25" s="337"/>
      <c r="I25" s="337"/>
      <c r="J25" s="337"/>
      <c r="K25" s="334">
        <v>0</v>
      </c>
      <c r="L25" s="334">
        <v>0</v>
      </c>
      <c r="M25" s="334"/>
      <c r="N25" s="334"/>
      <c r="O25" s="334"/>
      <c r="P25" s="334">
        <f t="shared" si="2"/>
        <v>0</v>
      </c>
      <c r="Q25" s="1"/>
      <c r="R25" s="507">
        <f t="shared" si="3"/>
        <v>0</v>
      </c>
      <c r="S25" s="507">
        <f t="shared" si="4"/>
        <v>0</v>
      </c>
      <c r="T25" s="507"/>
      <c r="U25" s="790">
        <f t="shared" si="5"/>
        <v>0</v>
      </c>
      <c r="V25" s="507">
        <f t="shared" si="6"/>
        <v>0</v>
      </c>
      <c r="W25" s="507">
        <f t="shared" si="7"/>
        <v>0</v>
      </c>
      <c r="X25" s="507">
        <f t="shared" si="8"/>
        <v>0</v>
      </c>
    </row>
    <row r="26" spans="1:24" ht="21" hidden="1" customHeight="1" x14ac:dyDescent="0.35">
      <c r="A26" s="331" t="s">
        <v>285</v>
      </c>
      <c r="B26" s="88"/>
      <c r="C26" s="338"/>
      <c r="D26" s="338"/>
      <c r="E26" s="338"/>
      <c r="F26" s="337"/>
      <c r="G26" s="337"/>
      <c r="H26" s="337"/>
      <c r="I26" s="337"/>
      <c r="J26" s="337"/>
      <c r="K26" s="334">
        <v>0</v>
      </c>
      <c r="L26" s="334">
        <v>0</v>
      </c>
      <c r="M26" s="334"/>
      <c r="N26" s="334"/>
      <c r="O26" s="334"/>
      <c r="P26" s="334">
        <f t="shared" si="2"/>
        <v>0</v>
      </c>
      <c r="Q26" s="1"/>
      <c r="R26" s="507">
        <f t="shared" si="3"/>
        <v>0</v>
      </c>
      <c r="S26" s="507">
        <f t="shared" si="4"/>
        <v>0</v>
      </c>
      <c r="T26" s="507"/>
      <c r="U26" s="790">
        <f t="shared" si="5"/>
        <v>0</v>
      </c>
      <c r="V26" s="507">
        <f t="shared" si="6"/>
        <v>0</v>
      </c>
      <c r="W26" s="507">
        <f t="shared" si="7"/>
        <v>0</v>
      </c>
      <c r="X26" s="507">
        <f t="shared" si="8"/>
        <v>0</v>
      </c>
    </row>
    <row r="27" spans="1:24" ht="21" hidden="1" customHeight="1" x14ac:dyDescent="0.35">
      <c r="A27" s="331" t="s">
        <v>286</v>
      </c>
      <c r="B27" s="88"/>
      <c r="C27" s="338"/>
      <c r="D27" s="338"/>
      <c r="E27" s="338"/>
      <c r="F27" s="337"/>
      <c r="G27" s="337"/>
      <c r="H27" s="337"/>
      <c r="I27" s="337"/>
      <c r="J27" s="337"/>
      <c r="K27" s="334">
        <v>0</v>
      </c>
      <c r="L27" s="334">
        <v>0</v>
      </c>
      <c r="M27" s="334"/>
      <c r="N27" s="334"/>
      <c r="O27" s="334"/>
      <c r="P27" s="334">
        <f t="shared" si="2"/>
        <v>0</v>
      </c>
      <c r="Q27" s="1"/>
      <c r="R27" s="507">
        <f t="shared" si="3"/>
        <v>0</v>
      </c>
      <c r="S27" s="507">
        <f t="shared" si="4"/>
        <v>0</v>
      </c>
      <c r="T27" s="507"/>
      <c r="U27" s="790">
        <f t="shared" si="5"/>
        <v>0</v>
      </c>
      <c r="V27" s="507">
        <f t="shared" si="6"/>
        <v>0</v>
      </c>
      <c r="W27" s="507">
        <f t="shared" si="7"/>
        <v>0</v>
      </c>
      <c r="X27" s="507">
        <f t="shared" si="8"/>
        <v>0</v>
      </c>
    </row>
    <row r="28" spans="1:24" ht="21" hidden="1" customHeight="1" x14ac:dyDescent="0.35">
      <c r="A28" s="328" t="s">
        <v>287</v>
      </c>
      <c r="B28" s="74" t="s">
        <v>64</v>
      </c>
      <c r="C28" s="95">
        <f>SUM(C29:C30)</f>
        <v>0</v>
      </c>
      <c r="D28" s="95"/>
      <c r="E28" s="95"/>
      <c r="F28" s="340"/>
      <c r="G28" s="340"/>
      <c r="H28" s="340"/>
      <c r="I28" s="340"/>
      <c r="J28" s="340"/>
      <c r="K28" s="334">
        <v>0</v>
      </c>
      <c r="L28" s="334">
        <v>0</v>
      </c>
      <c r="M28" s="334"/>
      <c r="N28" s="334"/>
      <c r="O28" s="334"/>
      <c r="P28" s="334">
        <f t="shared" si="2"/>
        <v>0</v>
      </c>
      <c r="Q28" s="1"/>
      <c r="R28" s="507">
        <f t="shared" si="3"/>
        <v>0</v>
      </c>
      <c r="S28" s="507">
        <f t="shared" si="4"/>
        <v>0</v>
      </c>
      <c r="T28" s="507"/>
      <c r="U28" s="790">
        <f t="shared" si="5"/>
        <v>0</v>
      </c>
      <c r="V28" s="507">
        <f t="shared" si="6"/>
        <v>0</v>
      </c>
      <c r="W28" s="507">
        <f t="shared" si="7"/>
        <v>0</v>
      </c>
      <c r="X28" s="507">
        <f t="shared" si="8"/>
        <v>0</v>
      </c>
    </row>
    <row r="29" spans="1:24" ht="21" hidden="1" customHeight="1" x14ac:dyDescent="0.35">
      <c r="A29" s="331" t="s">
        <v>288</v>
      </c>
      <c r="B29" s="88"/>
      <c r="C29" s="338"/>
      <c r="D29" s="338"/>
      <c r="E29" s="338"/>
      <c r="F29" s="337"/>
      <c r="G29" s="337"/>
      <c r="H29" s="337"/>
      <c r="I29" s="337"/>
      <c r="J29" s="337"/>
      <c r="K29" s="334">
        <v>0</v>
      </c>
      <c r="L29" s="334">
        <v>0</v>
      </c>
      <c r="M29" s="334"/>
      <c r="N29" s="334"/>
      <c r="O29" s="334"/>
      <c r="P29" s="334">
        <f t="shared" si="2"/>
        <v>0</v>
      </c>
      <c r="Q29" s="1"/>
      <c r="R29" s="507">
        <f t="shared" si="3"/>
        <v>0</v>
      </c>
      <c r="S29" s="507">
        <f t="shared" si="4"/>
        <v>0</v>
      </c>
      <c r="T29" s="507"/>
      <c r="U29" s="790">
        <f t="shared" si="5"/>
        <v>0</v>
      </c>
      <c r="V29" s="507">
        <f t="shared" si="6"/>
        <v>0</v>
      </c>
      <c r="W29" s="507">
        <f t="shared" si="7"/>
        <v>0</v>
      </c>
      <c r="X29" s="507">
        <f t="shared" si="8"/>
        <v>0</v>
      </c>
    </row>
    <row r="30" spans="1:24" ht="21" hidden="1" customHeight="1" x14ac:dyDescent="0.35">
      <c r="A30" s="331" t="s">
        <v>289</v>
      </c>
      <c r="B30" s="88"/>
      <c r="C30" s="338"/>
      <c r="D30" s="338"/>
      <c r="E30" s="338"/>
      <c r="F30" s="337"/>
      <c r="G30" s="337"/>
      <c r="H30" s="337"/>
      <c r="I30" s="337"/>
      <c r="J30" s="337"/>
      <c r="K30" s="334">
        <v>0</v>
      </c>
      <c r="L30" s="334">
        <v>0</v>
      </c>
      <c r="M30" s="334"/>
      <c r="N30" s="334"/>
      <c r="O30" s="334"/>
      <c r="P30" s="334">
        <f t="shared" si="2"/>
        <v>0</v>
      </c>
      <c r="Q30" s="1"/>
      <c r="R30" s="507">
        <f t="shared" si="3"/>
        <v>0</v>
      </c>
      <c r="S30" s="507">
        <f t="shared" si="4"/>
        <v>0</v>
      </c>
      <c r="T30" s="507"/>
      <c r="U30" s="790">
        <f t="shared" si="5"/>
        <v>0</v>
      </c>
      <c r="V30" s="507">
        <f t="shared" si="6"/>
        <v>0</v>
      </c>
      <c r="W30" s="507">
        <f t="shared" si="7"/>
        <v>0</v>
      </c>
      <c r="X30" s="507">
        <f t="shared" si="8"/>
        <v>0</v>
      </c>
    </row>
    <row r="31" spans="1:24" ht="21" hidden="1" customHeight="1" x14ac:dyDescent="0.35">
      <c r="A31" s="332" t="s">
        <v>68</v>
      </c>
      <c r="B31" s="100" t="s">
        <v>69</v>
      </c>
      <c r="C31" s="104">
        <f>SUM(C23,C28)</f>
        <v>0</v>
      </c>
      <c r="D31" s="104"/>
      <c r="E31" s="104"/>
      <c r="F31" s="334">
        <f>SUM(F23,F28)</f>
        <v>0</v>
      </c>
      <c r="G31" s="334"/>
      <c r="H31" s="334"/>
      <c r="I31" s="334"/>
      <c r="J31" s="334"/>
      <c r="K31" s="334">
        <v>0</v>
      </c>
      <c r="L31" s="334">
        <v>0</v>
      </c>
      <c r="M31" s="334"/>
      <c r="N31" s="334"/>
      <c r="O31" s="334"/>
      <c r="P31" s="334">
        <f t="shared" si="2"/>
        <v>0</v>
      </c>
      <c r="Q31" s="1"/>
      <c r="R31" s="507">
        <f t="shared" si="3"/>
        <v>0</v>
      </c>
      <c r="S31" s="507">
        <f t="shared" si="4"/>
        <v>0</v>
      </c>
      <c r="T31" s="507"/>
      <c r="U31" s="790">
        <f t="shared" si="5"/>
        <v>0</v>
      </c>
      <c r="V31" s="507">
        <f t="shared" si="6"/>
        <v>0</v>
      </c>
      <c r="W31" s="507">
        <f t="shared" si="7"/>
        <v>0</v>
      </c>
      <c r="X31" s="507">
        <f t="shared" si="8"/>
        <v>0</v>
      </c>
    </row>
    <row r="32" spans="1:24" ht="21" hidden="1" customHeight="1" x14ac:dyDescent="0.35">
      <c r="A32" s="328" t="s">
        <v>290</v>
      </c>
      <c r="B32" s="74" t="s">
        <v>71</v>
      </c>
      <c r="C32" s="339"/>
      <c r="D32" s="339"/>
      <c r="E32" s="339"/>
      <c r="F32" s="340"/>
      <c r="G32" s="340"/>
      <c r="H32" s="340"/>
      <c r="I32" s="340"/>
      <c r="J32" s="340"/>
      <c r="K32" s="334">
        <v>0</v>
      </c>
      <c r="L32" s="334">
        <v>0</v>
      </c>
      <c r="M32" s="334"/>
      <c r="N32" s="334"/>
      <c r="O32" s="334"/>
      <c r="P32" s="334">
        <f t="shared" si="2"/>
        <v>0</v>
      </c>
      <c r="Q32" s="1"/>
      <c r="R32" s="507">
        <f t="shared" si="3"/>
        <v>0</v>
      </c>
      <c r="S32" s="507">
        <f t="shared" si="4"/>
        <v>0</v>
      </c>
      <c r="T32" s="507"/>
      <c r="U32" s="790">
        <f t="shared" si="5"/>
        <v>0</v>
      </c>
      <c r="V32" s="507">
        <f t="shared" si="6"/>
        <v>0</v>
      </c>
      <c r="W32" s="507">
        <f t="shared" si="7"/>
        <v>0</v>
      </c>
      <c r="X32" s="507">
        <f t="shared" si="8"/>
        <v>0</v>
      </c>
    </row>
    <row r="33" spans="1:24" ht="21" hidden="1" customHeight="1" x14ac:dyDescent="0.35">
      <c r="A33" s="331" t="s">
        <v>291</v>
      </c>
      <c r="B33" s="88"/>
      <c r="C33" s="338"/>
      <c r="D33" s="338"/>
      <c r="E33" s="338"/>
      <c r="F33" s="337"/>
      <c r="G33" s="337"/>
      <c r="H33" s="337"/>
      <c r="I33" s="337"/>
      <c r="J33" s="337"/>
      <c r="K33" s="334">
        <v>0</v>
      </c>
      <c r="L33" s="334">
        <v>0</v>
      </c>
      <c r="M33" s="334"/>
      <c r="N33" s="334"/>
      <c r="O33" s="334"/>
      <c r="P33" s="334">
        <f t="shared" si="2"/>
        <v>0</v>
      </c>
      <c r="Q33" s="1"/>
      <c r="R33" s="507">
        <f t="shared" si="3"/>
        <v>0</v>
      </c>
      <c r="S33" s="507">
        <f t="shared" si="4"/>
        <v>0</v>
      </c>
      <c r="T33" s="507"/>
      <c r="U33" s="790">
        <f t="shared" si="5"/>
        <v>0</v>
      </c>
      <c r="V33" s="507">
        <f t="shared" si="6"/>
        <v>0</v>
      </c>
      <c r="W33" s="507">
        <f t="shared" si="7"/>
        <v>0</v>
      </c>
      <c r="X33" s="507">
        <f t="shared" si="8"/>
        <v>0</v>
      </c>
    </row>
    <row r="34" spans="1:24" ht="21" hidden="1" customHeight="1" x14ac:dyDescent="0.35">
      <c r="A34" s="331" t="s">
        <v>292</v>
      </c>
      <c r="B34" s="88"/>
      <c r="C34" s="338"/>
      <c r="D34" s="338"/>
      <c r="E34" s="338"/>
      <c r="F34" s="337"/>
      <c r="G34" s="337"/>
      <c r="H34" s="337"/>
      <c r="I34" s="337"/>
      <c r="J34" s="337"/>
      <c r="K34" s="334">
        <v>0</v>
      </c>
      <c r="L34" s="334">
        <v>0</v>
      </c>
      <c r="M34" s="334"/>
      <c r="N34" s="334"/>
      <c r="O34" s="334"/>
      <c r="P34" s="334">
        <f t="shared" si="2"/>
        <v>0</v>
      </c>
      <c r="Q34" s="1"/>
      <c r="R34" s="507">
        <f t="shared" si="3"/>
        <v>0</v>
      </c>
      <c r="S34" s="507">
        <f t="shared" si="4"/>
        <v>0</v>
      </c>
      <c r="T34" s="507"/>
      <c r="U34" s="790">
        <f t="shared" si="5"/>
        <v>0</v>
      </c>
      <c r="V34" s="507">
        <f t="shared" si="6"/>
        <v>0</v>
      </c>
      <c r="W34" s="507">
        <f t="shared" si="7"/>
        <v>0</v>
      </c>
      <c r="X34" s="507">
        <f t="shared" si="8"/>
        <v>0</v>
      </c>
    </row>
    <row r="35" spans="1:24" ht="5.25" hidden="1" customHeight="1" x14ac:dyDescent="0.35">
      <c r="A35" s="331" t="s">
        <v>293</v>
      </c>
      <c r="B35" s="88"/>
      <c r="C35" s="338"/>
      <c r="D35" s="338"/>
      <c r="E35" s="338"/>
      <c r="F35" s="337"/>
      <c r="G35" s="337"/>
      <c r="H35" s="337"/>
      <c r="I35" s="337"/>
      <c r="J35" s="337"/>
      <c r="K35" s="334">
        <v>0</v>
      </c>
      <c r="L35" s="334">
        <v>0</v>
      </c>
      <c r="M35" s="334"/>
      <c r="N35" s="334"/>
      <c r="O35" s="334"/>
      <c r="P35" s="334">
        <f t="shared" si="2"/>
        <v>0</v>
      </c>
      <c r="Q35" s="1"/>
      <c r="R35" s="507">
        <f t="shared" si="3"/>
        <v>0</v>
      </c>
      <c r="S35" s="507">
        <f t="shared" si="4"/>
        <v>0</v>
      </c>
      <c r="T35" s="507"/>
      <c r="U35" s="790">
        <f t="shared" si="5"/>
        <v>0</v>
      </c>
      <c r="V35" s="507">
        <f t="shared" si="6"/>
        <v>0</v>
      </c>
      <c r="W35" s="507">
        <f t="shared" si="7"/>
        <v>0</v>
      </c>
      <c r="X35" s="507">
        <f t="shared" si="8"/>
        <v>0</v>
      </c>
    </row>
    <row r="36" spans="1:24" ht="21" customHeight="1" x14ac:dyDescent="0.35">
      <c r="A36" s="333" t="s">
        <v>294</v>
      </c>
      <c r="B36" s="117" t="s">
        <v>76</v>
      </c>
      <c r="C36" s="789">
        <v>18853378</v>
      </c>
      <c r="D36" s="789">
        <v>15242207</v>
      </c>
      <c r="E36" s="789">
        <f>(5*2482302+5*3598230)/1.27</f>
        <v>23939102.362204723</v>
      </c>
      <c r="F36" s="340">
        <v>122126</v>
      </c>
      <c r="G36" s="340">
        <v>116571</v>
      </c>
      <c r="H36" s="591">
        <v>16904104</v>
      </c>
      <c r="I36" s="340">
        <v>137940</v>
      </c>
      <c r="J36" s="340"/>
      <c r="K36" s="334">
        <v>20730150</v>
      </c>
      <c r="L36" s="334">
        <v>20730150</v>
      </c>
      <c r="M36" s="334"/>
      <c r="N36" s="591">
        <v>51705</v>
      </c>
      <c r="O36" s="334"/>
      <c r="P36" s="334">
        <f t="shared" si="2"/>
        <v>18975504</v>
      </c>
      <c r="Q36" s="1">
        <v>1181102</v>
      </c>
      <c r="R36" s="507">
        <f t="shared" si="3"/>
        <v>20156606</v>
      </c>
      <c r="S36" s="507">
        <f t="shared" si="4"/>
        <v>15358778</v>
      </c>
      <c r="T36" s="591">
        <v>119652</v>
      </c>
      <c r="U36" s="790">
        <f t="shared" si="5"/>
        <v>24077042.362204723</v>
      </c>
      <c r="V36" s="507">
        <f t="shared" si="6"/>
        <v>-7001581.3622047231</v>
      </c>
      <c r="W36" s="507">
        <f t="shared" si="7"/>
        <v>17075461</v>
      </c>
      <c r="X36" s="507">
        <f t="shared" si="8"/>
        <v>17075461</v>
      </c>
    </row>
    <row r="37" spans="1:24" ht="21" hidden="1" customHeight="1" x14ac:dyDescent="0.35">
      <c r="A37" s="333" t="s">
        <v>295</v>
      </c>
      <c r="B37" s="117" t="s">
        <v>79</v>
      </c>
      <c r="C37" s="340"/>
      <c r="D37" s="340"/>
      <c r="E37" s="340"/>
      <c r="F37" s="340"/>
      <c r="G37" s="340"/>
      <c r="H37" s="340"/>
      <c r="I37" s="340"/>
      <c r="J37" s="340"/>
      <c r="K37" s="334">
        <v>0</v>
      </c>
      <c r="L37" s="334">
        <v>0</v>
      </c>
      <c r="M37" s="334"/>
      <c r="N37" s="334"/>
      <c r="O37" s="334"/>
      <c r="P37" s="334">
        <f t="shared" si="2"/>
        <v>0</v>
      </c>
      <c r="Q37" s="1"/>
      <c r="R37" s="507">
        <f t="shared" si="3"/>
        <v>0</v>
      </c>
      <c r="S37" s="507">
        <f t="shared" si="4"/>
        <v>0</v>
      </c>
      <c r="T37" s="507"/>
      <c r="U37" s="790">
        <f t="shared" si="5"/>
        <v>0</v>
      </c>
      <c r="V37" s="507">
        <f t="shared" si="6"/>
        <v>0</v>
      </c>
      <c r="W37" s="507">
        <f t="shared" si="7"/>
        <v>0</v>
      </c>
      <c r="X37" s="507">
        <f t="shared" si="8"/>
        <v>0</v>
      </c>
    </row>
    <row r="38" spans="1:24" ht="26" x14ac:dyDescent="0.35">
      <c r="A38" s="333" t="s">
        <v>159</v>
      </c>
      <c r="B38" s="117" t="s">
        <v>80</v>
      </c>
      <c r="C38" s="340">
        <v>100000</v>
      </c>
      <c r="D38" s="340">
        <v>108000</v>
      </c>
      <c r="E38" s="340">
        <v>150000</v>
      </c>
      <c r="F38" s="340"/>
      <c r="G38" s="340"/>
      <c r="H38" s="340"/>
      <c r="I38" s="340"/>
      <c r="J38" s="340"/>
      <c r="K38" s="334">
        <v>0</v>
      </c>
      <c r="L38" s="334">
        <v>0</v>
      </c>
      <c r="M38" s="334"/>
      <c r="N38" s="334"/>
      <c r="O38" s="334"/>
      <c r="P38" s="334">
        <f t="shared" si="2"/>
        <v>100000</v>
      </c>
      <c r="Q38" s="1">
        <v>8000</v>
      </c>
      <c r="R38" s="507">
        <f t="shared" si="3"/>
        <v>108000</v>
      </c>
      <c r="S38" s="507">
        <f t="shared" si="4"/>
        <v>108000</v>
      </c>
      <c r="T38" s="507"/>
      <c r="U38" s="790">
        <f t="shared" si="5"/>
        <v>150000</v>
      </c>
      <c r="V38" s="507">
        <f t="shared" si="6"/>
        <v>-150000</v>
      </c>
      <c r="W38" s="507">
        <f t="shared" si="7"/>
        <v>0</v>
      </c>
      <c r="X38" s="507">
        <f t="shared" si="8"/>
        <v>0</v>
      </c>
    </row>
    <row r="39" spans="1:24" x14ac:dyDescent="0.35">
      <c r="A39" s="333" t="s">
        <v>81</v>
      </c>
      <c r="B39" s="117" t="s">
        <v>82</v>
      </c>
      <c r="C39" s="340"/>
      <c r="D39" s="340"/>
      <c r="E39" s="340"/>
      <c r="F39" s="340"/>
      <c r="G39" s="340"/>
      <c r="H39" s="340"/>
      <c r="I39" s="340"/>
      <c r="J39" s="340"/>
      <c r="K39" s="334">
        <v>0</v>
      </c>
      <c r="L39" s="334">
        <v>0</v>
      </c>
      <c r="M39" s="334"/>
      <c r="N39" s="334"/>
      <c r="O39" s="334"/>
      <c r="P39" s="334">
        <f t="shared" si="2"/>
        <v>0</v>
      </c>
      <c r="Q39" s="1"/>
      <c r="R39" s="507">
        <f t="shared" si="3"/>
        <v>0</v>
      </c>
      <c r="S39" s="507">
        <f t="shared" si="4"/>
        <v>0</v>
      </c>
      <c r="T39" s="507"/>
      <c r="U39" s="790">
        <f t="shared" si="5"/>
        <v>0</v>
      </c>
      <c r="V39" s="507">
        <f t="shared" si="6"/>
        <v>0</v>
      </c>
      <c r="W39" s="507">
        <f t="shared" si="7"/>
        <v>0</v>
      </c>
      <c r="X39" s="507">
        <f t="shared" si="8"/>
        <v>0</v>
      </c>
    </row>
    <row r="40" spans="1:24" ht="26" x14ac:dyDescent="0.35">
      <c r="A40" s="333" t="s">
        <v>296</v>
      </c>
      <c r="B40" s="117" t="s">
        <v>84</v>
      </c>
      <c r="C40" s="334">
        <f t="shared" ref="C40:F40" si="11">SUM(C41:C43)</f>
        <v>0</v>
      </c>
      <c r="D40" s="334"/>
      <c r="E40" s="334"/>
      <c r="F40" s="334">
        <f t="shared" si="11"/>
        <v>0</v>
      </c>
      <c r="G40" s="334"/>
      <c r="H40" s="591">
        <v>21118</v>
      </c>
      <c r="I40" s="334"/>
      <c r="J40" s="334"/>
      <c r="K40" s="334">
        <v>0</v>
      </c>
      <c r="L40" s="334">
        <v>0</v>
      </c>
      <c r="M40" s="334"/>
      <c r="N40" s="334"/>
      <c r="O40" s="334"/>
      <c r="P40" s="334">
        <f t="shared" si="2"/>
        <v>0</v>
      </c>
      <c r="Q40" s="1"/>
      <c r="R40" s="507">
        <f t="shared" si="3"/>
        <v>0</v>
      </c>
      <c r="S40" s="507">
        <f t="shared" si="4"/>
        <v>0</v>
      </c>
      <c r="T40" s="507"/>
      <c r="U40" s="790">
        <f t="shared" si="5"/>
        <v>0</v>
      </c>
      <c r="V40" s="507">
        <f t="shared" si="6"/>
        <v>21118</v>
      </c>
      <c r="W40" s="507">
        <f t="shared" si="7"/>
        <v>21118</v>
      </c>
      <c r="X40" s="507">
        <f t="shared" si="8"/>
        <v>21118</v>
      </c>
    </row>
    <row r="41" spans="1:24" hidden="1" x14ac:dyDescent="0.35">
      <c r="A41" s="329" t="s">
        <v>85</v>
      </c>
      <c r="B41" s="81"/>
      <c r="C41" s="337"/>
      <c r="D41" s="337"/>
      <c r="E41" s="337"/>
      <c r="F41" s="337"/>
      <c r="G41" s="337"/>
      <c r="H41" s="337"/>
      <c r="I41" s="337"/>
      <c r="J41" s="337"/>
      <c r="K41" s="334">
        <v>0</v>
      </c>
      <c r="L41" s="334">
        <v>0</v>
      </c>
      <c r="M41" s="334"/>
      <c r="N41" s="334"/>
      <c r="O41" s="334"/>
      <c r="P41" s="334">
        <f t="shared" si="2"/>
        <v>0</v>
      </c>
      <c r="Q41" s="1"/>
      <c r="R41" s="507">
        <f t="shared" si="3"/>
        <v>0</v>
      </c>
      <c r="S41" s="507">
        <f t="shared" si="4"/>
        <v>0</v>
      </c>
      <c r="T41" s="507"/>
      <c r="U41" s="790">
        <f t="shared" si="5"/>
        <v>0</v>
      </c>
      <c r="V41" s="507">
        <f t="shared" si="6"/>
        <v>0</v>
      </c>
      <c r="W41" s="507">
        <f t="shared" si="7"/>
        <v>0</v>
      </c>
      <c r="X41" s="507">
        <f t="shared" si="8"/>
        <v>0</v>
      </c>
    </row>
    <row r="42" spans="1:24" hidden="1" x14ac:dyDescent="0.35">
      <c r="A42" s="329" t="s">
        <v>86</v>
      </c>
      <c r="B42" s="81"/>
      <c r="C42" s="337"/>
      <c r="D42" s="337"/>
      <c r="E42" s="337"/>
      <c r="F42" s="337"/>
      <c r="G42" s="337"/>
      <c r="H42" s="337"/>
      <c r="I42" s="337"/>
      <c r="J42" s="337"/>
      <c r="K42" s="334">
        <v>0</v>
      </c>
      <c r="L42" s="334">
        <v>0</v>
      </c>
      <c r="M42" s="334"/>
      <c r="N42" s="334"/>
      <c r="O42" s="334"/>
      <c r="P42" s="334">
        <f t="shared" si="2"/>
        <v>0</v>
      </c>
      <c r="Q42" s="1"/>
      <c r="R42" s="507">
        <f t="shared" si="3"/>
        <v>0</v>
      </c>
      <c r="S42" s="507">
        <f t="shared" si="4"/>
        <v>0</v>
      </c>
      <c r="T42" s="507"/>
      <c r="U42" s="790">
        <f t="shared" si="5"/>
        <v>0</v>
      </c>
      <c r="V42" s="507">
        <f t="shared" si="6"/>
        <v>0</v>
      </c>
      <c r="W42" s="507">
        <f t="shared" si="7"/>
        <v>0</v>
      </c>
      <c r="X42" s="507">
        <f t="shared" si="8"/>
        <v>0</v>
      </c>
    </row>
    <row r="43" spans="1:24" hidden="1" x14ac:dyDescent="0.35">
      <c r="A43" s="329" t="s">
        <v>297</v>
      </c>
      <c r="B43" s="81"/>
      <c r="C43" s="337"/>
      <c r="D43" s="337"/>
      <c r="E43" s="337"/>
      <c r="F43" s="337"/>
      <c r="G43" s="337"/>
      <c r="H43" s="337"/>
      <c r="I43" s="337"/>
      <c r="J43" s="337"/>
      <c r="K43" s="334">
        <v>0</v>
      </c>
      <c r="L43" s="334">
        <v>0</v>
      </c>
      <c r="M43" s="334"/>
      <c r="N43" s="334"/>
      <c r="O43" s="334"/>
      <c r="P43" s="334">
        <f t="shared" si="2"/>
        <v>0</v>
      </c>
      <c r="Q43" s="1"/>
      <c r="R43" s="507">
        <f t="shared" si="3"/>
        <v>0</v>
      </c>
      <c r="S43" s="507">
        <f t="shared" si="4"/>
        <v>0</v>
      </c>
      <c r="T43" s="507"/>
      <c r="U43" s="790">
        <f t="shared" si="5"/>
        <v>0</v>
      </c>
      <c r="V43" s="507">
        <f t="shared" si="6"/>
        <v>0</v>
      </c>
      <c r="W43" s="507">
        <f t="shared" si="7"/>
        <v>0</v>
      </c>
      <c r="X43" s="507">
        <f t="shared" si="8"/>
        <v>0</v>
      </c>
    </row>
    <row r="44" spans="1:24" ht="21" customHeight="1" x14ac:dyDescent="0.35">
      <c r="A44" s="333" t="s">
        <v>298</v>
      </c>
      <c r="B44" s="117" t="s">
        <v>88</v>
      </c>
      <c r="C44" s="334">
        <f>SUM(C45:C50)</f>
        <v>0</v>
      </c>
      <c r="D44" s="334">
        <v>3796</v>
      </c>
      <c r="E44" s="334"/>
      <c r="F44" s="340"/>
      <c r="G44" s="340"/>
      <c r="H44" s="591">
        <v>3796</v>
      </c>
      <c r="I44" s="340"/>
      <c r="J44" s="340"/>
      <c r="K44" s="334">
        <v>0</v>
      </c>
      <c r="L44" s="334">
        <v>0</v>
      </c>
      <c r="M44" s="334"/>
      <c r="N44" s="334"/>
      <c r="O44" s="334"/>
      <c r="P44" s="334">
        <f t="shared" si="2"/>
        <v>0</v>
      </c>
      <c r="Q44" s="1"/>
      <c r="R44" s="507">
        <f t="shared" si="3"/>
        <v>0</v>
      </c>
      <c r="S44" s="507">
        <f t="shared" si="4"/>
        <v>3796</v>
      </c>
      <c r="T44" s="507"/>
      <c r="U44" s="790">
        <f t="shared" si="5"/>
        <v>0</v>
      </c>
      <c r="V44" s="507">
        <f t="shared" si="6"/>
        <v>3796</v>
      </c>
      <c r="W44" s="507">
        <f t="shared" si="7"/>
        <v>3796</v>
      </c>
      <c r="X44" s="507">
        <f t="shared" si="8"/>
        <v>3796</v>
      </c>
    </row>
    <row r="45" spans="1:24" ht="21" hidden="1" customHeight="1" x14ac:dyDescent="0.35">
      <c r="A45" s="329" t="s">
        <v>299</v>
      </c>
      <c r="B45" s="132"/>
      <c r="C45" s="337"/>
      <c r="D45" s="337"/>
      <c r="E45" s="337"/>
      <c r="F45" s="337"/>
      <c r="G45" s="337"/>
      <c r="H45" s="337"/>
      <c r="I45" s="337"/>
      <c r="J45" s="337"/>
      <c r="K45" s="334">
        <v>0</v>
      </c>
      <c r="L45" s="334">
        <v>0</v>
      </c>
      <c r="M45" s="334"/>
      <c r="N45" s="334"/>
      <c r="O45" s="334"/>
      <c r="P45" s="334">
        <f t="shared" si="2"/>
        <v>0</v>
      </c>
      <c r="Q45" s="1"/>
      <c r="R45" s="507">
        <f t="shared" si="3"/>
        <v>0</v>
      </c>
      <c r="S45" s="507">
        <f t="shared" si="4"/>
        <v>0</v>
      </c>
      <c r="T45" s="507"/>
      <c r="U45" s="790">
        <f t="shared" si="5"/>
        <v>0</v>
      </c>
      <c r="V45" s="507">
        <f t="shared" si="6"/>
        <v>0</v>
      </c>
      <c r="W45" s="507">
        <f t="shared" si="7"/>
        <v>0</v>
      </c>
      <c r="X45" s="507">
        <f t="shared" si="8"/>
        <v>0</v>
      </c>
    </row>
    <row r="46" spans="1:24" ht="21" hidden="1" customHeight="1" x14ac:dyDescent="0.35">
      <c r="A46" s="329" t="s">
        <v>300</v>
      </c>
      <c r="B46" s="132"/>
      <c r="C46" s="337"/>
      <c r="D46" s="337"/>
      <c r="E46" s="337"/>
      <c r="F46" s="337"/>
      <c r="G46" s="337"/>
      <c r="H46" s="337"/>
      <c r="I46" s="337"/>
      <c r="J46" s="337"/>
      <c r="K46" s="334">
        <v>0</v>
      </c>
      <c r="L46" s="334">
        <v>0</v>
      </c>
      <c r="M46" s="334"/>
      <c r="N46" s="334"/>
      <c r="O46" s="334"/>
      <c r="P46" s="334">
        <f t="shared" si="2"/>
        <v>0</v>
      </c>
      <c r="Q46" s="1"/>
      <c r="R46" s="507">
        <f t="shared" si="3"/>
        <v>0</v>
      </c>
      <c r="S46" s="507">
        <f t="shared" si="4"/>
        <v>0</v>
      </c>
      <c r="T46" s="507"/>
      <c r="U46" s="790">
        <f t="shared" si="5"/>
        <v>0</v>
      </c>
      <c r="V46" s="507">
        <f t="shared" si="6"/>
        <v>0</v>
      </c>
      <c r="W46" s="507">
        <f t="shared" si="7"/>
        <v>0</v>
      </c>
      <c r="X46" s="507">
        <f t="shared" si="8"/>
        <v>0</v>
      </c>
    </row>
    <row r="47" spans="1:24" ht="21" hidden="1" customHeight="1" x14ac:dyDescent="0.35">
      <c r="A47" s="329" t="s">
        <v>301</v>
      </c>
      <c r="B47" s="132"/>
      <c r="C47" s="337"/>
      <c r="D47" s="337"/>
      <c r="E47" s="337"/>
      <c r="F47" s="337"/>
      <c r="G47" s="337"/>
      <c r="H47" s="337"/>
      <c r="I47" s="337"/>
      <c r="J47" s="337"/>
      <c r="K47" s="334">
        <v>0</v>
      </c>
      <c r="L47" s="334">
        <v>0</v>
      </c>
      <c r="M47" s="334"/>
      <c r="N47" s="334"/>
      <c r="O47" s="334"/>
      <c r="P47" s="334">
        <f t="shared" si="2"/>
        <v>0</v>
      </c>
      <c r="Q47" s="1"/>
      <c r="R47" s="507">
        <f t="shared" si="3"/>
        <v>0</v>
      </c>
      <c r="S47" s="507">
        <f t="shared" si="4"/>
        <v>0</v>
      </c>
      <c r="T47" s="507"/>
      <c r="U47" s="790">
        <f t="shared" si="5"/>
        <v>0</v>
      </c>
      <c r="V47" s="507">
        <f t="shared" si="6"/>
        <v>0</v>
      </c>
      <c r="W47" s="507">
        <f t="shared" si="7"/>
        <v>0</v>
      </c>
      <c r="X47" s="507">
        <f t="shared" si="8"/>
        <v>0</v>
      </c>
    </row>
    <row r="48" spans="1:24" ht="21" hidden="1" customHeight="1" x14ac:dyDescent="0.35">
      <c r="A48" s="329" t="s">
        <v>302</v>
      </c>
      <c r="B48" s="132"/>
      <c r="C48" s="337"/>
      <c r="D48" s="337"/>
      <c r="E48" s="337"/>
      <c r="F48" s="337"/>
      <c r="G48" s="337"/>
      <c r="H48" s="337"/>
      <c r="I48" s="337"/>
      <c r="J48" s="337"/>
      <c r="K48" s="334">
        <v>0</v>
      </c>
      <c r="L48" s="334">
        <v>0</v>
      </c>
      <c r="M48" s="334"/>
      <c r="N48" s="334"/>
      <c r="O48" s="334"/>
      <c r="P48" s="334">
        <f t="shared" si="2"/>
        <v>0</v>
      </c>
      <c r="Q48" s="1"/>
      <c r="R48" s="507">
        <f t="shared" si="3"/>
        <v>0</v>
      </c>
      <c r="S48" s="507">
        <f t="shared" si="4"/>
        <v>0</v>
      </c>
      <c r="T48" s="507"/>
      <c r="U48" s="790">
        <f t="shared" si="5"/>
        <v>0</v>
      </c>
      <c r="V48" s="507">
        <f t="shared" si="6"/>
        <v>0</v>
      </c>
      <c r="W48" s="507">
        <f t="shared" si="7"/>
        <v>0</v>
      </c>
      <c r="X48" s="507">
        <f t="shared" si="8"/>
        <v>0</v>
      </c>
    </row>
    <row r="49" spans="1:24" ht="21" hidden="1" customHeight="1" x14ac:dyDescent="0.35">
      <c r="A49" s="329" t="s">
        <v>303</v>
      </c>
      <c r="B49" s="132"/>
      <c r="C49" s="337"/>
      <c r="D49" s="337"/>
      <c r="E49" s="337"/>
      <c r="F49" s="337"/>
      <c r="G49" s="337"/>
      <c r="H49" s="337"/>
      <c r="I49" s="337"/>
      <c r="J49" s="337"/>
      <c r="K49" s="334">
        <v>0</v>
      </c>
      <c r="L49" s="334">
        <v>0</v>
      </c>
      <c r="M49" s="334"/>
      <c r="N49" s="334"/>
      <c r="O49" s="334"/>
      <c r="P49" s="334">
        <f t="shared" si="2"/>
        <v>0</v>
      </c>
      <c r="Q49" s="1"/>
      <c r="R49" s="507">
        <f t="shared" si="3"/>
        <v>0</v>
      </c>
      <c r="S49" s="507">
        <f t="shared" si="4"/>
        <v>0</v>
      </c>
      <c r="T49" s="507"/>
      <c r="U49" s="790">
        <f t="shared" si="5"/>
        <v>0</v>
      </c>
      <c r="V49" s="507">
        <f t="shared" si="6"/>
        <v>0</v>
      </c>
      <c r="W49" s="507">
        <f t="shared" si="7"/>
        <v>0</v>
      </c>
      <c r="X49" s="507">
        <f t="shared" si="8"/>
        <v>0</v>
      </c>
    </row>
    <row r="50" spans="1:24" ht="21" hidden="1" customHeight="1" x14ac:dyDescent="0.35">
      <c r="A50" s="329" t="s">
        <v>304</v>
      </c>
      <c r="B50" s="132"/>
      <c r="C50" s="337"/>
      <c r="D50" s="337"/>
      <c r="E50" s="337"/>
      <c r="F50" s="337"/>
      <c r="G50" s="337"/>
      <c r="H50" s="337"/>
      <c r="I50" s="337"/>
      <c r="J50" s="337"/>
      <c r="K50" s="334">
        <v>0</v>
      </c>
      <c r="L50" s="334">
        <v>0</v>
      </c>
      <c r="M50" s="334"/>
      <c r="N50" s="334"/>
      <c r="O50" s="334"/>
      <c r="P50" s="334">
        <f t="shared" si="2"/>
        <v>0</v>
      </c>
      <c r="Q50" s="1"/>
      <c r="R50" s="507">
        <f t="shared" si="3"/>
        <v>0</v>
      </c>
      <c r="S50" s="507">
        <f t="shared" si="4"/>
        <v>0</v>
      </c>
      <c r="T50" s="507"/>
      <c r="U50" s="790">
        <f t="shared" si="5"/>
        <v>0</v>
      </c>
      <c r="V50" s="507">
        <f t="shared" si="6"/>
        <v>0</v>
      </c>
      <c r="W50" s="507">
        <f t="shared" si="7"/>
        <v>0</v>
      </c>
      <c r="X50" s="507">
        <f t="shared" si="8"/>
        <v>0</v>
      </c>
    </row>
    <row r="51" spans="1:24" ht="21" hidden="1" customHeight="1" x14ac:dyDescent="0.35">
      <c r="A51" s="335" t="s">
        <v>484</v>
      </c>
      <c r="B51" s="132"/>
      <c r="C51" s="337"/>
      <c r="D51" s="337"/>
      <c r="E51" s="337"/>
      <c r="F51" s="337"/>
      <c r="G51" s="337"/>
      <c r="H51" s="337"/>
      <c r="I51" s="337"/>
      <c r="J51" s="337"/>
      <c r="K51" s="334">
        <v>0</v>
      </c>
      <c r="L51" s="334">
        <v>0</v>
      </c>
      <c r="M51" s="334"/>
      <c r="N51" s="334"/>
      <c r="O51" s="334"/>
      <c r="P51" s="334">
        <f t="shared" si="2"/>
        <v>0</v>
      </c>
      <c r="Q51" s="1"/>
      <c r="R51" s="507">
        <f t="shared" si="3"/>
        <v>0</v>
      </c>
      <c r="S51" s="507">
        <f t="shared" si="4"/>
        <v>0</v>
      </c>
      <c r="T51" s="507"/>
      <c r="U51" s="790">
        <f t="shared" si="5"/>
        <v>0</v>
      </c>
      <c r="V51" s="507">
        <f t="shared" si="6"/>
        <v>0</v>
      </c>
      <c r="W51" s="507">
        <f t="shared" si="7"/>
        <v>0</v>
      </c>
      <c r="X51" s="507">
        <f t="shared" si="8"/>
        <v>0</v>
      </c>
    </row>
    <row r="52" spans="1:24" ht="21" hidden="1" customHeight="1" x14ac:dyDescent="0.35">
      <c r="A52" s="335" t="s">
        <v>674</v>
      </c>
      <c r="B52" s="132"/>
      <c r="C52" s="337"/>
      <c r="D52" s="337"/>
      <c r="E52" s="337"/>
      <c r="F52" s="337"/>
      <c r="G52" s="337"/>
      <c r="H52" s="337"/>
      <c r="I52" s="337"/>
      <c r="J52" s="337"/>
      <c r="K52" s="334">
        <v>0</v>
      </c>
      <c r="L52" s="334">
        <v>0</v>
      </c>
      <c r="M52" s="334"/>
      <c r="N52" s="334"/>
      <c r="O52" s="334"/>
      <c r="P52" s="334">
        <f t="shared" si="2"/>
        <v>0</v>
      </c>
      <c r="Q52" s="1"/>
      <c r="R52" s="507">
        <f t="shared" si="3"/>
        <v>0</v>
      </c>
      <c r="S52" s="507">
        <f t="shared" si="4"/>
        <v>0</v>
      </c>
      <c r="T52" s="507"/>
      <c r="U52" s="790">
        <f t="shared" si="5"/>
        <v>0</v>
      </c>
      <c r="V52" s="507">
        <f t="shared" si="6"/>
        <v>0</v>
      </c>
      <c r="W52" s="507">
        <f t="shared" si="7"/>
        <v>0</v>
      </c>
      <c r="X52" s="507">
        <f t="shared" si="8"/>
        <v>0</v>
      </c>
    </row>
    <row r="53" spans="1:24" ht="21" hidden="1" customHeight="1" x14ac:dyDescent="0.35">
      <c r="A53" s="335" t="s">
        <v>486</v>
      </c>
      <c r="B53" s="132"/>
      <c r="C53" s="337"/>
      <c r="D53" s="337"/>
      <c r="E53" s="337"/>
      <c r="F53" s="337"/>
      <c r="G53" s="337"/>
      <c r="H53" s="337"/>
      <c r="I53" s="337"/>
      <c r="J53" s="337"/>
      <c r="K53" s="334">
        <v>0</v>
      </c>
      <c r="L53" s="334">
        <v>0</v>
      </c>
      <c r="M53" s="334"/>
      <c r="N53" s="334"/>
      <c r="O53" s="334"/>
      <c r="P53" s="334">
        <f t="shared" si="2"/>
        <v>0</v>
      </c>
      <c r="Q53" s="1"/>
      <c r="R53" s="507">
        <f t="shared" si="3"/>
        <v>0</v>
      </c>
      <c r="S53" s="507">
        <f t="shared" si="4"/>
        <v>0</v>
      </c>
      <c r="T53" s="507"/>
      <c r="U53" s="790">
        <f t="shared" si="5"/>
        <v>0</v>
      </c>
      <c r="V53" s="507">
        <f t="shared" si="6"/>
        <v>0</v>
      </c>
      <c r="W53" s="507">
        <f t="shared" si="7"/>
        <v>0</v>
      </c>
      <c r="X53" s="507">
        <f t="shared" si="8"/>
        <v>0</v>
      </c>
    </row>
    <row r="54" spans="1:24" ht="21" hidden="1" customHeight="1" x14ac:dyDescent="0.35">
      <c r="A54" s="335" t="s">
        <v>487</v>
      </c>
      <c r="B54" s="132"/>
      <c r="C54" s="337"/>
      <c r="D54" s="337"/>
      <c r="E54" s="337"/>
      <c r="F54" s="337"/>
      <c r="G54" s="337"/>
      <c r="H54" s="337"/>
      <c r="I54" s="337"/>
      <c r="J54" s="337"/>
      <c r="K54" s="334">
        <v>0</v>
      </c>
      <c r="L54" s="334">
        <v>0</v>
      </c>
      <c r="M54" s="334"/>
      <c r="N54" s="334"/>
      <c r="O54" s="334"/>
      <c r="P54" s="334">
        <f t="shared" si="2"/>
        <v>0</v>
      </c>
      <c r="Q54" s="1"/>
      <c r="R54" s="507">
        <f t="shared" si="3"/>
        <v>0</v>
      </c>
      <c r="S54" s="507">
        <f t="shared" si="4"/>
        <v>0</v>
      </c>
      <c r="T54" s="507"/>
      <c r="U54" s="790">
        <f t="shared" si="5"/>
        <v>0</v>
      </c>
      <c r="V54" s="507">
        <f t="shared" si="6"/>
        <v>0</v>
      </c>
      <c r="W54" s="507">
        <f t="shared" si="7"/>
        <v>0</v>
      </c>
      <c r="X54" s="507">
        <f t="shared" si="8"/>
        <v>0</v>
      </c>
    </row>
    <row r="55" spans="1:24" s="530" customFormat="1" ht="21" customHeight="1" x14ac:dyDescent="0.35">
      <c r="A55" s="333" t="s">
        <v>94</v>
      </c>
      <c r="B55" s="117" t="s">
        <v>95</v>
      </c>
      <c r="C55" s="334">
        <f>SUM(C32,C36:C40,C44)</f>
        <v>18953378</v>
      </c>
      <c r="D55" s="334">
        <f t="shared" ref="D55" si="12">SUM(D32,D36:D40,D44)</f>
        <v>15354003</v>
      </c>
      <c r="E55" s="334">
        <f>SUM(E44,E40,E39,E38,E36)</f>
        <v>24089102.362204723</v>
      </c>
      <c r="F55" s="334">
        <f t="shared" ref="F55:T55" si="13">SUM(F44,F40,F39,F38,F36)</f>
        <v>122126</v>
      </c>
      <c r="G55" s="334">
        <f t="shared" si="13"/>
        <v>116571</v>
      </c>
      <c r="H55" s="334">
        <f t="shared" si="13"/>
        <v>16929018</v>
      </c>
      <c r="I55" s="334">
        <f t="shared" si="13"/>
        <v>137940</v>
      </c>
      <c r="J55" s="334">
        <f t="shared" si="13"/>
        <v>0</v>
      </c>
      <c r="K55" s="334">
        <f t="shared" si="13"/>
        <v>20730150</v>
      </c>
      <c r="L55" s="334">
        <f t="shared" si="13"/>
        <v>20730150</v>
      </c>
      <c r="M55" s="334">
        <f t="shared" si="13"/>
        <v>0</v>
      </c>
      <c r="N55" s="334">
        <f t="shared" si="13"/>
        <v>51705</v>
      </c>
      <c r="O55" s="334">
        <f t="shared" si="13"/>
        <v>0</v>
      </c>
      <c r="P55" s="334">
        <f t="shared" si="13"/>
        <v>19075504</v>
      </c>
      <c r="Q55" s="334">
        <f t="shared" si="13"/>
        <v>1189102</v>
      </c>
      <c r="R55" s="334">
        <f t="shared" si="13"/>
        <v>20264606</v>
      </c>
      <c r="S55" s="334">
        <f t="shared" si="13"/>
        <v>15470574</v>
      </c>
      <c r="T55" s="334">
        <f t="shared" si="13"/>
        <v>119652</v>
      </c>
      <c r="U55" s="790">
        <f t="shared" si="5"/>
        <v>24227042.362204723</v>
      </c>
      <c r="V55" s="507">
        <f t="shared" si="6"/>
        <v>-7126667.3622047231</v>
      </c>
      <c r="W55" s="507">
        <f t="shared" si="7"/>
        <v>17100375</v>
      </c>
      <c r="X55" s="507">
        <f t="shared" si="8"/>
        <v>17100375</v>
      </c>
    </row>
    <row r="56" spans="1:24" hidden="1" x14ac:dyDescent="0.35">
      <c r="A56" s="126" t="s">
        <v>305</v>
      </c>
      <c r="B56" s="81" t="s">
        <v>97</v>
      </c>
      <c r="C56" s="337"/>
      <c r="D56" s="337"/>
      <c r="E56" s="337"/>
      <c r="F56" s="337"/>
      <c r="G56" s="337"/>
      <c r="H56" s="337"/>
      <c r="I56" s="337"/>
      <c r="J56" s="337"/>
      <c r="K56" s="334">
        <v>0</v>
      </c>
      <c r="L56" s="334">
        <v>0</v>
      </c>
      <c r="M56" s="334"/>
      <c r="N56" s="334"/>
      <c r="O56" s="334"/>
      <c r="P56" s="334">
        <f t="shared" ref="P56:S58" si="14">SUM(P33:P55)</f>
        <v>38151008</v>
      </c>
      <c r="Q56" s="1"/>
      <c r="R56" s="507">
        <f t="shared" si="3"/>
        <v>38151008</v>
      </c>
      <c r="S56" s="334">
        <f t="shared" si="14"/>
        <v>30941148</v>
      </c>
      <c r="T56" s="334"/>
      <c r="U56" s="790">
        <f t="shared" si="5"/>
        <v>0</v>
      </c>
      <c r="V56" s="507">
        <f t="shared" si="6"/>
        <v>0</v>
      </c>
      <c r="W56" s="507">
        <f t="shared" si="7"/>
        <v>0</v>
      </c>
      <c r="X56" s="507">
        <f t="shared" si="8"/>
        <v>0</v>
      </c>
    </row>
    <row r="57" spans="1:24" hidden="1" x14ac:dyDescent="0.35">
      <c r="A57" s="126" t="s">
        <v>306</v>
      </c>
      <c r="B57" s="81" t="s">
        <v>99</v>
      </c>
      <c r="C57" s="337"/>
      <c r="D57" s="337"/>
      <c r="E57" s="337"/>
      <c r="F57" s="337"/>
      <c r="G57" s="337"/>
      <c r="H57" s="337"/>
      <c r="I57" s="337"/>
      <c r="J57" s="337"/>
      <c r="K57" s="334">
        <v>0</v>
      </c>
      <c r="L57" s="334">
        <v>0</v>
      </c>
      <c r="M57" s="334"/>
      <c r="N57" s="334"/>
      <c r="O57" s="334"/>
      <c r="P57" s="334">
        <f t="shared" si="14"/>
        <v>76302016</v>
      </c>
      <c r="Q57" s="1"/>
      <c r="R57" s="507">
        <f t="shared" si="3"/>
        <v>76302016</v>
      </c>
      <c r="S57" s="334">
        <f t="shared" si="14"/>
        <v>61882296</v>
      </c>
      <c r="T57" s="334"/>
      <c r="U57" s="790">
        <f t="shared" si="5"/>
        <v>0</v>
      </c>
      <c r="V57" s="507">
        <f t="shared" si="6"/>
        <v>0</v>
      </c>
      <c r="W57" s="507">
        <f t="shared" si="7"/>
        <v>0</v>
      </c>
      <c r="X57" s="507">
        <f t="shared" si="8"/>
        <v>0</v>
      </c>
    </row>
    <row r="58" spans="1:24" ht="26" hidden="1" x14ac:dyDescent="0.35">
      <c r="A58" s="333" t="s">
        <v>100</v>
      </c>
      <c r="B58" s="117" t="s">
        <v>101</v>
      </c>
      <c r="C58" s="334">
        <f>SUM(C56:C57)</f>
        <v>0</v>
      </c>
      <c r="D58" s="334"/>
      <c r="E58" s="334"/>
      <c r="F58" s="334">
        <f>SUM(F56:F57)</f>
        <v>0</v>
      </c>
      <c r="G58" s="334"/>
      <c r="H58" s="334"/>
      <c r="I58" s="334"/>
      <c r="J58" s="334"/>
      <c r="K58" s="334">
        <v>0</v>
      </c>
      <c r="L58" s="334">
        <v>0</v>
      </c>
      <c r="M58" s="334"/>
      <c r="N58" s="334"/>
      <c r="O58" s="334"/>
      <c r="P58" s="334">
        <f t="shared" si="14"/>
        <v>152604032</v>
      </c>
      <c r="Q58" s="1"/>
      <c r="R58" s="507">
        <f t="shared" si="3"/>
        <v>152604032</v>
      </c>
      <c r="S58" s="334">
        <f t="shared" si="14"/>
        <v>123764592</v>
      </c>
      <c r="T58" s="334"/>
      <c r="U58" s="790">
        <f t="shared" si="5"/>
        <v>0</v>
      </c>
      <c r="V58" s="507">
        <f t="shared" si="6"/>
        <v>0</v>
      </c>
      <c r="W58" s="507">
        <f t="shared" si="7"/>
        <v>0</v>
      </c>
      <c r="X58" s="507">
        <f t="shared" si="8"/>
        <v>0</v>
      </c>
    </row>
    <row r="59" spans="1:24" ht="39" x14ac:dyDescent="0.35">
      <c r="A59" s="333" t="s">
        <v>307</v>
      </c>
      <c r="B59" s="117" t="s">
        <v>103</v>
      </c>
      <c r="C59" s="334">
        <f>SUM(C60:C61)</f>
        <v>5090412</v>
      </c>
      <c r="D59" s="334">
        <v>4145997</v>
      </c>
      <c r="E59" s="334">
        <f>SUM(E60:E61)</f>
        <v>6504057.637795276</v>
      </c>
      <c r="F59" s="334">
        <v>32974</v>
      </c>
      <c r="G59" s="334">
        <v>31474</v>
      </c>
      <c r="H59" s="591">
        <v>4591227</v>
      </c>
      <c r="I59" s="334">
        <f>I55*0.27</f>
        <v>37243.800000000003</v>
      </c>
      <c r="J59" s="334">
        <f t="shared" ref="J59" si="15">SUM(J60:J61)</f>
        <v>357706</v>
      </c>
      <c r="K59" s="334">
        <v>4625145</v>
      </c>
      <c r="L59" s="334">
        <v>4625145</v>
      </c>
      <c r="M59" s="334">
        <v>314767</v>
      </c>
      <c r="N59" s="591">
        <v>13960</v>
      </c>
      <c r="O59" s="334">
        <f>SUM(O60:O61)</f>
        <v>405000</v>
      </c>
      <c r="P59" s="334">
        <f>SUM(C59,F59,J59)</f>
        <v>5481092</v>
      </c>
      <c r="Q59" s="334">
        <f>SUM(Q60:Q61)</f>
        <v>318898</v>
      </c>
      <c r="R59" s="507">
        <f t="shared" si="3"/>
        <v>5799990</v>
      </c>
      <c r="S59" s="507">
        <f t="shared" si="4"/>
        <v>4492238</v>
      </c>
      <c r="T59" s="591">
        <v>32308</v>
      </c>
      <c r="U59" s="790">
        <f t="shared" si="5"/>
        <v>6946301.4377952758</v>
      </c>
      <c r="V59" s="507">
        <f t="shared" si="6"/>
        <v>-2308806.4377952758</v>
      </c>
      <c r="W59" s="507">
        <f t="shared" si="7"/>
        <v>4637495</v>
      </c>
      <c r="X59" s="507">
        <f t="shared" si="8"/>
        <v>4637495</v>
      </c>
    </row>
    <row r="60" spans="1:24" x14ac:dyDescent="0.35">
      <c r="A60" s="329" t="s">
        <v>308</v>
      </c>
      <c r="B60" s="81"/>
      <c r="C60" s="337">
        <v>1291242</v>
      </c>
      <c r="D60" s="337"/>
      <c r="E60" s="337"/>
      <c r="F60" s="337"/>
      <c r="G60" s="337"/>
      <c r="H60" s="337"/>
      <c r="I60" s="337"/>
      <c r="J60" s="337"/>
      <c r="K60" s="334">
        <v>4590000</v>
      </c>
      <c r="L60" s="334">
        <v>4590000</v>
      </c>
      <c r="M60" s="334"/>
      <c r="N60" s="334"/>
      <c r="O60" s="334"/>
      <c r="P60" s="334">
        <f t="shared" si="2"/>
        <v>1291242</v>
      </c>
      <c r="Q60" s="1">
        <v>318898</v>
      </c>
      <c r="R60" s="507">
        <f t="shared" si="3"/>
        <v>1610140</v>
      </c>
      <c r="S60" s="507">
        <f t="shared" si="4"/>
        <v>0</v>
      </c>
      <c r="T60" s="507"/>
      <c r="U60" s="790">
        <f t="shared" si="5"/>
        <v>0</v>
      </c>
      <c r="V60" s="507">
        <f t="shared" si="6"/>
        <v>0</v>
      </c>
      <c r="W60" s="507">
        <f t="shared" si="7"/>
        <v>0</v>
      </c>
      <c r="X60" s="507">
        <f t="shared" si="8"/>
        <v>0</v>
      </c>
    </row>
    <row r="61" spans="1:24" x14ac:dyDescent="0.35">
      <c r="A61" s="329" t="s">
        <v>309</v>
      </c>
      <c r="B61" s="81"/>
      <c r="C61" s="337">
        <v>3799170</v>
      </c>
      <c r="D61" s="337"/>
      <c r="E61" s="337">
        <f>E55*0.27</f>
        <v>6504057.637795276</v>
      </c>
      <c r="F61" s="337">
        <v>35145</v>
      </c>
      <c r="G61" s="337"/>
      <c r="H61" s="337"/>
      <c r="I61" s="337">
        <f>SUM(I59)</f>
        <v>37243.800000000003</v>
      </c>
      <c r="J61" s="337">
        <v>357706</v>
      </c>
      <c r="K61" s="334">
        <v>35145</v>
      </c>
      <c r="L61" s="334">
        <v>35145</v>
      </c>
      <c r="M61" s="334"/>
      <c r="N61" s="334"/>
      <c r="O61" s="334">
        <f>SUM(O14*0.27)</f>
        <v>405000</v>
      </c>
      <c r="P61" s="334">
        <f t="shared" si="2"/>
        <v>4192021</v>
      </c>
      <c r="Q61" s="1"/>
      <c r="R61" s="507">
        <f t="shared" si="3"/>
        <v>4192021</v>
      </c>
      <c r="S61" s="507">
        <f t="shared" si="4"/>
        <v>0</v>
      </c>
      <c r="T61" s="507"/>
      <c r="U61" s="790">
        <f t="shared" si="5"/>
        <v>6946301.4377952758</v>
      </c>
      <c r="V61" s="507">
        <f t="shared" si="6"/>
        <v>-6946301.4377952758</v>
      </c>
      <c r="W61" s="507">
        <f t="shared" si="7"/>
        <v>0</v>
      </c>
      <c r="X61" s="507">
        <f t="shared" si="8"/>
        <v>0</v>
      </c>
    </row>
    <row r="62" spans="1:24" hidden="1" x14ac:dyDescent="0.35">
      <c r="A62" s="333" t="s">
        <v>310</v>
      </c>
      <c r="B62" s="117" t="s">
        <v>105</v>
      </c>
      <c r="C62" s="340"/>
      <c r="D62" s="340"/>
      <c r="E62" s="340"/>
      <c r="F62" s="340"/>
      <c r="G62" s="340"/>
      <c r="H62" s="340"/>
      <c r="I62" s="340"/>
      <c r="J62" s="340"/>
      <c r="K62" s="334">
        <v>0</v>
      </c>
      <c r="L62" s="334">
        <v>2499748</v>
      </c>
      <c r="M62" s="334"/>
      <c r="N62" s="334"/>
      <c r="O62" s="334"/>
      <c r="P62" s="334">
        <f t="shared" ref="P62:P67" si="16">SUM(C62,F62,)</f>
        <v>0</v>
      </c>
      <c r="Q62" s="1"/>
      <c r="R62" s="507">
        <f t="shared" si="3"/>
        <v>0</v>
      </c>
      <c r="S62" s="507">
        <f t="shared" si="4"/>
        <v>0</v>
      </c>
      <c r="T62" s="507"/>
      <c r="U62" s="790">
        <f t="shared" si="5"/>
        <v>0</v>
      </c>
      <c r="V62" s="507">
        <f t="shared" si="6"/>
        <v>0</v>
      </c>
      <c r="W62" s="507">
        <f t="shared" si="7"/>
        <v>0</v>
      </c>
      <c r="X62" s="507">
        <f t="shared" si="8"/>
        <v>0</v>
      </c>
    </row>
    <row r="63" spans="1:24" hidden="1" x14ac:dyDescent="0.35">
      <c r="A63" s="333" t="s">
        <v>106</v>
      </c>
      <c r="B63" s="117" t="s">
        <v>107</v>
      </c>
      <c r="C63" s="340">
        <v>0</v>
      </c>
      <c r="D63" s="340"/>
      <c r="E63" s="340"/>
      <c r="F63" s="340"/>
      <c r="G63" s="340"/>
      <c r="H63" s="340"/>
      <c r="I63" s="340"/>
      <c r="J63" s="340"/>
      <c r="K63" s="334">
        <v>0</v>
      </c>
      <c r="L63" s="334">
        <v>0</v>
      </c>
      <c r="M63" s="334"/>
      <c r="N63" s="334"/>
      <c r="O63" s="334"/>
      <c r="P63" s="334">
        <f t="shared" si="16"/>
        <v>0</v>
      </c>
      <c r="Q63" s="1"/>
      <c r="R63" s="507">
        <f t="shared" si="3"/>
        <v>0</v>
      </c>
      <c r="S63" s="507">
        <f t="shared" si="4"/>
        <v>0</v>
      </c>
      <c r="T63" s="507"/>
      <c r="U63" s="790">
        <f t="shared" si="5"/>
        <v>0</v>
      </c>
      <c r="V63" s="507">
        <f t="shared" si="6"/>
        <v>0</v>
      </c>
      <c r="W63" s="507">
        <f t="shared" si="7"/>
        <v>0</v>
      </c>
      <c r="X63" s="1"/>
    </row>
    <row r="64" spans="1:24" ht="26.25" customHeight="1" x14ac:dyDescent="0.35">
      <c r="A64" s="333" t="s">
        <v>311</v>
      </c>
      <c r="B64" s="117" t="s">
        <v>111</v>
      </c>
      <c r="C64" s="334">
        <f>SUM(C65:C67)</f>
        <v>0</v>
      </c>
      <c r="D64" s="334"/>
      <c r="E64" s="334"/>
      <c r="F64" s="334">
        <f>SUM(F65:F67)</f>
        <v>0</v>
      </c>
      <c r="G64" s="334"/>
      <c r="H64" s="591">
        <v>75555</v>
      </c>
      <c r="I64" s="334"/>
      <c r="J64" s="334"/>
      <c r="K64" s="334">
        <v>0</v>
      </c>
      <c r="L64" s="334">
        <v>0</v>
      </c>
      <c r="M64" s="334"/>
      <c r="N64" s="334"/>
      <c r="O64" s="334"/>
      <c r="P64" s="334">
        <f t="shared" si="16"/>
        <v>0</v>
      </c>
      <c r="Q64" s="1"/>
      <c r="R64" s="507">
        <f t="shared" si="3"/>
        <v>0</v>
      </c>
      <c r="S64" s="507">
        <f t="shared" si="4"/>
        <v>0</v>
      </c>
      <c r="T64" s="507"/>
      <c r="U64" s="790">
        <f t="shared" si="5"/>
        <v>0</v>
      </c>
      <c r="V64" s="507">
        <f t="shared" si="6"/>
        <v>0</v>
      </c>
      <c r="W64" s="507">
        <f t="shared" si="7"/>
        <v>0</v>
      </c>
      <c r="X64" s="1"/>
    </row>
    <row r="65" spans="1:24" hidden="1" x14ac:dyDescent="0.35">
      <c r="A65" s="329" t="s">
        <v>312</v>
      </c>
      <c r="B65" s="81"/>
      <c r="C65" s="337"/>
      <c r="D65" s="337"/>
      <c r="E65" s="337"/>
      <c r="F65" s="337"/>
      <c r="G65" s="337"/>
      <c r="H65" s="337"/>
      <c r="I65" s="337"/>
      <c r="J65" s="337"/>
      <c r="K65" s="334">
        <v>0</v>
      </c>
      <c r="L65" s="334">
        <v>0</v>
      </c>
      <c r="M65" s="334"/>
      <c r="N65" s="334"/>
      <c r="O65" s="334"/>
      <c r="P65" s="334">
        <f t="shared" si="16"/>
        <v>0</v>
      </c>
      <c r="Q65" s="1"/>
      <c r="R65" s="507">
        <f t="shared" si="3"/>
        <v>0</v>
      </c>
      <c r="S65" s="507">
        <f t="shared" si="4"/>
        <v>0</v>
      </c>
      <c r="T65" s="507"/>
      <c r="U65" s="790">
        <f t="shared" si="5"/>
        <v>0</v>
      </c>
      <c r="V65" s="507">
        <f t="shared" si="6"/>
        <v>0</v>
      </c>
      <c r="W65" s="507">
        <f t="shared" si="7"/>
        <v>0</v>
      </c>
      <c r="X65" s="1"/>
    </row>
    <row r="66" spans="1:24" hidden="1" x14ac:dyDescent="0.35">
      <c r="A66" s="329" t="s">
        <v>313</v>
      </c>
      <c r="B66" s="81"/>
      <c r="C66" s="337"/>
      <c r="D66" s="337"/>
      <c r="E66" s="337"/>
      <c r="F66" s="337"/>
      <c r="G66" s="337"/>
      <c r="H66" s="337"/>
      <c r="I66" s="337"/>
      <c r="J66" s="337"/>
      <c r="K66" s="334">
        <v>0</v>
      </c>
      <c r="L66" s="334">
        <v>0</v>
      </c>
      <c r="M66" s="334"/>
      <c r="N66" s="334"/>
      <c r="O66" s="334"/>
      <c r="P66" s="334">
        <f t="shared" si="16"/>
        <v>0</v>
      </c>
      <c r="Q66" s="1"/>
      <c r="R66" s="507">
        <f t="shared" si="3"/>
        <v>0</v>
      </c>
      <c r="S66" s="507">
        <f t="shared" si="4"/>
        <v>0</v>
      </c>
      <c r="T66" s="507"/>
      <c r="U66" s="790">
        <f t="shared" si="5"/>
        <v>0</v>
      </c>
      <c r="V66" s="507">
        <f t="shared" si="6"/>
        <v>0</v>
      </c>
      <c r="W66" s="507">
        <f t="shared" si="7"/>
        <v>0</v>
      </c>
      <c r="X66" s="1"/>
    </row>
    <row r="67" spans="1:24" hidden="1" x14ac:dyDescent="0.35">
      <c r="A67" s="329" t="s">
        <v>311</v>
      </c>
      <c r="B67" s="81"/>
      <c r="C67" s="337"/>
      <c r="D67" s="337"/>
      <c r="E67" s="337"/>
      <c r="F67" s="337"/>
      <c r="G67" s="337"/>
      <c r="H67" s="337"/>
      <c r="I67" s="337"/>
      <c r="J67" s="337"/>
      <c r="K67" s="334">
        <v>0</v>
      </c>
      <c r="L67" s="334">
        <v>0</v>
      </c>
      <c r="M67" s="334"/>
      <c r="N67" s="334"/>
      <c r="O67" s="334"/>
      <c r="P67" s="334">
        <f t="shared" si="16"/>
        <v>0</v>
      </c>
      <c r="Q67" s="1"/>
      <c r="R67" s="507">
        <f t="shared" si="3"/>
        <v>0</v>
      </c>
      <c r="S67" s="507">
        <f t="shared" si="4"/>
        <v>0</v>
      </c>
      <c r="T67" s="507"/>
      <c r="U67" s="790">
        <f t="shared" si="5"/>
        <v>0</v>
      </c>
      <c r="V67" s="507">
        <f t="shared" si="6"/>
        <v>0</v>
      </c>
      <c r="W67" s="507">
        <f t="shared" si="7"/>
        <v>0</v>
      </c>
      <c r="X67" s="1"/>
    </row>
    <row r="68" spans="1:24" s="530" customFormat="1" ht="26" x14ac:dyDescent="0.35">
      <c r="A68" s="333" t="s">
        <v>314</v>
      </c>
      <c r="B68" s="117" t="s">
        <v>117</v>
      </c>
      <c r="C68" s="334">
        <f>SUM(C64,C59,C62,C63)</f>
        <v>5090412</v>
      </c>
      <c r="D68" s="334">
        <f>SUM(D64,D59,D62,D63)</f>
        <v>4145997</v>
      </c>
      <c r="E68" s="334">
        <f>SUM(E59,E62)</f>
        <v>6504057.637795276</v>
      </c>
      <c r="F68" s="334">
        <f t="shared" ref="F68:X68" si="17">SUM(F59,F62)</f>
        <v>32974</v>
      </c>
      <c r="G68" s="334">
        <f t="shared" si="17"/>
        <v>31474</v>
      </c>
      <c r="H68" s="334">
        <f>SUM(H59,H62,H64)</f>
        <v>4666782</v>
      </c>
      <c r="I68" s="334">
        <f t="shared" si="17"/>
        <v>37243.800000000003</v>
      </c>
      <c r="J68" s="334">
        <f t="shared" si="17"/>
        <v>357706</v>
      </c>
      <c r="K68" s="334">
        <f t="shared" si="17"/>
        <v>4625145</v>
      </c>
      <c r="L68" s="334">
        <f t="shared" si="17"/>
        <v>7124893</v>
      </c>
      <c r="M68" s="334">
        <f t="shared" si="17"/>
        <v>314767</v>
      </c>
      <c r="N68" s="334">
        <f t="shared" si="17"/>
        <v>13960</v>
      </c>
      <c r="O68" s="334">
        <f t="shared" si="17"/>
        <v>405000</v>
      </c>
      <c r="P68" s="334">
        <f t="shared" si="17"/>
        <v>5481092</v>
      </c>
      <c r="Q68" s="334">
        <f t="shared" si="17"/>
        <v>318898</v>
      </c>
      <c r="R68" s="334">
        <f t="shared" si="17"/>
        <v>5799990</v>
      </c>
      <c r="S68" s="334">
        <f t="shared" si="17"/>
        <v>4492238</v>
      </c>
      <c r="T68" s="334">
        <f t="shared" si="17"/>
        <v>32308</v>
      </c>
      <c r="U68" s="334">
        <f t="shared" si="17"/>
        <v>6946301.4377952758</v>
      </c>
      <c r="V68" s="334">
        <f t="shared" si="17"/>
        <v>-2308806.4377952758</v>
      </c>
      <c r="W68" s="334">
        <f t="shared" si="17"/>
        <v>4637495</v>
      </c>
      <c r="X68" s="334">
        <f t="shared" si="17"/>
        <v>4637495</v>
      </c>
    </row>
    <row r="69" spans="1:24" x14ac:dyDescent="0.35">
      <c r="A69" s="333" t="s">
        <v>315</v>
      </c>
      <c r="B69" s="117" t="s">
        <v>119</v>
      </c>
      <c r="C69" s="334">
        <f>SUM(C68,C58,C55,C31,C22)</f>
        <v>24043790</v>
      </c>
      <c r="D69" s="334">
        <f>SUM(D68,D58,D55,D31,D22,D14)</f>
        <v>19501531</v>
      </c>
      <c r="E69" s="334">
        <f>SUM(E68,E55,E14)</f>
        <v>30593160</v>
      </c>
      <c r="F69" s="334">
        <f t="shared" ref="F69:X69" si="18">SUM(F68,F55,F14)</f>
        <v>155100</v>
      </c>
      <c r="G69" s="334">
        <f t="shared" si="18"/>
        <v>148045</v>
      </c>
      <c r="H69" s="334">
        <f t="shared" si="18"/>
        <v>21595800</v>
      </c>
      <c r="I69" s="334">
        <f t="shared" si="18"/>
        <v>175183.8</v>
      </c>
      <c r="J69" s="334">
        <f t="shared" si="18"/>
        <v>1682542</v>
      </c>
      <c r="K69" s="334">
        <f t="shared" si="18"/>
        <v>25355295</v>
      </c>
      <c r="L69" s="334">
        <f t="shared" si="18"/>
        <v>27855043</v>
      </c>
      <c r="M69" s="334">
        <f t="shared" si="18"/>
        <v>1480567</v>
      </c>
      <c r="N69" s="334">
        <f t="shared" si="18"/>
        <v>65665</v>
      </c>
      <c r="O69" s="334">
        <f t="shared" si="18"/>
        <v>1905000</v>
      </c>
      <c r="P69" s="334">
        <f t="shared" si="18"/>
        <v>25881432</v>
      </c>
      <c r="Q69" s="334">
        <f t="shared" si="18"/>
        <v>1508000</v>
      </c>
      <c r="R69" s="334">
        <f t="shared" si="18"/>
        <v>27389432</v>
      </c>
      <c r="S69" s="334">
        <f t="shared" si="18"/>
        <v>21130143</v>
      </c>
      <c r="T69" s="334">
        <f t="shared" si="18"/>
        <v>151960</v>
      </c>
      <c r="U69" s="334">
        <f t="shared" si="18"/>
        <v>32673343.799999997</v>
      </c>
      <c r="V69" s="334">
        <f t="shared" si="18"/>
        <v>-10935473.799999999</v>
      </c>
      <c r="W69" s="334">
        <f t="shared" si="18"/>
        <v>21737870</v>
      </c>
      <c r="X69" s="334">
        <f t="shared" si="18"/>
        <v>21737870</v>
      </c>
    </row>
    <row r="70" spans="1:24" x14ac:dyDescent="0.35">
      <c r="P70" s="15"/>
    </row>
  </sheetData>
  <mergeCells count="8">
    <mergeCell ref="U6:X6"/>
    <mergeCell ref="C5:X5"/>
    <mergeCell ref="A3:P3"/>
    <mergeCell ref="A5:A7"/>
    <mergeCell ref="B5:B7"/>
    <mergeCell ref="C6:H6"/>
    <mergeCell ref="I6:N6"/>
    <mergeCell ref="O6:T6"/>
  </mergeCells>
  <pageMargins left="0.70866141732283472" right="0.70866141732283472" top="0.74803149606299213" bottom="0.74803149606299213" header="0.31496062992125984" footer="0.31496062992125984"/>
  <pageSetup paperSize="8"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  <pageSetUpPr fitToPage="1"/>
  </sheetPr>
  <dimension ref="A1:AD68"/>
  <sheetViews>
    <sheetView view="pageBreakPreview" zoomScale="80" zoomScaleNormal="100" zoomScaleSheetLayoutView="80" workbookViewId="0">
      <pane xSplit="3" ySplit="7" topLeftCell="M13" activePane="bottomRight" state="frozen"/>
      <selection activeCell="P20" sqref="P20"/>
      <selection pane="topRight" activeCell="P20" sqref="P20"/>
      <selection pane="bottomLeft" activeCell="P20" sqref="P20"/>
      <selection pane="bottomRight"/>
    </sheetView>
  </sheetViews>
  <sheetFormatPr defaultRowHeight="14.5" x14ac:dyDescent="0.35"/>
  <cols>
    <col min="1" max="1" width="25.54296875" customWidth="1"/>
    <col min="2" max="2" width="25.54296875" style="532" hidden="1" customWidth="1"/>
    <col min="3" max="3" width="16.1796875" customWidth="1"/>
    <col min="4" max="4" width="17.453125" style="362" hidden="1" customWidth="1"/>
    <col min="5" max="5" width="16.54296875" style="362" hidden="1" customWidth="1"/>
    <col min="6" max="8" width="16.54296875" style="362" customWidth="1"/>
    <col min="9" max="9" width="16.1796875" style="362" hidden="1" customWidth="1"/>
    <col min="10" max="11" width="18" style="362" hidden="1" customWidth="1"/>
    <col min="12" max="13" width="18" style="362" customWidth="1"/>
    <col min="14" max="14" width="15.81640625" style="362" hidden="1" customWidth="1"/>
    <col min="15" max="15" width="17.54296875" style="362" hidden="1" customWidth="1"/>
    <col min="16" max="17" width="15.54296875" style="362" hidden="1" customWidth="1"/>
    <col min="18" max="19" width="15.54296875" style="362" customWidth="1"/>
    <col min="20" max="20" width="14.81640625" style="362" hidden="1" customWidth="1"/>
    <col min="21" max="23" width="14.81640625" hidden="1" customWidth="1"/>
    <col min="24" max="25" width="14.81640625" style="532" customWidth="1"/>
    <col min="26" max="26" width="20.54296875" style="532" customWidth="1"/>
    <col min="27" max="27" width="14.81640625" style="740" customWidth="1"/>
    <col min="28" max="28" width="15.1796875" hidden="1" customWidth="1"/>
    <col min="29" max="29" width="14" customWidth="1"/>
    <col min="30" max="30" width="18.54296875" customWidth="1"/>
  </cols>
  <sheetData>
    <row r="1" spans="1:30" x14ac:dyDescent="0.35">
      <c r="A1" t="s">
        <v>556</v>
      </c>
    </row>
    <row r="3" spans="1:30" ht="15" customHeight="1" x14ac:dyDescent="0.35">
      <c r="A3" s="1208" t="s">
        <v>545</v>
      </c>
      <c r="B3" s="1208"/>
      <c r="C3" s="1208"/>
      <c r="D3" s="1208"/>
      <c r="E3" s="1208"/>
      <c r="F3" s="1208"/>
      <c r="G3" s="1208"/>
      <c r="H3" s="1208"/>
      <c r="I3" s="1208"/>
      <c r="J3" s="1208"/>
      <c r="K3" s="1208"/>
      <c r="L3" s="1208"/>
      <c r="M3" s="1208"/>
      <c r="N3" s="1208"/>
      <c r="O3" s="1208"/>
      <c r="P3" s="1208"/>
      <c r="Q3" s="1208"/>
      <c r="R3" s="1208"/>
      <c r="S3" s="1208"/>
      <c r="T3" s="1208"/>
      <c r="U3" s="1208"/>
      <c r="V3" s="1208"/>
      <c r="W3" s="1208"/>
      <c r="X3" s="1208"/>
      <c r="Y3" s="1208"/>
      <c r="Z3" s="1208"/>
      <c r="AA3" s="1208"/>
      <c r="AB3" s="1208"/>
      <c r="AC3" s="1208"/>
    </row>
    <row r="4" spans="1:30" ht="15" thickBot="1" x14ac:dyDescent="0.4"/>
    <row r="5" spans="1:30" ht="15" customHeight="1" thickBot="1" x14ac:dyDescent="0.4">
      <c r="A5" s="1241" t="s">
        <v>2</v>
      </c>
      <c r="B5" s="943"/>
      <c r="C5" s="1243" t="s">
        <v>3</v>
      </c>
      <c r="D5" s="1235" t="s">
        <v>257</v>
      </c>
      <c r="E5" s="1236"/>
      <c r="F5" s="1236"/>
      <c r="G5" s="1236"/>
      <c r="H5" s="1236"/>
      <c r="I5" s="1236"/>
      <c r="J5" s="1236"/>
      <c r="K5" s="1236"/>
      <c r="L5" s="1236"/>
      <c r="M5" s="1236"/>
      <c r="N5" s="1236"/>
      <c r="O5" s="1236"/>
      <c r="P5" s="1236"/>
      <c r="Q5" s="1236"/>
      <c r="R5" s="1236"/>
      <c r="S5" s="1236"/>
      <c r="T5" s="1236"/>
      <c r="U5" s="1236"/>
      <c r="V5" s="1236"/>
      <c r="W5" s="1236"/>
      <c r="X5" s="1236"/>
      <c r="Y5" s="1236"/>
      <c r="Z5" s="1236"/>
      <c r="AA5" s="1229" t="s">
        <v>854</v>
      </c>
      <c r="AB5" s="1230"/>
      <c r="AC5" s="1230"/>
      <c r="AD5" s="1231"/>
    </row>
    <row r="6" spans="1:30" ht="41.15" customHeight="1" x14ac:dyDescent="0.35">
      <c r="A6" s="1242"/>
      <c r="B6" s="944"/>
      <c r="C6" s="1244"/>
      <c r="D6" s="1245" t="s">
        <v>852</v>
      </c>
      <c r="E6" s="1246"/>
      <c r="F6" s="1246"/>
      <c r="G6" s="1247"/>
      <c r="H6" s="1245" t="s">
        <v>1000</v>
      </c>
      <c r="I6" s="1246"/>
      <c r="J6" s="1246"/>
      <c r="K6" s="1246"/>
      <c r="L6" s="1247"/>
      <c r="M6" s="1248" t="s">
        <v>875</v>
      </c>
      <c r="N6" s="1249"/>
      <c r="O6" s="1249"/>
      <c r="P6" s="1249"/>
      <c r="Q6" s="1249"/>
      <c r="R6" s="1250"/>
      <c r="S6" s="1248" t="s">
        <v>874</v>
      </c>
      <c r="T6" s="1249"/>
      <c r="U6" s="1249"/>
      <c r="V6" s="1249"/>
      <c r="W6" s="1249"/>
      <c r="X6" s="1249"/>
      <c r="Y6" s="1237" t="s">
        <v>1106</v>
      </c>
      <c r="Z6" s="1238"/>
      <c r="AA6" s="1232"/>
      <c r="AB6" s="1233"/>
      <c r="AC6" s="1233"/>
      <c r="AD6" s="1234"/>
    </row>
    <row r="7" spans="1:30" ht="36.75" customHeight="1" x14ac:dyDescent="0.35">
      <c r="A7" s="1242"/>
      <c r="B7" s="944"/>
      <c r="C7" s="1244"/>
      <c r="D7" s="946" t="s">
        <v>798</v>
      </c>
      <c r="E7" s="940" t="s">
        <v>870</v>
      </c>
      <c r="F7" s="940" t="s">
        <v>968</v>
      </c>
      <c r="G7" s="947" t="s">
        <v>1105</v>
      </c>
      <c r="H7" s="946" t="s">
        <v>968</v>
      </c>
      <c r="I7" s="940" t="s">
        <v>798</v>
      </c>
      <c r="J7" s="940" t="s">
        <v>798</v>
      </c>
      <c r="K7" s="940" t="s">
        <v>870</v>
      </c>
      <c r="L7" s="947" t="s">
        <v>1105</v>
      </c>
      <c r="M7" s="946" t="s">
        <v>975</v>
      </c>
      <c r="N7" s="940" t="s">
        <v>798</v>
      </c>
      <c r="O7" s="940" t="s">
        <v>833</v>
      </c>
      <c r="P7" s="940" t="s">
        <v>834</v>
      </c>
      <c r="Q7" s="940" t="s">
        <v>870</v>
      </c>
      <c r="R7" s="947" t="s">
        <v>1105</v>
      </c>
      <c r="S7" s="946" t="s">
        <v>934</v>
      </c>
      <c r="T7" s="942" t="s">
        <v>832</v>
      </c>
      <c r="U7" s="940" t="s">
        <v>871</v>
      </c>
      <c r="V7" s="940" t="s">
        <v>872</v>
      </c>
      <c r="W7" s="940" t="s">
        <v>870</v>
      </c>
      <c r="X7" s="962" t="s">
        <v>1105</v>
      </c>
      <c r="Y7" s="946" t="s">
        <v>934</v>
      </c>
      <c r="Z7" s="962" t="s">
        <v>1105</v>
      </c>
      <c r="AA7" s="946" t="s">
        <v>1104</v>
      </c>
      <c r="AB7" s="384" t="s">
        <v>1097</v>
      </c>
      <c r="AC7" s="939" t="s">
        <v>1101</v>
      </c>
      <c r="AD7" s="968" t="s">
        <v>1103</v>
      </c>
    </row>
    <row r="8" spans="1:30" ht="26.5" x14ac:dyDescent="0.35">
      <c r="A8" s="357" t="s">
        <v>5</v>
      </c>
      <c r="B8" s="783"/>
      <c r="C8" s="367" t="s">
        <v>6</v>
      </c>
      <c r="D8" s="948">
        <v>3572675</v>
      </c>
      <c r="E8" s="366">
        <v>2422182</v>
      </c>
      <c r="F8" s="366">
        <f>447035+(490885*10)+558637</f>
        <v>5914522</v>
      </c>
      <c r="G8" s="598">
        <v>5871566</v>
      </c>
      <c r="H8" s="945"/>
      <c r="I8" s="366"/>
      <c r="J8" s="366"/>
      <c r="K8" s="366"/>
      <c r="L8" s="949"/>
      <c r="M8" s="948"/>
      <c r="N8" s="366"/>
      <c r="O8" s="368">
        <v>3423900</v>
      </c>
      <c r="P8" s="368">
        <v>3423900</v>
      </c>
      <c r="Q8" s="368"/>
      <c r="R8" s="958"/>
      <c r="S8" s="960"/>
      <c r="T8" s="368">
        <f t="shared" ref="T8:T19" si="0">SUM(D8,J8,N8,I8)</f>
        <v>3572675</v>
      </c>
      <c r="U8" s="1"/>
      <c r="V8" s="508">
        <f>T8+U8</f>
        <v>3572675</v>
      </c>
      <c r="W8" s="508">
        <f>E8+K8+Q8</f>
        <v>2422182</v>
      </c>
      <c r="X8" s="963"/>
      <c r="Y8" s="966"/>
      <c r="Z8" s="963"/>
      <c r="AA8" s="969">
        <f>SUM(S8,M8,H8,F8)</f>
        <v>5914522</v>
      </c>
      <c r="AB8" s="941">
        <f>AC8-AA8</f>
        <v>-42956</v>
      </c>
      <c r="AC8" s="941">
        <f>AD8</f>
        <v>5871566</v>
      </c>
      <c r="AD8" s="970">
        <f>G8+L8+R8+X8+Z8</f>
        <v>5871566</v>
      </c>
    </row>
    <row r="9" spans="1:30" x14ac:dyDescent="0.35">
      <c r="A9" s="357" t="s">
        <v>243</v>
      </c>
      <c r="B9" s="783"/>
      <c r="C9" s="367" t="s">
        <v>18</v>
      </c>
      <c r="D9" s="948">
        <f>'Önkormányzat személyi'!D12</f>
        <v>200000</v>
      </c>
      <c r="E9" s="366">
        <v>111525</v>
      </c>
      <c r="F9" s="366">
        <v>200000</v>
      </c>
      <c r="G9" s="598">
        <v>173913</v>
      </c>
      <c r="H9" s="945"/>
      <c r="I9" s="366"/>
      <c r="J9" s="366"/>
      <c r="K9" s="366"/>
      <c r="L9" s="949"/>
      <c r="M9" s="948"/>
      <c r="N9" s="366"/>
      <c r="O9" s="368">
        <v>200000</v>
      </c>
      <c r="P9" s="368">
        <v>200000</v>
      </c>
      <c r="Q9" s="368"/>
      <c r="R9" s="958"/>
      <c r="S9" s="960"/>
      <c r="T9" s="368">
        <f t="shared" si="0"/>
        <v>200000</v>
      </c>
      <c r="U9" s="1"/>
      <c r="V9" s="508">
        <f t="shared" ref="V9:V65" si="1">T9+U9</f>
        <v>200000</v>
      </c>
      <c r="W9" s="508">
        <f t="shared" ref="W9:W65" si="2">E9+K9+Q9</f>
        <v>111525</v>
      </c>
      <c r="X9" s="963"/>
      <c r="Y9" s="966"/>
      <c r="Z9" s="963"/>
      <c r="AA9" s="969">
        <f t="shared" ref="AA9:AA66" si="3">SUM(S9,M9,H9,F9)</f>
        <v>200000</v>
      </c>
      <c r="AB9" s="941">
        <f t="shared" ref="AB9:AB66" si="4">AC9-AA9</f>
        <v>-26087</v>
      </c>
      <c r="AC9" s="941">
        <f t="shared" ref="AC9:AC66" si="5">AD9</f>
        <v>173913</v>
      </c>
      <c r="AD9" s="970">
        <f t="shared" ref="AD9:AD66" si="6">G9+L9+R9+X9+Z9</f>
        <v>173913</v>
      </c>
    </row>
    <row r="10" spans="1:30" x14ac:dyDescent="0.35">
      <c r="A10" s="357" t="s">
        <v>245</v>
      </c>
      <c r="B10" s="783"/>
      <c r="C10" s="367" t="s">
        <v>24</v>
      </c>
      <c r="D10" s="948">
        <v>12000</v>
      </c>
      <c r="E10" s="366">
        <v>6000</v>
      </c>
      <c r="F10" s="366">
        <v>12000</v>
      </c>
      <c r="G10" s="598">
        <v>12000</v>
      </c>
      <c r="H10" s="945"/>
      <c r="I10" s="366"/>
      <c r="J10" s="366"/>
      <c r="K10" s="366"/>
      <c r="L10" s="949"/>
      <c r="M10" s="948"/>
      <c r="N10" s="366"/>
      <c r="O10" s="368">
        <v>12000</v>
      </c>
      <c r="P10" s="368">
        <v>12000</v>
      </c>
      <c r="Q10" s="368"/>
      <c r="R10" s="958"/>
      <c r="S10" s="960"/>
      <c r="T10" s="368">
        <f t="shared" si="0"/>
        <v>12000</v>
      </c>
      <c r="U10" s="1"/>
      <c r="V10" s="508">
        <f t="shared" si="1"/>
        <v>12000</v>
      </c>
      <c r="W10" s="508">
        <f t="shared" si="2"/>
        <v>6000</v>
      </c>
      <c r="X10" s="963"/>
      <c r="Y10" s="966"/>
      <c r="Z10" s="963"/>
      <c r="AA10" s="969">
        <f t="shared" si="3"/>
        <v>12000</v>
      </c>
      <c r="AB10" s="941">
        <f t="shared" si="4"/>
        <v>0</v>
      </c>
      <c r="AC10" s="941">
        <f t="shared" si="5"/>
        <v>12000</v>
      </c>
      <c r="AD10" s="970">
        <f t="shared" si="6"/>
        <v>12000</v>
      </c>
    </row>
    <row r="11" spans="1:30" x14ac:dyDescent="0.35">
      <c r="A11" s="389" t="s">
        <v>689</v>
      </c>
      <c r="B11" s="784"/>
      <c r="C11" s="390" t="s">
        <v>30</v>
      </c>
      <c r="D11" s="948"/>
      <c r="E11" s="366">
        <v>225220</v>
      </c>
      <c r="F11" s="366"/>
      <c r="G11" s="598">
        <v>683400</v>
      </c>
      <c r="H11" s="945"/>
      <c r="I11" s="366"/>
      <c r="J11" s="366"/>
      <c r="K11" s="366"/>
      <c r="L11" s="949"/>
      <c r="M11" s="948"/>
      <c r="N11" s="366"/>
      <c r="O11" s="368">
        <v>0</v>
      </c>
      <c r="P11" s="368">
        <v>0</v>
      </c>
      <c r="Q11" s="368"/>
      <c r="R11" s="958"/>
      <c r="S11" s="960"/>
      <c r="T11" s="368">
        <f t="shared" si="0"/>
        <v>0</v>
      </c>
      <c r="U11" s="1"/>
      <c r="V11" s="508">
        <f t="shared" si="1"/>
        <v>0</v>
      </c>
      <c r="W11" s="508">
        <f t="shared" si="2"/>
        <v>225220</v>
      </c>
      <c r="X11" s="963"/>
      <c r="Y11" s="966"/>
      <c r="Z11" s="963"/>
      <c r="AA11" s="969">
        <f t="shared" si="3"/>
        <v>0</v>
      </c>
      <c r="AB11" s="941">
        <f t="shared" si="4"/>
        <v>683400</v>
      </c>
      <c r="AC11" s="941">
        <f t="shared" si="5"/>
        <v>683400</v>
      </c>
      <c r="AD11" s="970">
        <f t="shared" si="6"/>
        <v>683400</v>
      </c>
    </row>
    <row r="12" spans="1:30" ht="15" thickBot="1" x14ac:dyDescent="0.4">
      <c r="A12" s="389" t="s">
        <v>855</v>
      </c>
      <c r="B12" s="784"/>
      <c r="C12" s="390" t="s">
        <v>37</v>
      </c>
      <c r="D12" s="988"/>
      <c r="E12" s="989">
        <v>156600</v>
      </c>
      <c r="F12" s="989"/>
      <c r="G12" s="591">
        <v>136902</v>
      </c>
      <c r="H12" s="988"/>
      <c r="I12" s="989"/>
      <c r="J12" s="989"/>
      <c r="K12" s="989"/>
      <c r="L12" s="990"/>
      <c r="M12" s="988"/>
      <c r="N12" s="989"/>
      <c r="O12" s="991"/>
      <c r="P12" s="991"/>
      <c r="Q12" s="991"/>
      <c r="R12" s="992"/>
      <c r="S12" s="993"/>
      <c r="T12" s="991">
        <f t="shared" si="0"/>
        <v>0</v>
      </c>
      <c r="U12" s="912"/>
      <c r="V12" s="994">
        <f t="shared" ref="V12" si="7">T12+U12</f>
        <v>0</v>
      </c>
      <c r="W12" s="994">
        <f t="shared" si="2"/>
        <v>156600</v>
      </c>
      <c r="X12" s="591">
        <v>575000</v>
      </c>
      <c r="Y12" s="996"/>
      <c r="Z12" s="995"/>
      <c r="AA12" s="976">
        <f t="shared" si="3"/>
        <v>0</v>
      </c>
      <c r="AB12" s="977">
        <f t="shared" si="4"/>
        <v>711902</v>
      </c>
      <c r="AC12" s="977">
        <f t="shared" si="5"/>
        <v>711902</v>
      </c>
      <c r="AD12" s="978">
        <f t="shared" si="6"/>
        <v>711902</v>
      </c>
    </row>
    <row r="13" spans="1:30" s="532" customFormat="1" ht="15" thickBot="1" x14ac:dyDescent="0.4">
      <c r="A13" s="1006" t="s">
        <v>1107</v>
      </c>
      <c r="B13" s="1007"/>
      <c r="C13" s="1008" t="s">
        <v>39</v>
      </c>
      <c r="D13" s="1009"/>
      <c r="E13" s="1010"/>
      <c r="F13" s="1010">
        <f>SUM(F8:F12)</f>
        <v>6126522</v>
      </c>
      <c r="G13" s="1011">
        <f t="shared" ref="G13:Z13" si="8">SUM(G8:G12)</f>
        <v>6877781</v>
      </c>
      <c r="H13" s="1009">
        <f t="shared" si="8"/>
        <v>0</v>
      </c>
      <c r="I13" s="1010">
        <f t="shared" si="8"/>
        <v>0</v>
      </c>
      <c r="J13" s="1010">
        <f t="shared" si="8"/>
        <v>0</v>
      </c>
      <c r="K13" s="1010">
        <f t="shared" si="8"/>
        <v>0</v>
      </c>
      <c r="L13" s="1011">
        <f t="shared" si="8"/>
        <v>0</v>
      </c>
      <c r="M13" s="1009">
        <f t="shared" si="8"/>
        <v>0</v>
      </c>
      <c r="N13" s="1010">
        <f t="shared" si="8"/>
        <v>0</v>
      </c>
      <c r="O13" s="1010">
        <f t="shared" si="8"/>
        <v>3635900</v>
      </c>
      <c r="P13" s="1010">
        <f t="shared" si="8"/>
        <v>3635900</v>
      </c>
      <c r="Q13" s="1010">
        <f t="shared" si="8"/>
        <v>0</v>
      </c>
      <c r="R13" s="1011">
        <f t="shared" si="8"/>
        <v>0</v>
      </c>
      <c r="S13" s="1009">
        <f t="shared" si="8"/>
        <v>0</v>
      </c>
      <c r="T13" s="1010">
        <f t="shared" si="8"/>
        <v>3784675</v>
      </c>
      <c r="U13" s="1010">
        <f t="shared" si="8"/>
        <v>0</v>
      </c>
      <c r="V13" s="1010">
        <f t="shared" si="8"/>
        <v>3784675</v>
      </c>
      <c r="W13" s="1010">
        <f t="shared" si="8"/>
        <v>2921527</v>
      </c>
      <c r="X13" s="1012">
        <f t="shared" si="8"/>
        <v>575000</v>
      </c>
      <c r="Y13" s="1009">
        <f t="shared" si="8"/>
        <v>0</v>
      </c>
      <c r="Z13" s="1012">
        <f t="shared" si="8"/>
        <v>0</v>
      </c>
      <c r="AA13" s="1012">
        <f t="shared" ref="AA13" si="9">SUM(AA8:AA12)</f>
        <v>6126522</v>
      </c>
      <c r="AB13" s="1012">
        <f t="shared" ref="AB13" si="10">SUM(AB8:AB12)</f>
        <v>1326259</v>
      </c>
      <c r="AC13" s="1012">
        <f t="shared" ref="AC13" si="11">SUM(AC8:AC12)</f>
        <v>7452781</v>
      </c>
      <c r="AD13" s="1012">
        <f t="shared" ref="AD13" si="12">SUM(AD8:AD12)</f>
        <v>7452781</v>
      </c>
    </row>
    <row r="14" spans="1:30" ht="27" thickBot="1" x14ac:dyDescent="0.4">
      <c r="A14" s="1006" t="s">
        <v>253</v>
      </c>
      <c r="B14" s="1007"/>
      <c r="C14" s="1008" t="s">
        <v>41</v>
      </c>
      <c r="D14" s="1009">
        <v>699012</v>
      </c>
      <c r="E14" s="1010">
        <v>588467</v>
      </c>
      <c r="F14" s="1012">
        <f>F8*0.175+100000</f>
        <v>1135041.3500000001</v>
      </c>
      <c r="G14" s="1029">
        <v>1144166</v>
      </c>
      <c r="H14" s="1009"/>
      <c r="I14" s="1010"/>
      <c r="J14" s="1010"/>
      <c r="K14" s="1010"/>
      <c r="L14" s="1011"/>
      <c r="M14" s="1009"/>
      <c r="N14" s="1010"/>
      <c r="O14" s="1022">
        <v>745633</v>
      </c>
      <c r="P14" s="1022">
        <v>745633</v>
      </c>
      <c r="Q14" s="1022"/>
      <c r="R14" s="1023"/>
      <c r="S14" s="1024"/>
      <c r="T14" s="1022">
        <f t="shared" si="0"/>
        <v>699012</v>
      </c>
      <c r="U14" s="1025"/>
      <c r="V14" s="1026">
        <f t="shared" si="1"/>
        <v>699012</v>
      </c>
      <c r="W14" s="1026">
        <f t="shared" si="2"/>
        <v>588467</v>
      </c>
      <c r="X14" s="592">
        <v>80215</v>
      </c>
      <c r="Y14" s="1028"/>
      <c r="Z14" s="1027"/>
      <c r="AA14" s="1013">
        <f t="shared" si="3"/>
        <v>1135041.3500000001</v>
      </c>
      <c r="AB14" s="1014">
        <f t="shared" si="4"/>
        <v>89339.649999999907</v>
      </c>
      <c r="AC14" s="1014">
        <f t="shared" si="5"/>
        <v>1224381</v>
      </c>
      <c r="AD14" s="1015">
        <f t="shared" si="6"/>
        <v>1224381</v>
      </c>
    </row>
    <row r="15" spans="1:30" x14ac:dyDescent="0.35">
      <c r="A15" s="1016" t="s">
        <v>268</v>
      </c>
      <c r="B15" s="1017"/>
      <c r="C15" s="1018" t="s">
        <v>44</v>
      </c>
      <c r="D15" s="1019">
        <f>SUM(D16:D16)</f>
        <v>20000</v>
      </c>
      <c r="E15" s="1020"/>
      <c r="F15" s="1020">
        <f>SUM(F16)</f>
        <v>20000</v>
      </c>
      <c r="G15" s="591">
        <v>46717</v>
      </c>
      <c r="H15" s="1019"/>
      <c r="I15" s="1020"/>
      <c r="J15" s="1020">
        <f>SUM(J16:J16)</f>
        <v>0</v>
      </c>
      <c r="K15" s="1020"/>
      <c r="L15" s="1021"/>
      <c r="M15" s="1019"/>
      <c r="N15" s="1020">
        <f>SUM(N16:N16)</f>
        <v>0</v>
      </c>
      <c r="O15" s="997">
        <v>20000</v>
      </c>
      <c r="P15" s="997">
        <v>20000</v>
      </c>
      <c r="Q15" s="997"/>
      <c r="R15" s="998"/>
      <c r="S15" s="999"/>
      <c r="T15" s="997">
        <f t="shared" si="0"/>
        <v>20000</v>
      </c>
      <c r="U15" s="409"/>
      <c r="V15" s="1000">
        <f t="shared" si="1"/>
        <v>20000</v>
      </c>
      <c r="W15" s="1000">
        <f t="shared" si="2"/>
        <v>0</v>
      </c>
      <c r="X15" s="1001"/>
      <c r="Y15" s="1002"/>
      <c r="Z15" s="1001"/>
      <c r="AA15" s="1003">
        <f t="shared" si="3"/>
        <v>20000</v>
      </c>
      <c r="AB15" s="1004">
        <f t="shared" si="4"/>
        <v>26717</v>
      </c>
      <c r="AC15" s="1004">
        <f t="shared" si="5"/>
        <v>46717</v>
      </c>
      <c r="AD15" s="1005">
        <f t="shared" si="6"/>
        <v>46717</v>
      </c>
    </row>
    <row r="16" spans="1:30" x14ac:dyDescent="0.35">
      <c r="A16" s="80" t="s">
        <v>272</v>
      </c>
      <c r="B16" s="786"/>
      <c r="C16" s="360"/>
      <c r="D16" s="952">
        <v>20000</v>
      </c>
      <c r="E16" s="369"/>
      <c r="F16" s="369">
        <v>20000</v>
      </c>
      <c r="G16" s="953"/>
      <c r="H16" s="952"/>
      <c r="I16" s="369"/>
      <c r="J16" s="369"/>
      <c r="K16" s="369"/>
      <c r="L16" s="953"/>
      <c r="M16" s="952"/>
      <c r="N16" s="369"/>
      <c r="O16" s="368">
        <v>20000</v>
      </c>
      <c r="P16" s="368">
        <v>20000</v>
      </c>
      <c r="Q16" s="368"/>
      <c r="R16" s="958"/>
      <c r="S16" s="960"/>
      <c r="T16" s="368">
        <f t="shared" si="0"/>
        <v>20000</v>
      </c>
      <c r="U16" s="1"/>
      <c r="V16" s="508">
        <f t="shared" si="1"/>
        <v>20000</v>
      </c>
      <c r="W16" s="508">
        <f t="shared" si="2"/>
        <v>0</v>
      </c>
      <c r="X16" s="963"/>
      <c r="Y16" s="966"/>
      <c r="Z16" s="963"/>
      <c r="AA16" s="969">
        <f t="shared" si="3"/>
        <v>20000</v>
      </c>
      <c r="AB16" s="941">
        <f t="shared" si="4"/>
        <v>-20000</v>
      </c>
      <c r="AC16" s="941">
        <f t="shared" si="5"/>
        <v>0</v>
      </c>
      <c r="AD16" s="970">
        <f t="shared" si="6"/>
        <v>0</v>
      </c>
    </row>
    <row r="17" spans="1:30" x14ac:dyDescent="0.35">
      <c r="A17" s="183" t="s">
        <v>273</v>
      </c>
      <c r="B17" s="785"/>
      <c r="C17" s="360" t="s">
        <v>50</v>
      </c>
      <c r="D17" s="950">
        <v>70000</v>
      </c>
      <c r="E17" s="365">
        <v>31489</v>
      </c>
      <c r="F17" s="365">
        <f>SUM(F18)</f>
        <v>70000</v>
      </c>
      <c r="G17" s="951"/>
      <c r="H17" s="950"/>
      <c r="I17" s="365"/>
      <c r="J17" s="365">
        <f>SUM(J18:J18)</f>
        <v>0</v>
      </c>
      <c r="K17" s="365">
        <v>2361</v>
      </c>
      <c r="L17" s="591">
        <v>58496</v>
      </c>
      <c r="M17" s="950"/>
      <c r="N17" s="369"/>
      <c r="O17" s="368">
        <v>116000</v>
      </c>
      <c r="P17" s="368">
        <v>116000</v>
      </c>
      <c r="Q17" s="368">
        <v>26016</v>
      </c>
      <c r="R17" s="958"/>
      <c r="S17" s="960"/>
      <c r="T17" s="368">
        <f t="shared" si="0"/>
        <v>70000</v>
      </c>
      <c r="U17" s="1"/>
      <c r="V17" s="508">
        <f t="shared" si="1"/>
        <v>70000</v>
      </c>
      <c r="W17" s="508">
        <f t="shared" si="2"/>
        <v>59866</v>
      </c>
      <c r="X17" s="591">
        <v>51196</v>
      </c>
      <c r="Y17" s="966"/>
      <c r="Z17" s="591">
        <v>932807</v>
      </c>
      <c r="AA17" s="969">
        <f t="shared" si="3"/>
        <v>70000</v>
      </c>
      <c r="AB17" s="941">
        <f t="shared" si="4"/>
        <v>972499</v>
      </c>
      <c r="AC17" s="941">
        <f t="shared" si="5"/>
        <v>1042499</v>
      </c>
      <c r="AD17" s="970">
        <f t="shared" si="6"/>
        <v>1042499</v>
      </c>
    </row>
    <row r="18" spans="1:30" x14ac:dyDescent="0.35">
      <c r="A18" s="80" t="s">
        <v>278</v>
      </c>
      <c r="B18" s="786"/>
      <c r="C18" s="360"/>
      <c r="D18" s="952">
        <v>70000</v>
      </c>
      <c r="E18" s="369"/>
      <c r="F18" s="369">
        <v>70000</v>
      </c>
      <c r="G18" s="953"/>
      <c r="H18" s="952"/>
      <c r="I18" s="369"/>
      <c r="J18" s="369"/>
      <c r="K18" s="369"/>
      <c r="L18" s="953"/>
      <c r="M18" s="952"/>
      <c r="N18" s="369"/>
      <c r="O18" s="368">
        <v>116000</v>
      </c>
      <c r="P18" s="368">
        <v>116000</v>
      </c>
      <c r="Q18" s="368"/>
      <c r="R18" s="958"/>
      <c r="S18" s="960"/>
      <c r="T18" s="368">
        <f t="shared" si="0"/>
        <v>70000</v>
      </c>
      <c r="U18" s="1"/>
      <c r="V18" s="508">
        <f t="shared" si="1"/>
        <v>70000</v>
      </c>
      <c r="W18" s="508">
        <f t="shared" si="2"/>
        <v>0</v>
      </c>
      <c r="X18" s="963"/>
      <c r="Y18" s="966"/>
      <c r="Z18" s="963"/>
      <c r="AA18" s="969">
        <f t="shared" si="3"/>
        <v>70000</v>
      </c>
      <c r="AB18" s="941">
        <f t="shared" si="4"/>
        <v>-70000</v>
      </c>
      <c r="AC18" s="941">
        <f t="shared" si="5"/>
        <v>0</v>
      </c>
      <c r="AD18" s="970">
        <f t="shared" si="6"/>
        <v>0</v>
      </c>
    </row>
    <row r="19" spans="1:30" x14ac:dyDescent="0.35">
      <c r="A19" s="183" t="s">
        <v>279</v>
      </c>
      <c r="B19" s="785"/>
      <c r="C19" s="360" t="s">
        <v>280</v>
      </c>
      <c r="D19" s="952"/>
      <c r="E19" s="369"/>
      <c r="F19" s="369"/>
      <c r="G19" s="953"/>
      <c r="H19" s="952"/>
      <c r="I19" s="369"/>
      <c r="J19" s="369"/>
      <c r="K19" s="369"/>
      <c r="L19" s="953"/>
      <c r="M19" s="952"/>
      <c r="N19" s="369"/>
      <c r="O19" s="368">
        <v>0</v>
      </c>
      <c r="P19" s="368">
        <v>0</v>
      </c>
      <c r="Q19" s="368"/>
      <c r="R19" s="958"/>
      <c r="S19" s="960"/>
      <c r="T19" s="368">
        <f t="shared" si="0"/>
        <v>0</v>
      </c>
      <c r="U19" s="1"/>
      <c r="V19" s="508">
        <f t="shared" si="1"/>
        <v>0</v>
      </c>
      <c r="W19" s="508">
        <f t="shared" si="2"/>
        <v>0</v>
      </c>
      <c r="X19" s="963"/>
      <c r="Y19" s="966"/>
      <c r="Z19" s="963"/>
      <c r="AA19" s="969">
        <f t="shared" si="3"/>
        <v>0</v>
      </c>
      <c r="AB19" s="941">
        <f t="shared" si="4"/>
        <v>0</v>
      </c>
      <c r="AC19" s="941">
        <f t="shared" si="5"/>
        <v>0</v>
      </c>
      <c r="AD19" s="970">
        <f t="shared" si="6"/>
        <v>0</v>
      </c>
    </row>
    <row r="20" spans="1:30" s="530" customFormat="1" x14ac:dyDescent="0.35">
      <c r="A20" s="620" t="s">
        <v>281</v>
      </c>
      <c r="B20" s="787"/>
      <c r="C20" s="621" t="s">
        <v>58</v>
      </c>
      <c r="D20" s="954">
        <f>SUM(D15,D17,D19)</f>
        <v>90000</v>
      </c>
      <c r="E20" s="363">
        <f t="shared" ref="E20" si="13">SUM(E15,E17,E19)</f>
        <v>31489</v>
      </c>
      <c r="F20" s="363">
        <f>SUM(F17,F15)</f>
        <v>90000</v>
      </c>
      <c r="G20" s="955">
        <f t="shared" ref="G20:Z20" si="14">SUM(G17,G15)</f>
        <v>46717</v>
      </c>
      <c r="H20" s="954">
        <f t="shared" si="14"/>
        <v>0</v>
      </c>
      <c r="I20" s="363">
        <f t="shared" si="14"/>
        <v>0</v>
      </c>
      <c r="J20" s="363">
        <f t="shared" si="14"/>
        <v>0</v>
      </c>
      <c r="K20" s="363">
        <f t="shared" si="14"/>
        <v>2361</v>
      </c>
      <c r="L20" s="955">
        <f t="shared" si="14"/>
        <v>58496</v>
      </c>
      <c r="M20" s="954">
        <f t="shared" si="14"/>
        <v>0</v>
      </c>
      <c r="N20" s="363">
        <f t="shared" si="14"/>
        <v>0</v>
      </c>
      <c r="O20" s="363">
        <f t="shared" si="14"/>
        <v>136000</v>
      </c>
      <c r="P20" s="363">
        <f t="shared" si="14"/>
        <v>136000</v>
      </c>
      <c r="Q20" s="363">
        <f t="shared" si="14"/>
        <v>26016</v>
      </c>
      <c r="R20" s="955">
        <f t="shared" si="14"/>
        <v>0</v>
      </c>
      <c r="S20" s="954">
        <f t="shared" si="14"/>
        <v>0</v>
      </c>
      <c r="T20" s="363">
        <f t="shared" si="14"/>
        <v>90000</v>
      </c>
      <c r="U20" s="363">
        <f t="shared" si="14"/>
        <v>0</v>
      </c>
      <c r="V20" s="363">
        <f t="shared" si="14"/>
        <v>90000</v>
      </c>
      <c r="W20" s="363">
        <f t="shared" si="14"/>
        <v>59866</v>
      </c>
      <c r="X20" s="964">
        <f t="shared" si="14"/>
        <v>51196</v>
      </c>
      <c r="Y20" s="954">
        <f t="shared" si="14"/>
        <v>0</v>
      </c>
      <c r="Z20" s="964">
        <f t="shared" si="14"/>
        <v>932807</v>
      </c>
      <c r="AA20" s="969">
        <f t="shared" si="3"/>
        <v>90000</v>
      </c>
      <c r="AB20" s="941">
        <f t="shared" si="4"/>
        <v>999216</v>
      </c>
      <c r="AC20" s="941">
        <f t="shared" si="5"/>
        <v>1089216</v>
      </c>
      <c r="AD20" s="970">
        <f t="shared" si="6"/>
        <v>1089216</v>
      </c>
    </row>
    <row r="21" spans="1:30" ht="26" x14ac:dyDescent="0.35">
      <c r="A21" s="183" t="s">
        <v>282</v>
      </c>
      <c r="B21" s="785"/>
      <c r="C21" s="360" t="s">
        <v>60</v>
      </c>
      <c r="D21" s="952">
        <f t="shared" ref="D21:N21" si="15">SUM(D22:D25)</f>
        <v>0</v>
      </c>
      <c r="E21" s="369"/>
      <c r="F21" s="369"/>
      <c r="G21" s="591">
        <v>85340</v>
      </c>
      <c r="H21" s="952"/>
      <c r="I21" s="369"/>
      <c r="J21" s="369">
        <f t="shared" si="15"/>
        <v>0</v>
      </c>
      <c r="K21" s="369"/>
      <c r="L21" s="953"/>
      <c r="M21" s="952"/>
      <c r="N21" s="369">
        <f t="shared" si="15"/>
        <v>0</v>
      </c>
      <c r="O21" s="368">
        <v>0</v>
      </c>
      <c r="P21" s="368">
        <v>0</v>
      </c>
      <c r="Q21" s="368">
        <v>78669</v>
      </c>
      <c r="R21" s="958"/>
      <c r="S21" s="960">
        <v>120000</v>
      </c>
      <c r="T21" s="368">
        <f t="shared" ref="T21:T28" si="16">SUM(D21,J21,N21,I21)</f>
        <v>0</v>
      </c>
      <c r="U21" s="1">
        <v>90000</v>
      </c>
      <c r="V21" s="508">
        <f t="shared" si="1"/>
        <v>90000</v>
      </c>
      <c r="W21" s="508">
        <f t="shared" si="2"/>
        <v>78669</v>
      </c>
      <c r="X21" s="591">
        <v>84880</v>
      </c>
      <c r="Y21" s="966"/>
      <c r="Z21" s="963"/>
      <c r="AA21" s="969">
        <f t="shared" si="3"/>
        <v>120000</v>
      </c>
      <c r="AB21" s="941">
        <f t="shared" si="4"/>
        <v>50220</v>
      </c>
      <c r="AC21" s="941">
        <f t="shared" si="5"/>
        <v>170220</v>
      </c>
      <c r="AD21" s="970">
        <f t="shared" si="6"/>
        <v>170220</v>
      </c>
    </row>
    <row r="22" spans="1:30" ht="26" hidden="1" x14ac:dyDescent="0.35">
      <c r="A22" s="80" t="s">
        <v>283</v>
      </c>
      <c r="B22" s="786"/>
      <c r="C22" s="360"/>
      <c r="D22" s="952"/>
      <c r="E22" s="369"/>
      <c r="F22" s="369"/>
      <c r="G22" s="953"/>
      <c r="H22" s="952"/>
      <c r="I22" s="369"/>
      <c r="J22" s="369"/>
      <c r="K22" s="369"/>
      <c r="L22" s="953"/>
      <c r="M22" s="952"/>
      <c r="N22" s="369"/>
      <c r="O22" s="368">
        <v>0</v>
      </c>
      <c r="P22" s="368">
        <v>0</v>
      </c>
      <c r="Q22" s="368"/>
      <c r="R22" s="958"/>
      <c r="S22" s="960"/>
      <c r="T22" s="368">
        <f t="shared" si="16"/>
        <v>0</v>
      </c>
      <c r="U22" s="1"/>
      <c r="V22" s="508">
        <f t="shared" si="1"/>
        <v>0</v>
      </c>
      <c r="W22" s="508">
        <f t="shared" si="2"/>
        <v>0</v>
      </c>
      <c r="X22" s="963"/>
      <c r="Y22" s="966"/>
      <c r="Z22" s="963"/>
      <c r="AA22" s="969">
        <f t="shared" si="3"/>
        <v>0</v>
      </c>
      <c r="AB22" s="941">
        <f t="shared" si="4"/>
        <v>0</v>
      </c>
      <c r="AC22" s="941">
        <f t="shared" si="5"/>
        <v>0</v>
      </c>
      <c r="AD22" s="970">
        <f t="shared" si="6"/>
        <v>0</v>
      </c>
    </row>
    <row r="23" spans="1:30" ht="26" hidden="1" x14ac:dyDescent="0.35">
      <c r="A23" s="80" t="s">
        <v>284</v>
      </c>
      <c r="B23" s="786"/>
      <c r="C23" s="360"/>
      <c r="D23" s="952"/>
      <c r="E23" s="369"/>
      <c r="F23" s="369"/>
      <c r="G23" s="953"/>
      <c r="H23" s="952"/>
      <c r="I23" s="369"/>
      <c r="J23" s="369"/>
      <c r="K23" s="369"/>
      <c r="L23" s="953"/>
      <c r="M23" s="952"/>
      <c r="N23" s="369"/>
      <c r="O23" s="368">
        <v>0</v>
      </c>
      <c r="P23" s="368">
        <v>0</v>
      </c>
      <c r="Q23" s="368"/>
      <c r="R23" s="958"/>
      <c r="S23" s="960"/>
      <c r="T23" s="368">
        <f t="shared" si="16"/>
        <v>0</v>
      </c>
      <c r="U23" s="1"/>
      <c r="V23" s="508">
        <f t="shared" si="1"/>
        <v>0</v>
      </c>
      <c r="W23" s="508">
        <f t="shared" si="2"/>
        <v>0</v>
      </c>
      <c r="X23" s="963"/>
      <c r="Y23" s="966"/>
      <c r="Z23" s="963"/>
      <c r="AA23" s="969">
        <f t="shared" si="3"/>
        <v>0</v>
      </c>
      <c r="AB23" s="941">
        <f t="shared" si="4"/>
        <v>0</v>
      </c>
      <c r="AC23" s="941">
        <f t="shared" si="5"/>
        <v>0</v>
      </c>
      <c r="AD23" s="970">
        <f t="shared" si="6"/>
        <v>0</v>
      </c>
    </row>
    <row r="24" spans="1:30" hidden="1" x14ac:dyDescent="0.35">
      <c r="A24" s="80" t="s">
        <v>285</v>
      </c>
      <c r="B24" s="786"/>
      <c r="C24" s="360"/>
      <c r="D24" s="952"/>
      <c r="E24" s="369"/>
      <c r="F24" s="369"/>
      <c r="G24" s="953"/>
      <c r="H24" s="952"/>
      <c r="I24" s="369"/>
      <c r="J24" s="369"/>
      <c r="K24" s="369"/>
      <c r="L24" s="953"/>
      <c r="M24" s="952"/>
      <c r="N24" s="369"/>
      <c r="O24" s="368">
        <v>0</v>
      </c>
      <c r="P24" s="368">
        <v>0</v>
      </c>
      <c r="Q24" s="368"/>
      <c r="R24" s="958"/>
      <c r="S24" s="960"/>
      <c r="T24" s="368">
        <f t="shared" si="16"/>
        <v>0</v>
      </c>
      <c r="U24" s="1"/>
      <c r="V24" s="508">
        <f t="shared" si="1"/>
        <v>0</v>
      </c>
      <c r="W24" s="508">
        <f t="shared" si="2"/>
        <v>0</v>
      </c>
      <c r="X24" s="963"/>
      <c r="Y24" s="966"/>
      <c r="Z24" s="963"/>
      <c r="AA24" s="969">
        <f t="shared" si="3"/>
        <v>0</v>
      </c>
      <c r="AB24" s="941">
        <f t="shared" si="4"/>
        <v>0</v>
      </c>
      <c r="AC24" s="941">
        <f t="shared" si="5"/>
        <v>0</v>
      </c>
      <c r="AD24" s="970">
        <f t="shared" si="6"/>
        <v>0</v>
      </c>
    </row>
    <row r="25" spans="1:30" ht="26" hidden="1" x14ac:dyDescent="0.35">
      <c r="A25" s="80" t="s">
        <v>286</v>
      </c>
      <c r="B25" s="786"/>
      <c r="C25" s="360"/>
      <c r="D25" s="952"/>
      <c r="E25" s="369"/>
      <c r="F25" s="369"/>
      <c r="G25" s="953"/>
      <c r="H25" s="952"/>
      <c r="I25" s="369"/>
      <c r="J25" s="369"/>
      <c r="K25" s="369"/>
      <c r="L25" s="953"/>
      <c r="M25" s="952"/>
      <c r="N25" s="369"/>
      <c r="O25" s="368">
        <v>0</v>
      </c>
      <c r="P25" s="368">
        <v>0</v>
      </c>
      <c r="Q25" s="368"/>
      <c r="R25" s="958"/>
      <c r="S25" s="960"/>
      <c r="T25" s="368">
        <f t="shared" si="16"/>
        <v>0</v>
      </c>
      <c r="U25" s="1"/>
      <c r="V25" s="508">
        <f t="shared" si="1"/>
        <v>0</v>
      </c>
      <c r="W25" s="508">
        <f t="shared" si="2"/>
        <v>0</v>
      </c>
      <c r="X25" s="963"/>
      <c r="Y25" s="966"/>
      <c r="Z25" s="963"/>
      <c r="AA25" s="969">
        <f t="shared" si="3"/>
        <v>0</v>
      </c>
      <c r="AB25" s="941">
        <f t="shared" si="4"/>
        <v>0</v>
      </c>
      <c r="AC25" s="941">
        <f t="shared" si="5"/>
        <v>0</v>
      </c>
      <c r="AD25" s="970">
        <f t="shared" si="6"/>
        <v>0</v>
      </c>
    </row>
    <row r="26" spans="1:30" s="629" customFormat="1" ht="27" x14ac:dyDescent="0.35">
      <c r="A26" s="623" t="s">
        <v>287</v>
      </c>
      <c r="B26" s="788"/>
      <c r="C26" s="624" t="s">
        <v>64</v>
      </c>
      <c r="D26" s="956">
        <f t="shared" ref="D26:N26" si="17">SUM(D27:D28)</f>
        <v>20000</v>
      </c>
      <c r="E26" s="625">
        <v>77950</v>
      </c>
      <c r="F26" s="625"/>
      <c r="G26" s="591">
        <v>85915</v>
      </c>
      <c r="H26" s="956"/>
      <c r="I26" s="625"/>
      <c r="J26" s="625">
        <f t="shared" si="17"/>
        <v>0</v>
      </c>
      <c r="K26" s="625"/>
      <c r="L26" s="957"/>
      <c r="M26" s="956"/>
      <c r="N26" s="625">
        <f t="shared" si="17"/>
        <v>0</v>
      </c>
      <c r="O26" s="626">
        <v>4000</v>
      </c>
      <c r="P26" s="626">
        <v>4000</v>
      </c>
      <c r="Q26" s="626"/>
      <c r="R26" s="959"/>
      <c r="S26" s="961">
        <v>0</v>
      </c>
      <c r="T26" s="626">
        <f>SUM(T27:T28)</f>
        <v>20000</v>
      </c>
      <c r="U26" s="627">
        <v>70000</v>
      </c>
      <c r="V26" s="628">
        <f t="shared" si="1"/>
        <v>90000</v>
      </c>
      <c r="W26" s="628">
        <f t="shared" si="2"/>
        <v>77950</v>
      </c>
      <c r="X26" s="965"/>
      <c r="Y26" s="967"/>
      <c r="Z26" s="965"/>
      <c r="AA26" s="969">
        <f t="shared" si="3"/>
        <v>0</v>
      </c>
      <c r="AB26" s="941">
        <f t="shared" si="4"/>
        <v>85915</v>
      </c>
      <c r="AC26" s="941">
        <f t="shared" si="5"/>
        <v>85915</v>
      </c>
      <c r="AD26" s="970">
        <f t="shared" si="6"/>
        <v>85915</v>
      </c>
    </row>
    <row r="27" spans="1:30" ht="26" hidden="1" x14ac:dyDescent="0.35">
      <c r="A27" s="80" t="s">
        <v>288</v>
      </c>
      <c r="B27" s="786"/>
      <c r="C27" s="360"/>
      <c r="D27" s="952">
        <v>20000</v>
      </c>
      <c r="E27" s="369"/>
      <c r="F27" s="369">
        <v>20000</v>
      </c>
      <c r="G27" s="953"/>
      <c r="H27" s="952"/>
      <c r="I27" s="369"/>
      <c r="J27" s="369"/>
      <c r="K27" s="369"/>
      <c r="L27" s="953"/>
      <c r="M27" s="952"/>
      <c r="N27" s="369"/>
      <c r="O27" s="368">
        <v>4000</v>
      </c>
      <c r="P27" s="368">
        <v>4000</v>
      </c>
      <c r="Q27" s="368"/>
      <c r="R27" s="958"/>
      <c r="S27" s="960"/>
      <c r="T27" s="368">
        <f t="shared" si="16"/>
        <v>20000</v>
      </c>
      <c r="U27" s="1"/>
      <c r="V27" s="508">
        <f t="shared" si="1"/>
        <v>20000</v>
      </c>
      <c r="W27" s="508">
        <f t="shared" si="2"/>
        <v>0</v>
      </c>
      <c r="X27" s="963"/>
      <c r="Y27" s="966"/>
      <c r="Z27" s="963"/>
      <c r="AA27" s="969">
        <f t="shared" si="3"/>
        <v>20000</v>
      </c>
      <c r="AB27" s="941">
        <f t="shared" si="4"/>
        <v>-20000</v>
      </c>
      <c r="AC27" s="941">
        <f t="shared" si="5"/>
        <v>0</v>
      </c>
      <c r="AD27" s="970">
        <f t="shared" si="6"/>
        <v>0</v>
      </c>
    </row>
    <row r="28" spans="1:30" ht="26" hidden="1" x14ac:dyDescent="0.35">
      <c r="A28" s="80" t="s">
        <v>289</v>
      </c>
      <c r="B28" s="786"/>
      <c r="C28" s="360"/>
      <c r="D28" s="952"/>
      <c r="E28" s="369"/>
      <c r="F28" s="369"/>
      <c r="G28" s="953"/>
      <c r="H28" s="952"/>
      <c r="I28" s="369"/>
      <c r="J28" s="369"/>
      <c r="K28" s="369"/>
      <c r="L28" s="953"/>
      <c r="M28" s="952"/>
      <c r="N28" s="369"/>
      <c r="O28" s="368">
        <v>0</v>
      </c>
      <c r="P28" s="368">
        <v>0</v>
      </c>
      <c r="Q28" s="368"/>
      <c r="R28" s="958"/>
      <c r="S28" s="960"/>
      <c r="T28" s="368">
        <f t="shared" si="16"/>
        <v>0</v>
      </c>
      <c r="U28" s="1"/>
      <c r="V28" s="508">
        <f t="shared" si="1"/>
        <v>0</v>
      </c>
      <c r="W28" s="508">
        <f t="shared" si="2"/>
        <v>0</v>
      </c>
      <c r="X28" s="963"/>
      <c r="Y28" s="966"/>
      <c r="Z28" s="963"/>
      <c r="AA28" s="969">
        <f t="shared" si="3"/>
        <v>0</v>
      </c>
      <c r="AB28" s="941">
        <f t="shared" si="4"/>
        <v>0</v>
      </c>
      <c r="AC28" s="941">
        <f t="shared" si="5"/>
        <v>0</v>
      </c>
      <c r="AD28" s="970">
        <f t="shared" si="6"/>
        <v>0</v>
      </c>
    </row>
    <row r="29" spans="1:30" s="530" customFormat="1" x14ac:dyDescent="0.35">
      <c r="A29" s="620" t="s">
        <v>68</v>
      </c>
      <c r="B29" s="787"/>
      <c r="C29" s="621" t="s">
        <v>69</v>
      </c>
      <c r="D29" s="954">
        <f>SUM(D21,D26)</f>
        <v>20000</v>
      </c>
      <c r="E29" s="363">
        <f t="shared" ref="E29" si="18">SUM(E21,E26)</f>
        <v>77950</v>
      </c>
      <c r="F29" s="363">
        <f>F21+F26</f>
        <v>0</v>
      </c>
      <c r="G29" s="363">
        <f t="shared" ref="G29:AD29" si="19">G21+G26</f>
        <v>171255</v>
      </c>
      <c r="H29" s="363">
        <f t="shared" si="19"/>
        <v>0</v>
      </c>
      <c r="I29" s="363">
        <f t="shared" si="19"/>
        <v>0</v>
      </c>
      <c r="J29" s="363">
        <f t="shared" si="19"/>
        <v>0</v>
      </c>
      <c r="K29" s="363">
        <f t="shared" si="19"/>
        <v>0</v>
      </c>
      <c r="L29" s="363">
        <f t="shared" si="19"/>
        <v>0</v>
      </c>
      <c r="M29" s="363">
        <f t="shared" si="19"/>
        <v>0</v>
      </c>
      <c r="N29" s="363">
        <f t="shared" si="19"/>
        <v>0</v>
      </c>
      <c r="O29" s="363">
        <f t="shared" si="19"/>
        <v>4000</v>
      </c>
      <c r="P29" s="363">
        <f t="shared" si="19"/>
        <v>4000</v>
      </c>
      <c r="Q29" s="363">
        <f t="shared" si="19"/>
        <v>78669</v>
      </c>
      <c r="R29" s="363">
        <f t="shared" si="19"/>
        <v>0</v>
      </c>
      <c r="S29" s="363">
        <f t="shared" si="19"/>
        <v>120000</v>
      </c>
      <c r="T29" s="363">
        <f t="shared" si="19"/>
        <v>20000</v>
      </c>
      <c r="U29" s="363">
        <f t="shared" si="19"/>
        <v>160000</v>
      </c>
      <c r="V29" s="363">
        <f t="shared" si="19"/>
        <v>180000</v>
      </c>
      <c r="W29" s="363">
        <f t="shared" si="19"/>
        <v>156619</v>
      </c>
      <c r="X29" s="363">
        <f t="shared" si="19"/>
        <v>84880</v>
      </c>
      <c r="Y29" s="363">
        <f t="shared" si="19"/>
        <v>0</v>
      </c>
      <c r="Z29" s="363">
        <f t="shared" si="19"/>
        <v>0</v>
      </c>
      <c r="AA29" s="363">
        <f t="shared" si="19"/>
        <v>120000</v>
      </c>
      <c r="AB29" s="363">
        <f t="shared" si="19"/>
        <v>136135</v>
      </c>
      <c r="AC29" s="363">
        <f t="shared" si="19"/>
        <v>256135</v>
      </c>
      <c r="AD29" s="363">
        <f t="shared" si="19"/>
        <v>256135</v>
      </c>
    </row>
    <row r="30" spans="1:30" x14ac:dyDescent="0.35">
      <c r="A30" s="183" t="s">
        <v>290</v>
      </c>
      <c r="B30" s="785"/>
      <c r="C30" s="360" t="s">
        <v>71</v>
      </c>
      <c r="D30" s="950">
        <f t="shared" ref="D30:N30" si="20">SUM(D31:D33)</f>
        <v>0</v>
      </c>
      <c r="E30" s="365"/>
      <c r="F30" s="365"/>
      <c r="G30" s="951"/>
      <c r="H30" s="950"/>
      <c r="I30" s="365"/>
      <c r="J30" s="365">
        <f t="shared" si="20"/>
        <v>0</v>
      </c>
      <c r="K30" s="365"/>
      <c r="L30" s="591">
        <v>16110</v>
      </c>
      <c r="M30" s="950"/>
      <c r="N30" s="365">
        <f t="shared" si="20"/>
        <v>0</v>
      </c>
      <c r="O30" s="368">
        <v>0</v>
      </c>
      <c r="P30" s="368">
        <v>0</v>
      </c>
      <c r="Q30" s="368">
        <v>54625</v>
      </c>
      <c r="R30" s="958"/>
      <c r="S30" s="960">
        <v>300000</v>
      </c>
      <c r="T30" s="368">
        <f t="shared" ref="T30:T37" si="21">SUM(D30,J30,N30,I30)</f>
        <v>0</v>
      </c>
      <c r="U30" s="1">
        <v>127553</v>
      </c>
      <c r="V30" s="508">
        <f t="shared" si="1"/>
        <v>127553</v>
      </c>
      <c r="W30" s="508">
        <f t="shared" si="2"/>
        <v>54625</v>
      </c>
      <c r="X30" s="591">
        <v>168141</v>
      </c>
      <c r="Y30" s="966"/>
      <c r="Z30" s="963"/>
      <c r="AA30" s="969">
        <f t="shared" si="3"/>
        <v>300000</v>
      </c>
      <c r="AB30" s="941">
        <f t="shared" si="4"/>
        <v>-115749</v>
      </c>
      <c r="AC30" s="941">
        <f t="shared" si="5"/>
        <v>184251</v>
      </c>
      <c r="AD30" s="970">
        <f t="shared" si="6"/>
        <v>184251</v>
      </c>
    </row>
    <row r="31" spans="1:30" hidden="1" x14ac:dyDescent="0.35">
      <c r="A31" s="80" t="s">
        <v>291</v>
      </c>
      <c r="B31" s="786"/>
      <c r="C31" s="360"/>
      <c r="D31" s="952"/>
      <c r="E31" s="369"/>
      <c r="F31" s="369"/>
      <c r="G31" s="953"/>
      <c r="H31" s="952"/>
      <c r="I31" s="369"/>
      <c r="J31" s="369"/>
      <c r="K31" s="369"/>
      <c r="L31" s="953"/>
      <c r="M31" s="952"/>
      <c r="N31" s="369"/>
      <c r="O31" s="368">
        <v>0</v>
      </c>
      <c r="P31" s="368">
        <v>0</v>
      </c>
      <c r="Q31" s="368"/>
      <c r="R31" s="958"/>
      <c r="S31" s="960"/>
      <c r="T31" s="368">
        <f t="shared" si="21"/>
        <v>0</v>
      </c>
      <c r="U31" s="1"/>
      <c r="V31" s="508">
        <f t="shared" si="1"/>
        <v>0</v>
      </c>
      <c r="W31" s="508">
        <f t="shared" si="2"/>
        <v>0</v>
      </c>
      <c r="X31" s="963"/>
      <c r="Y31" s="966"/>
      <c r="Z31" s="963"/>
      <c r="AA31" s="969">
        <f t="shared" si="3"/>
        <v>0</v>
      </c>
      <c r="AB31" s="941">
        <f t="shared" si="4"/>
        <v>0</v>
      </c>
      <c r="AC31" s="941">
        <f t="shared" si="5"/>
        <v>0</v>
      </c>
      <c r="AD31" s="970">
        <f t="shared" si="6"/>
        <v>0</v>
      </c>
    </row>
    <row r="32" spans="1:30" hidden="1" x14ac:dyDescent="0.35">
      <c r="A32" s="80" t="s">
        <v>292</v>
      </c>
      <c r="B32" s="786"/>
      <c r="C32" s="360"/>
      <c r="D32" s="952"/>
      <c r="E32" s="369"/>
      <c r="F32" s="369"/>
      <c r="G32" s="953"/>
      <c r="H32" s="952"/>
      <c r="I32" s="369"/>
      <c r="J32" s="369"/>
      <c r="K32" s="369"/>
      <c r="L32" s="953"/>
      <c r="M32" s="952"/>
      <c r="N32" s="369"/>
      <c r="O32" s="368">
        <v>0</v>
      </c>
      <c r="P32" s="368">
        <v>0</v>
      </c>
      <c r="Q32" s="368"/>
      <c r="R32" s="958"/>
      <c r="S32" s="960"/>
      <c r="T32" s="368">
        <f t="shared" si="21"/>
        <v>0</v>
      </c>
      <c r="U32" s="1"/>
      <c r="V32" s="508">
        <f t="shared" si="1"/>
        <v>0</v>
      </c>
      <c r="W32" s="508">
        <f t="shared" si="2"/>
        <v>0</v>
      </c>
      <c r="X32" s="963"/>
      <c r="Y32" s="966"/>
      <c r="Z32" s="963"/>
      <c r="AA32" s="969">
        <f t="shared" si="3"/>
        <v>0</v>
      </c>
      <c r="AB32" s="941">
        <f t="shared" si="4"/>
        <v>0</v>
      </c>
      <c r="AC32" s="941">
        <f t="shared" si="5"/>
        <v>0</v>
      </c>
      <c r="AD32" s="970">
        <f t="shared" si="6"/>
        <v>0</v>
      </c>
    </row>
    <row r="33" spans="1:30" hidden="1" x14ac:dyDescent="0.35">
      <c r="A33" s="80" t="s">
        <v>293</v>
      </c>
      <c r="B33" s="786"/>
      <c r="C33" s="360"/>
      <c r="D33" s="952"/>
      <c r="E33" s="369"/>
      <c r="F33" s="369"/>
      <c r="G33" s="953"/>
      <c r="H33" s="952"/>
      <c r="I33" s="369"/>
      <c r="J33" s="369"/>
      <c r="K33" s="369"/>
      <c r="L33" s="953"/>
      <c r="M33" s="952"/>
      <c r="N33" s="369"/>
      <c r="O33" s="368">
        <v>0</v>
      </c>
      <c r="P33" s="368">
        <v>0</v>
      </c>
      <c r="Q33" s="368"/>
      <c r="R33" s="958"/>
      <c r="S33" s="960"/>
      <c r="T33" s="368">
        <f t="shared" si="21"/>
        <v>0</v>
      </c>
      <c r="U33" s="1"/>
      <c r="V33" s="508">
        <f t="shared" si="1"/>
        <v>0</v>
      </c>
      <c r="W33" s="508">
        <f t="shared" si="2"/>
        <v>0</v>
      </c>
      <c r="X33" s="963"/>
      <c r="Y33" s="966"/>
      <c r="Z33" s="963"/>
      <c r="AA33" s="969">
        <f t="shared" si="3"/>
        <v>0</v>
      </c>
      <c r="AB33" s="941">
        <f t="shared" si="4"/>
        <v>0</v>
      </c>
      <c r="AC33" s="941">
        <f t="shared" si="5"/>
        <v>0</v>
      </c>
      <c r="AD33" s="970">
        <f t="shared" si="6"/>
        <v>0</v>
      </c>
    </row>
    <row r="34" spans="1:30" x14ac:dyDescent="0.35">
      <c r="A34" s="183" t="s">
        <v>294</v>
      </c>
      <c r="B34" s="785"/>
      <c r="C34" s="360" t="s">
        <v>76</v>
      </c>
      <c r="D34" s="952"/>
      <c r="E34" s="369">
        <v>-36944</v>
      </c>
      <c r="F34" s="369"/>
      <c r="G34" s="953"/>
      <c r="H34" s="952"/>
      <c r="I34" s="369"/>
      <c r="J34" s="369"/>
      <c r="K34" s="369"/>
      <c r="L34" s="953"/>
      <c r="M34" s="952"/>
      <c r="N34" s="369"/>
      <c r="O34" s="368">
        <v>0</v>
      </c>
      <c r="P34" s="368">
        <v>0</v>
      </c>
      <c r="Q34" s="368"/>
      <c r="R34" s="958"/>
      <c r="S34" s="960"/>
      <c r="T34" s="368">
        <f t="shared" si="21"/>
        <v>0</v>
      </c>
      <c r="U34" s="1"/>
      <c r="V34" s="508">
        <f t="shared" si="1"/>
        <v>0</v>
      </c>
      <c r="W34" s="508">
        <f t="shared" si="2"/>
        <v>-36944</v>
      </c>
      <c r="X34" s="963"/>
      <c r="Y34" s="966"/>
      <c r="Z34" s="963"/>
      <c r="AA34" s="969">
        <f t="shared" si="3"/>
        <v>0</v>
      </c>
      <c r="AB34" s="941">
        <f t="shared" si="4"/>
        <v>0</v>
      </c>
      <c r="AC34" s="941">
        <f t="shared" si="5"/>
        <v>0</v>
      </c>
      <c r="AD34" s="970">
        <f t="shared" si="6"/>
        <v>0</v>
      </c>
    </row>
    <row r="35" spans="1:30" x14ac:dyDescent="0.35">
      <c r="A35" s="183" t="s">
        <v>295</v>
      </c>
      <c r="B35" s="785"/>
      <c r="C35" s="360" t="s">
        <v>79</v>
      </c>
      <c r="D35" s="952"/>
      <c r="E35" s="369"/>
      <c r="F35" s="369"/>
      <c r="G35" s="953"/>
      <c r="H35" s="952"/>
      <c r="I35" s="369"/>
      <c r="J35" s="369"/>
      <c r="K35" s="369"/>
      <c r="L35" s="953"/>
      <c r="M35" s="952"/>
      <c r="N35" s="369"/>
      <c r="O35" s="368">
        <v>0</v>
      </c>
      <c r="P35" s="368">
        <v>0</v>
      </c>
      <c r="Q35" s="368"/>
      <c r="R35" s="958"/>
      <c r="S35" s="960"/>
      <c r="T35" s="368">
        <f t="shared" si="21"/>
        <v>0</v>
      </c>
      <c r="U35" s="1"/>
      <c r="V35" s="508">
        <f t="shared" si="1"/>
        <v>0</v>
      </c>
      <c r="W35" s="508">
        <f t="shared" si="2"/>
        <v>0</v>
      </c>
      <c r="X35" s="963"/>
      <c r="Y35" s="966"/>
      <c r="Z35" s="963"/>
      <c r="AA35" s="969">
        <f t="shared" si="3"/>
        <v>0</v>
      </c>
      <c r="AB35" s="941">
        <f t="shared" si="4"/>
        <v>0</v>
      </c>
      <c r="AC35" s="941">
        <f t="shared" si="5"/>
        <v>0</v>
      </c>
      <c r="AD35" s="970">
        <f t="shared" si="6"/>
        <v>0</v>
      </c>
    </row>
    <row r="36" spans="1:30" ht="26" x14ac:dyDescent="0.35">
      <c r="A36" s="183" t="s">
        <v>159</v>
      </c>
      <c r="B36" s="785"/>
      <c r="C36" s="360" t="s">
        <v>80</v>
      </c>
      <c r="D36" s="952">
        <v>20000</v>
      </c>
      <c r="E36" s="369"/>
      <c r="F36" s="369">
        <v>20000</v>
      </c>
      <c r="G36" s="591">
        <v>20000</v>
      </c>
      <c r="H36" s="952"/>
      <c r="I36" s="369"/>
      <c r="J36" s="369"/>
      <c r="K36" s="369">
        <v>14900</v>
      </c>
      <c r="L36" s="591">
        <v>18000</v>
      </c>
      <c r="M36" s="952"/>
      <c r="N36" s="369"/>
      <c r="O36" s="368">
        <v>0</v>
      </c>
      <c r="P36" s="368">
        <v>0</v>
      </c>
      <c r="Q36" s="368"/>
      <c r="R36" s="958"/>
      <c r="S36" s="960">
        <v>100000</v>
      </c>
      <c r="T36" s="368">
        <f t="shared" si="21"/>
        <v>20000</v>
      </c>
      <c r="U36" s="1"/>
      <c r="V36" s="508">
        <f t="shared" si="1"/>
        <v>20000</v>
      </c>
      <c r="W36" s="508">
        <f t="shared" si="2"/>
        <v>14900</v>
      </c>
      <c r="X36" s="591">
        <v>24440</v>
      </c>
      <c r="Y36" s="966"/>
      <c r="Z36" s="963"/>
      <c r="AA36" s="969">
        <f t="shared" si="3"/>
        <v>120000</v>
      </c>
      <c r="AB36" s="941">
        <f t="shared" si="4"/>
        <v>-57560</v>
      </c>
      <c r="AC36" s="941">
        <f t="shared" si="5"/>
        <v>62440</v>
      </c>
      <c r="AD36" s="970">
        <f t="shared" si="6"/>
        <v>62440</v>
      </c>
    </row>
    <row r="37" spans="1:30" x14ac:dyDescent="0.35">
      <c r="A37" s="183" t="s">
        <v>81</v>
      </c>
      <c r="B37" s="785"/>
      <c r="C37" s="360" t="s">
        <v>82</v>
      </c>
      <c r="D37" s="952"/>
      <c r="E37" s="369"/>
      <c r="F37" s="369"/>
      <c r="G37" s="953"/>
      <c r="H37" s="952"/>
      <c r="I37" s="369"/>
      <c r="J37" s="369"/>
      <c r="K37" s="369"/>
      <c r="L37" s="953"/>
      <c r="M37" s="952"/>
      <c r="N37" s="369"/>
      <c r="O37" s="368">
        <v>0</v>
      </c>
      <c r="P37" s="368">
        <v>0</v>
      </c>
      <c r="Q37" s="368"/>
      <c r="R37" s="958"/>
      <c r="S37" s="960"/>
      <c r="T37" s="368">
        <f t="shared" si="21"/>
        <v>0</v>
      </c>
      <c r="U37" s="1"/>
      <c r="V37" s="508">
        <f t="shared" si="1"/>
        <v>0</v>
      </c>
      <c r="W37" s="508">
        <f t="shared" si="2"/>
        <v>0</v>
      </c>
      <c r="X37" s="963"/>
      <c r="Y37" s="966"/>
      <c r="Z37" s="963"/>
      <c r="AA37" s="969">
        <f t="shared" si="3"/>
        <v>0</v>
      </c>
      <c r="AB37" s="941">
        <f t="shared" si="4"/>
        <v>0</v>
      </c>
      <c r="AC37" s="941">
        <f t="shared" si="5"/>
        <v>0</v>
      </c>
      <c r="AD37" s="970">
        <f t="shared" si="6"/>
        <v>0</v>
      </c>
    </row>
    <row r="38" spans="1:30" ht="26" x14ac:dyDescent="0.35">
      <c r="A38" s="183" t="s">
        <v>296</v>
      </c>
      <c r="B38" s="785"/>
      <c r="C38" s="360" t="s">
        <v>84</v>
      </c>
      <c r="D38" s="950">
        <f>SUM(D39:D41)</f>
        <v>10000</v>
      </c>
      <c r="E38" s="365">
        <v>5000</v>
      </c>
      <c r="F38" s="365">
        <f>SUM(F39:F41)</f>
        <v>10000</v>
      </c>
      <c r="G38" s="951"/>
      <c r="H38" s="950"/>
      <c r="I38" s="365">
        <f t="shared" ref="I38:U38" si="22">SUM(I39:I41)</f>
        <v>0</v>
      </c>
      <c r="J38" s="365">
        <f t="shared" si="22"/>
        <v>2231592</v>
      </c>
      <c r="K38" s="365">
        <v>1673694</v>
      </c>
      <c r="L38" s="951"/>
      <c r="M38" s="950">
        <v>2502000</v>
      </c>
      <c r="N38" s="365">
        <f t="shared" si="22"/>
        <v>100000</v>
      </c>
      <c r="O38" s="365">
        <f t="shared" ref="O38" si="23">SUM(O39:O41)</f>
        <v>2394000</v>
      </c>
      <c r="P38" s="365">
        <f t="shared" ref="P38" si="24">SUM(P39:P41)</f>
        <v>2394000</v>
      </c>
      <c r="Q38" s="365">
        <f t="shared" ref="Q38" si="25">SUM(Q39:Q41)</f>
        <v>0</v>
      </c>
      <c r="R38" s="591">
        <v>2502000</v>
      </c>
      <c r="S38" s="950"/>
      <c r="T38" s="365">
        <f t="shared" si="22"/>
        <v>2341592</v>
      </c>
      <c r="U38" s="365">
        <f t="shared" si="22"/>
        <v>0</v>
      </c>
      <c r="V38" s="508">
        <f t="shared" si="1"/>
        <v>2341592</v>
      </c>
      <c r="W38" s="508">
        <f t="shared" si="2"/>
        <v>1678694</v>
      </c>
      <c r="X38" s="591">
        <v>470000</v>
      </c>
      <c r="Y38" s="966"/>
      <c r="Z38" s="963"/>
      <c r="AA38" s="969">
        <f t="shared" si="3"/>
        <v>2512000</v>
      </c>
      <c r="AB38" s="941">
        <f t="shared" si="4"/>
        <v>460000</v>
      </c>
      <c r="AC38" s="941">
        <f t="shared" si="5"/>
        <v>2972000</v>
      </c>
      <c r="AD38" s="970">
        <f t="shared" si="6"/>
        <v>2972000</v>
      </c>
    </row>
    <row r="39" spans="1:30" hidden="1" x14ac:dyDescent="0.35">
      <c r="A39" s="80" t="s">
        <v>85</v>
      </c>
      <c r="B39" s="786"/>
      <c r="C39" s="360"/>
      <c r="D39" s="952"/>
      <c r="E39" s="369"/>
      <c r="F39" s="369"/>
      <c r="G39" s="953"/>
      <c r="H39" s="952"/>
      <c r="I39" s="369"/>
      <c r="J39" s="369"/>
      <c r="K39" s="369"/>
      <c r="L39" s="953"/>
      <c r="M39" s="952"/>
      <c r="N39" s="369"/>
      <c r="O39" s="368">
        <v>0</v>
      </c>
      <c r="P39" s="368">
        <v>0</v>
      </c>
      <c r="Q39" s="368"/>
      <c r="R39" s="958"/>
      <c r="S39" s="960"/>
      <c r="T39" s="368">
        <f>SUM(D39,J39,N39,I39)</f>
        <v>0</v>
      </c>
      <c r="U39" s="1"/>
      <c r="V39" s="508">
        <f t="shared" si="1"/>
        <v>0</v>
      </c>
      <c r="W39" s="508">
        <f t="shared" si="2"/>
        <v>0</v>
      </c>
      <c r="X39" s="963"/>
      <c r="Y39" s="966"/>
      <c r="Z39" s="963"/>
      <c r="AA39" s="969">
        <f t="shared" si="3"/>
        <v>0</v>
      </c>
      <c r="AB39" s="941">
        <f t="shared" si="4"/>
        <v>0</v>
      </c>
      <c r="AC39" s="941">
        <f t="shared" si="5"/>
        <v>0</v>
      </c>
      <c r="AD39" s="970">
        <f t="shared" si="6"/>
        <v>0</v>
      </c>
    </row>
    <row r="40" spans="1:30" hidden="1" x14ac:dyDescent="0.35">
      <c r="A40" s="80" t="s">
        <v>86</v>
      </c>
      <c r="B40" s="786"/>
      <c r="C40" s="360"/>
      <c r="D40" s="952"/>
      <c r="E40" s="369"/>
      <c r="F40" s="369"/>
      <c r="G40" s="953"/>
      <c r="H40" s="952"/>
      <c r="I40" s="369"/>
      <c r="J40" s="369"/>
      <c r="K40" s="369"/>
      <c r="L40" s="953"/>
      <c r="M40" s="952"/>
      <c r="N40" s="369"/>
      <c r="O40" s="368">
        <v>0</v>
      </c>
      <c r="P40" s="368">
        <v>0</v>
      </c>
      <c r="Q40" s="368"/>
      <c r="R40" s="958"/>
      <c r="S40" s="960"/>
      <c r="T40" s="368">
        <f>SUM(D40,J40,N40,I40)</f>
        <v>0</v>
      </c>
      <c r="U40" s="1"/>
      <c r="V40" s="508">
        <f t="shared" si="1"/>
        <v>0</v>
      </c>
      <c r="W40" s="508">
        <f t="shared" si="2"/>
        <v>0</v>
      </c>
      <c r="X40" s="963"/>
      <c r="Y40" s="966"/>
      <c r="Z40" s="963"/>
      <c r="AA40" s="969">
        <f t="shared" si="3"/>
        <v>0</v>
      </c>
      <c r="AB40" s="941">
        <f t="shared" si="4"/>
        <v>0</v>
      </c>
      <c r="AC40" s="941">
        <f t="shared" si="5"/>
        <v>0</v>
      </c>
      <c r="AD40" s="970">
        <f t="shared" si="6"/>
        <v>0</v>
      </c>
    </row>
    <row r="41" spans="1:30" hidden="1" x14ac:dyDescent="0.35">
      <c r="A41" s="80" t="s">
        <v>297</v>
      </c>
      <c r="B41" s="786"/>
      <c r="C41" s="360"/>
      <c r="D41" s="952">
        <v>10000</v>
      </c>
      <c r="E41" s="369"/>
      <c r="F41" s="369">
        <v>10000</v>
      </c>
      <c r="G41" s="953"/>
      <c r="H41" s="952"/>
      <c r="I41" s="369"/>
      <c r="J41" s="369">
        <v>2231592</v>
      </c>
      <c r="K41" s="369"/>
      <c r="L41" s="953"/>
      <c r="M41" s="952"/>
      <c r="N41" s="437">
        <v>100000</v>
      </c>
      <c r="O41" s="368">
        <v>2394000</v>
      </c>
      <c r="P41" s="368">
        <v>2394000</v>
      </c>
      <c r="Q41" s="368"/>
      <c r="R41" s="958"/>
      <c r="S41" s="960"/>
      <c r="T41" s="368">
        <f>SUM(D41,J41,N41,I41)</f>
        <v>2341592</v>
      </c>
      <c r="U41" s="1"/>
      <c r="V41" s="508">
        <f t="shared" si="1"/>
        <v>2341592</v>
      </c>
      <c r="W41" s="508">
        <f t="shared" si="2"/>
        <v>0</v>
      </c>
      <c r="X41" s="963"/>
      <c r="Y41" s="966"/>
      <c r="Z41" s="963"/>
      <c r="AA41" s="969">
        <f t="shared" si="3"/>
        <v>10000</v>
      </c>
      <c r="AB41" s="941">
        <f t="shared" si="4"/>
        <v>-10000</v>
      </c>
      <c r="AC41" s="941">
        <f t="shared" si="5"/>
        <v>0</v>
      </c>
      <c r="AD41" s="970">
        <f t="shared" si="6"/>
        <v>0</v>
      </c>
    </row>
    <row r="42" spans="1:30" ht="26" x14ac:dyDescent="0.35">
      <c r="A42" s="183" t="s">
        <v>298</v>
      </c>
      <c r="B42" s="785" t="s">
        <v>999</v>
      </c>
      <c r="C42" s="360" t="s">
        <v>88</v>
      </c>
      <c r="D42" s="950">
        <f t="shared" ref="D42:T42" si="26">SUM(D43:D48)</f>
        <v>36400</v>
      </c>
      <c r="E42" s="365">
        <v>235489</v>
      </c>
      <c r="F42" s="365">
        <f>SUM(F43:F48)</f>
        <v>186400</v>
      </c>
      <c r="G42" s="591">
        <v>39192</v>
      </c>
      <c r="H42" s="950">
        <v>0</v>
      </c>
      <c r="I42" s="365">
        <f t="shared" si="26"/>
        <v>0</v>
      </c>
      <c r="J42" s="365">
        <f t="shared" si="26"/>
        <v>0</v>
      </c>
      <c r="K42" s="365">
        <f t="shared" si="26"/>
        <v>0</v>
      </c>
      <c r="L42" s="951"/>
      <c r="M42" s="950"/>
      <c r="N42" s="365">
        <f t="shared" si="26"/>
        <v>0</v>
      </c>
      <c r="O42" s="365">
        <f t="shared" si="26"/>
        <v>12000</v>
      </c>
      <c r="P42" s="365">
        <f t="shared" si="26"/>
        <v>12000</v>
      </c>
      <c r="Q42" s="365">
        <v>88853</v>
      </c>
      <c r="R42" s="951"/>
      <c r="S42" s="950">
        <v>990000</v>
      </c>
      <c r="T42" s="365">
        <f t="shared" si="26"/>
        <v>36400</v>
      </c>
      <c r="U42" s="365">
        <v>290000</v>
      </c>
      <c r="V42" s="508">
        <f t="shared" si="1"/>
        <v>326400</v>
      </c>
      <c r="W42" s="508">
        <f t="shared" si="2"/>
        <v>324342</v>
      </c>
      <c r="X42" s="591">
        <v>151918</v>
      </c>
      <c r="Y42" s="966"/>
      <c r="Z42" s="591">
        <v>4086</v>
      </c>
      <c r="AA42" s="969">
        <f t="shared" si="3"/>
        <v>1176400</v>
      </c>
      <c r="AB42" s="941">
        <f t="shared" si="4"/>
        <v>-981204</v>
      </c>
      <c r="AC42" s="941">
        <f t="shared" si="5"/>
        <v>195196</v>
      </c>
      <c r="AD42" s="970">
        <f t="shared" si="6"/>
        <v>195196</v>
      </c>
    </row>
    <row r="43" spans="1:30" hidden="1" x14ac:dyDescent="0.35">
      <c r="A43" s="80" t="s">
        <v>299</v>
      </c>
      <c r="B43" s="786"/>
      <c r="C43" s="361"/>
      <c r="D43" s="952">
        <v>11400</v>
      </c>
      <c r="E43" s="369"/>
      <c r="F43" s="369">
        <v>11400</v>
      </c>
      <c r="G43" s="953"/>
      <c r="H43" s="952"/>
      <c r="I43" s="369"/>
      <c r="J43" s="369"/>
      <c r="K43" s="369"/>
      <c r="L43" s="953"/>
      <c r="M43" s="952"/>
      <c r="N43" s="369"/>
      <c r="O43" s="368">
        <v>0</v>
      </c>
      <c r="P43" s="368">
        <v>0</v>
      </c>
      <c r="Q43" s="368"/>
      <c r="R43" s="958"/>
      <c r="S43" s="960"/>
      <c r="T43" s="368">
        <f t="shared" ref="T43:T52" si="27">SUM(D43,J43,N43,I43)</f>
        <v>11400</v>
      </c>
      <c r="U43" s="1"/>
      <c r="V43" s="508">
        <f t="shared" si="1"/>
        <v>11400</v>
      </c>
      <c r="W43" s="508">
        <f t="shared" si="2"/>
        <v>0</v>
      </c>
      <c r="X43" s="963"/>
      <c r="Y43" s="966"/>
      <c r="Z43" s="963"/>
      <c r="AA43" s="969">
        <f t="shared" si="3"/>
        <v>11400</v>
      </c>
      <c r="AB43" s="941">
        <f t="shared" si="4"/>
        <v>-11400</v>
      </c>
      <c r="AC43" s="941">
        <f t="shared" si="5"/>
        <v>0</v>
      </c>
      <c r="AD43" s="970">
        <f t="shared" si="6"/>
        <v>0</v>
      </c>
    </row>
    <row r="44" spans="1:30" hidden="1" x14ac:dyDescent="0.35">
      <c r="A44" s="80" t="s">
        <v>300</v>
      </c>
      <c r="B44" s="786"/>
      <c r="C44" s="361"/>
      <c r="D44" s="952"/>
      <c r="E44" s="369"/>
      <c r="F44" s="369"/>
      <c r="G44" s="953"/>
      <c r="H44" s="952"/>
      <c r="I44" s="369"/>
      <c r="J44" s="369"/>
      <c r="K44" s="369"/>
      <c r="L44" s="953"/>
      <c r="M44" s="952"/>
      <c r="N44" s="369"/>
      <c r="O44" s="368">
        <v>0</v>
      </c>
      <c r="P44" s="368">
        <v>0</v>
      </c>
      <c r="Q44" s="368"/>
      <c r="R44" s="958"/>
      <c r="S44" s="960"/>
      <c r="T44" s="368">
        <f t="shared" si="27"/>
        <v>0</v>
      </c>
      <c r="U44" s="1"/>
      <c r="V44" s="508">
        <f t="shared" si="1"/>
        <v>0</v>
      </c>
      <c r="W44" s="508">
        <f t="shared" si="2"/>
        <v>0</v>
      </c>
      <c r="X44" s="963"/>
      <c r="Y44" s="966"/>
      <c r="Z44" s="963"/>
      <c r="AA44" s="969">
        <f t="shared" si="3"/>
        <v>0</v>
      </c>
      <c r="AB44" s="941">
        <f t="shared" si="4"/>
        <v>0</v>
      </c>
      <c r="AC44" s="941">
        <f t="shared" si="5"/>
        <v>0</v>
      </c>
      <c r="AD44" s="970">
        <f t="shared" si="6"/>
        <v>0</v>
      </c>
    </row>
    <row r="45" spans="1:30" hidden="1" x14ac:dyDescent="0.35">
      <c r="A45" s="80" t="s">
        <v>301</v>
      </c>
      <c r="B45" s="786"/>
      <c r="C45" s="361"/>
      <c r="D45" s="952"/>
      <c r="E45" s="369"/>
      <c r="F45" s="369"/>
      <c r="G45" s="953"/>
      <c r="H45" s="952"/>
      <c r="I45" s="369"/>
      <c r="J45" s="369"/>
      <c r="K45" s="369"/>
      <c r="L45" s="953"/>
      <c r="M45" s="952"/>
      <c r="N45" s="369"/>
      <c r="O45" s="368">
        <v>0</v>
      </c>
      <c r="P45" s="368">
        <v>0</v>
      </c>
      <c r="Q45" s="368"/>
      <c r="R45" s="958"/>
      <c r="S45" s="960"/>
      <c r="T45" s="368">
        <f t="shared" si="27"/>
        <v>0</v>
      </c>
      <c r="U45" s="1">
        <v>8857</v>
      </c>
      <c r="V45" s="508">
        <f t="shared" si="1"/>
        <v>8857</v>
      </c>
      <c r="W45" s="508">
        <f t="shared" si="2"/>
        <v>0</v>
      </c>
      <c r="X45" s="963"/>
      <c r="Y45" s="966"/>
      <c r="Z45" s="963"/>
      <c r="AA45" s="969">
        <f t="shared" si="3"/>
        <v>0</v>
      </c>
      <c r="AB45" s="941">
        <f t="shared" si="4"/>
        <v>0</v>
      </c>
      <c r="AC45" s="941">
        <f t="shared" si="5"/>
        <v>0</v>
      </c>
      <c r="AD45" s="970">
        <f t="shared" si="6"/>
        <v>0</v>
      </c>
    </row>
    <row r="46" spans="1:30" hidden="1" x14ac:dyDescent="0.35">
      <c r="A46" s="80" t="s">
        <v>302</v>
      </c>
      <c r="B46" s="786"/>
      <c r="C46" s="361"/>
      <c r="D46" s="952">
        <v>25000</v>
      </c>
      <c r="E46" s="369"/>
      <c r="F46" s="369">
        <v>25000</v>
      </c>
      <c r="G46" s="953"/>
      <c r="H46" s="952"/>
      <c r="I46" s="369"/>
      <c r="J46" s="369"/>
      <c r="K46" s="369"/>
      <c r="L46" s="953"/>
      <c r="M46" s="952"/>
      <c r="N46" s="369"/>
      <c r="O46" s="368">
        <v>0</v>
      </c>
      <c r="P46" s="368">
        <v>0</v>
      </c>
      <c r="Q46" s="368"/>
      <c r="R46" s="958"/>
      <c r="S46" s="960"/>
      <c r="T46" s="368">
        <f t="shared" si="27"/>
        <v>25000</v>
      </c>
      <c r="U46" s="1"/>
      <c r="V46" s="508">
        <f t="shared" si="1"/>
        <v>25000</v>
      </c>
      <c r="W46" s="508">
        <f t="shared" si="2"/>
        <v>0</v>
      </c>
      <c r="X46" s="963"/>
      <c r="Y46" s="966"/>
      <c r="Z46" s="963"/>
      <c r="AA46" s="969">
        <f t="shared" si="3"/>
        <v>25000</v>
      </c>
      <c r="AB46" s="941">
        <f t="shared" si="4"/>
        <v>-25000</v>
      </c>
      <c r="AC46" s="941">
        <f t="shared" si="5"/>
        <v>0</v>
      </c>
      <c r="AD46" s="970">
        <f t="shared" si="6"/>
        <v>0</v>
      </c>
    </row>
    <row r="47" spans="1:30" hidden="1" x14ac:dyDescent="0.35">
      <c r="A47" s="80" t="s">
        <v>303</v>
      </c>
      <c r="B47" s="786"/>
      <c r="C47" s="361"/>
      <c r="D47" s="952"/>
      <c r="E47" s="369"/>
      <c r="F47" s="369"/>
      <c r="G47" s="953"/>
      <c r="H47" s="952"/>
      <c r="I47" s="369"/>
      <c r="J47" s="369"/>
      <c r="K47" s="369"/>
      <c r="L47" s="953"/>
      <c r="M47" s="952"/>
      <c r="N47" s="369"/>
      <c r="O47" s="368">
        <v>0</v>
      </c>
      <c r="P47" s="368">
        <v>0</v>
      </c>
      <c r="Q47" s="368"/>
      <c r="R47" s="958"/>
      <c r="S47" s="960"/>
      <c r="T47" s="368">
        <f t="shared" si="27"/>
        <v>0</v>
      </c>
      <c r="U47" s="1"/>
      <c r="V47" s="508">
        <f t="shared" si="1"/>
        <v>0</v>
      </c>
      <c r="W47" s="508">
        <f t="shared" si="2"/>
        <v>0</v>
      </c>
      <c r="X47" s="963"/>
      <c r="Y47" s="966"/>
      <c r="Z47" s="963"/>
      <c r="AA47" s="969">
        <f t="shared" si="3"/>
        <v>0</v>
      </c>
      <c r="AB47" s="941">
        <f t="shared" si="4"/>
        <v>0</v>
      </c>
      <c r="AC47" s="941">
        <f t="shared" si="5"/>
        <v>0</v>
      </c>
      <c r="AD47" s="970">
        <f t="shared" si="6"/>
        <v>0</v>
      </c>
    </row>
    <row r="48" spans="1:30" hidden="1" x14ac:dyDescent="0.35">
      <c r="A48" s="80" t="s">
        <v>304</v>
      </c>
      <c r="B48" s="786"/>
      <c r="C48" s="361"/>
      <c r="D48" s="952">
        <v>0</v>
      </c>
      <c r="E48" s="369"/>
      <c r="F48" s="369">
        <v>150000</v>
      </c>
      <c r="G48" s="953"/>
      <c r="H48" s="952"/>
      <c r="I48" s="369"/>
      <c r="J48" s="369"/>
      <c r="K48" s="369"/>
      <c r="L48" s="953"/>
      <c r="M48" s="952"/>
      <c r="N48" s="369"/>
      <c r="O48" s="368">
        <v>12000</v>
      </c>
      <c r="P48" s="368">
        <v>12000</v>
      </c>
      <c r="Q48" s="368"/>
      <c r="R48" s="958"/>
      <c r="S48" s="960"/>
      <c r="T48" s="368">
        <f t="shared" si="27"/>
        <v>0</v>
      </c>
      <c r="U48" s="1"/>
      <c r="V48" s="508">
        <f t="shared" si="1"/>
        <v>0</v>
      </c>
      <c r="W48" s="508">
        <f t="shared" si="2"/>
        <v>0</v>
      </c>
      <c r="X48" s="963"/>
      <c r="Y48" s="966"/>
      <c r="Z48" s="963"/>
      <c r="AA48" s="969">
        <f t="shared" si="3"/>
        <v>150000</v>
      </c>
      <c r="AB48" s="941">
        <f t="shared" si="4"/>
        <v>-150000</v>
      </c>
      <c r="AC48" s="941">
        <f t="shared" si="5"/>
        <v>0</v>
      </c>
      <c r="AD48" s="970">
        <f t="shared" si="6"/>
        <v>0</v>
      </c>
    </row>
    <row r="49" spans="1:30" hidden="1" x14ac:dyDescent="0.35">
      <c r="A49" s="341" t="s">
        <v>484</v>
      </c>
      <c r="B49" s="341"/>
      <c r="C49" s="361"/>
      <c r="D49" s="952"/>
      <c r="E49" s="369"/>
      <c r="F49" s="369"/>
      <c r="G49" s="953"/>
      <c r="H49" s="952"/>
      <c r="I49" s="369"/>
      <c r="J49" s="369"/>
      <c r="K49" s="369"/>
      <c r="L49" s="953"/>
      <c r="M49" s="952"/>
      <c r="N49" s="369"/>
      <c r="O49" s="368">
        <v>0</v>
      </c>
      <c r="P49" s="368">
        <v>0</v>
      </c>
      <c r="Q49" s="368"/>
      <c r="R49" s="958"/>
      <c r="S49" s="960"/>
      <c r="T49" s="368">
        <f t="shared" si="27"/>
        <v>0</v>
      </c>
      <c r="U49" s="1"/>
      <c r="V49" s="508">
        <f t="shared" si="1"/>
        <v>0</v>
      </c>
      <c r="W49" s="508">
        <f t="shared" si="2"/>
        <v>0</v>
      </c>
      <c r="X49" s="963"/>
      <c r="Y49" s="966"/>
      <c r="Z49" s="963"/>
      <c r="AA49" s="969">
        <f t="shared" si="3"/>
        <v>0</v>
      </c>
      <c r="AB49" s="941">
        <f t="shared" si="4"/>
        <v>0</v>
      </c>
      <c r="AC49" s="941">
        <f t="shared" si="5"/>
        <v>0</v>
      </c>
      <c r="AD49" s="970">
        <f t="shared" si="6"/>
        <v>0</v>
      </c>
    </row>
    <row r="50" spans="1:30" ht="26.5" hidden="1" x14ac:dyDescent="0.35">
      <c r="A50" s="342" t="s">
        <v>678</v>
      </c>
      <c r="B50" s="342"/>
      <c r="C50" s="361"/>
      <c r="D50" s="952"/>
      <c r="E50" s="369"/>
      <c r="F50" s="369"/>
      <c r="G50" s="953"/>
      <c r="H50" s="952"/>
      <c r="I50" s="369"/>
      <c r="J50" s="369"/>
      <c r="K50" s="369"/>
      <c r="L50" s="953"/>
      <c r="M50" s="952"/>
      <c r="N50" s="369"/>
      <c r="O50" s="368">
        <v>0</v>
      </c>
      <c r="P50" s="368">
        <v>0</v>
      </c>
      <c r="Q50" s="368"/>
      <c r="R50" s="958"/>
      <c r="S50" s="960"/>
      <c r="T50" s="368">
        <f t="shared" si="27"/>
        <v>0</v>
      </c>
      <c r="U50" s="1"/>
      <c r="V50" s="508">
        <f t="shared" si="1"/>
        <v>0</v>
      </c>
      <c r="W50" s="508">
        <f t="shared" si="2"/>
        <v>0</v>
      </c>
      <c r="X50" s="963"/>
      <c r="Y50" s="966"/>
      <c r="Z50" s="963"/>
      <c r="AA50" s="969">
        <f t="shared" si="3"/>
        <v>0</v>
      </c>
      <c r="AB50" s="941">
        <f t="shared" si="4"/>
        <v>0</v>
      </c>
      <c r="AC50" s="941">
        <f t="shared" si="5"/>
        <v>0</v>
      </c>
      <c r="AD50" s="970">
        <f t="shared" si="6"/>
        <v>0</v>
      </c>
    </row>
    <row r="51" spans="1:30" hidden="1" x14ac:dyDescent="0.35">
      <c r="A51" s="341" t="s">
        <v>486</v>
      </c>
      <c r="B51" s="341"/>
      <c r="C51" s="361"/>
      <c r="D51" s="952"/>
      <c r="E51" s="369"/>
      <c r="F51" s="369"/>
      <c r="G51" s="953"/>
      <c r="H51" s="952"/>
      <c r="I51" s="369"/>
      <c r="J51" s="369"/>
      <c r="K51" s="369"/>
      <c r="L51" s="953"/>
      <c r="M51" s="952"/>
      <c r="N51" s="369"/>
      <c r="O51" s="368">
        <v>0</v>
      </c>
      <c r="P51" s="368">
        <v>0</v>
      </c>
      <c r="Q51" s="368"/>
      <c r="R51" s="958"/>
      <c r="S51" s="960"/>
      <c r="T51" s="368">
        <f t="shared" si="27"/>
        <v>0</v>
      </c>
      <c r="U51" s="1"/>
      <c r="V51" s="508">
        <f t="shared" si="1"/>
        <v>0</v>
      </c>
      <c r="W51" s="508">
        <f t="shared" si="2"/>
        <v>0</v>
      </c>
      <c r="X51" s="963"/>
      <c r="Y51" s="966"/>
      <c r="Z51" s="963"/>
      <c r="AA51" s="969">
        <f t="shared" si="3"/>
        <v>0</v>
      </c>
      <c r="AB51" s="941">
        <f t="shared" si="4"/>
        <v>0</v>
      </c>
      <c r="AC51" s="941">
        <f t="shared" si="5"/>
        <v>0</v>
      </c>
      <c r="AD51" s="970">
        <f t="shared" si="6"/>
        <v>0</v>
      </c>
    </row>
    <row r="52" spans="1:30" hidden="1" x14ac:dyDescent="0.35">
      <c r="A52" s="341" t="s">
        <v>487</v>
      </c>
      <c r="B52" s="341"/>
      <c r="C52" s="361"/>
      <c r="D52" s="952"/>
      <c r="E52" s="369"/>
      <c r="F52" s="369"/>
      <c r="G52" s="953"/>
      <c r="H52" s="952"/>
      <c r="I52" s="369"/>
      <c r="J52" s="369"/>
      <c r="K52" s="369"/>
      <c r="L52" s="953"/>
      <c r="M52" s="952"/>
      <c r="N52" s="369"/>
      <c r="O52" s="368">
        <v>0</v>
      </c>
      <c r="P52" s="368">
        <v>0</v>
      </c>
      <c r="Q52" s="368"/>
      <c r="R52" s="958"/>
      <c r="S52" s="960"/>
      <c r="T52" s="368">
        <f t="shared" si="27"/>
        <v>0</v>
      </c>
      <c r="U52" s="1"/>
      <c r="V52" s="508">
        <f t="shared" si="1"/>
        <v>0</v>
      </c>
      <c r="W52" s="508">
        <f t="shared" si="2"/>
        <v>0</v>
      </c>
      <c r="X52" s="963"/>
      <c r="Y52" s="966"/>
      <c r="Z52" s="963"/>
      <c r="AA52" s="969">
        <f t="shared" si="3"/>
        <v>0</v>
      </c>
      <c r="AB52" s="941">
        <f t="shared" si="4"/>
        <v>0</v>
      </c>
      <c r="AC52" s="941">
        <f t="shared" si="5"/>
        <v>0</v>
      </c>
      <c r="AD52" s="970">
        <f t="shared" si="6"/>
        <v>0</v>
      </c>
    </row>
    <row r="53" spans="1:30" s="530" customFormat="1" x14ac:dyDescent="0.35">
      <c r="A53" s="620" t="s">
        <v>94</v>
      </c>
      <c r="B53" s="787"/>
      <c r="C53" s="621" t="s">
        <v>95</v>
      </c>
      <c r="D53" s="954">
        <f>SUM(D30,D34:D38,D42)</f>
        <v>66400</v>
      </c>
      <c r="E53" s="363">
        <f t="shared" ref="E53" si="28">SUM(E30,E34:E38,E42)</f>
        <v>203545</v>
      </c>
      <c r="F53" s="363">
        <f>SUM(F38,F42,F37,F36,F34:F35,F30)</f>
        <v>216400</v>
      </c>
      <c r="G53" s="955">
        <f t="shared" ref="G53:Z53" si="29">SUM(G38,G42,G37,G36,G34:G35,G30)</f>
        <v>59192</v>
      </c>
      <c r="H53" s="954">
        <f t="shared" si="29"/>
        <v>0</v>
      </c>
      <c r="I53" s="363">
        <f t="shared" si="29"/>
        <v>0</v>
      </c>
      <c r="J53" s="363">
        <f t="shared" si="29"/>
        <v>2231592</v>
      </c>
      <c r="K53" s="363">
        <f t="shared" si="29"/>
        <v>1688594</v>
      </c>
      <c r="L53" s="955">
        <f t="shared" si="29"/>
        <v>34110</v>
      </c>
      <c r="M53" s="954">
        <f t="shared" si="29"/>
        <v>2502000</v>
      </c>
      <c r="N53" s="363">
        <f t="shared" si="29"/>
        <v>100000</v>
      </c>
      <c r="O53" s="363">
        <f t="shared" si="29"/>
        <v>2406000</v>
      </c>
      <c r="P53" s="363">
        <f t="shared" si="29"/>
        <v>2406000</v>
      </c>
      <c r="Q53" s="363">
        <f t="shared" si="29"/>
        <v>143478</v>
      </c>
      <c r="R53" s="955">
        <f t="shared" si="29"/>
        <v>2502000</v>
      </c>
      <c r="S53" s="954">
        <f t="shared" si="29"/>
        <v>1390000</v>
      </c>
      <c r="T53" s="363">
        <f t="shared" si="29"/>
        <v>2397992</v>
      </c>
      <c r="U53" s="363">
        <f t="shared" si="29"/>
        <v>417553</v>
      </c>
      <c r="V53" s="363">
        <f t="shared" si="29"/>
        <v>2815545</v>
      </c>
      <c r="W53" s="363">
        <f t="shared" si="29"/>
        <v>2035617</v>
      </c>
      <c r="X53" s="964">
        <f t="shared" si="29"/>
        <v>814499</v>
      </c>
      <c r="Y53" s="954">
        <f t="shared" si="29"/>
        <v>0</v>
      </c>
      <c r="Z53" s="964">
        <f t="shared" si="29"/>
        <v>4086</v>
      </c>
      <c r="AA53" s="969">
        <f t="shared" si="3"/>
        <v>4108400</v>
      </c>
      <c r="AB53" s="941">
        <f t="shared" si="4"/>
        <v>-694513</v>
      </c>
      <c r="AC53" s="941">
        <f t="shared" si="5"/>
        <v>3413887</v>
      </c>
      <c r="AD53" s="970">
        <f t="shared" si="6"/>
        <v>3413887</v>
      </c>
    </row>
    <row r="54" spans="1:30" x14ac:dyDescent="0.35">
      <c r="A54" s="183" t="s">
        <v>305</v>
      </c>
      <c r="B54" s="785"/>
      <c r="C54" s="360" t="s">
        <v>97</v>
      </c>
      <c r="D54" s="952">
        <v>41000</v>
      </c>
      <c r="E54" s="369">
        <v>17315</v>
      </c>
      <c r="F54" s="369">
        <v>41000</v>
      </c>
      <c r="G54" s="591">
        <v>11285</v>
      </c>
      <c r="H54" s="952"/>
      <c r="I54" s="369"/>
      <c r="J54" s="369"/>
      <c r="K54" s="369"/>
      <c r="L54" s="953"/>
      <c r="M54" s="952"/>
      <c r="N54" s="369"/>
      <c r="O54" s="368">
        <v>35000</v>
      </c>
      <c r="P54" s="368">
        <v>35000</v>
      </c>
      <c r="Q54" s="368"/>
      <c r="R54" s="958"/>
      <c r="S54" s="960"/>
      <c r="T54" s="368">
        <f>SUM(D54,J54,N54,I54)</f>
        <v>41000</v>
      </c>
      <c r="U54" s="1"/>
      <c r="V54" s="508">
        <f t="shared" si="1"/>
        <v>41000</v>
      </c>
      <c r="W54" s="508">
        <f t="shared" si="2"/>
        <v>17315</v>
      </c>
      <c r="X54" s="963"/>
      <c r="Y54" s="966"/>
      <c r="Z54" s="963"/>
      <c r="AA54" s="969">
        <f t="shared" si="3"/>
        <v>41000</v>
      </c>
      <c r="AB54" s="941">
        <f t="shared" si="4"/>
        <v>-29715</v>
      </c>
      <c r="AC54" s="941">
        <f t="shared" si="5"/>
        <v>11285</v>
      </c>
      <c r="AD54" s="970">
        <f t="shared" si="6"/>
        <v>11285</v>
      </c>
    </row>
    <row r="55" spans="1:30" x14ac:dyDescent="0.35">
      <c r="A55" s="183" t="s">
        <v>306</v>
      </c>
      <c r="B55" s="785"/>
      <c r="C55" s="360" t="s">
        <v>99</v>
      </c>
      <c r="D55" s="952"/>
      <c r="E55" s="369"/>
      <c r="F55" s="369"/>
      <c r="G55" s="953"/>
      <c r="H55" s="952"/>
      <c r="I55" s="369"/>
      <c r="J55" s="369"/>
      <c r="K55" s="369"/>
      <c r="L55" s="953"/>
      <c r="M55" s="952"/>
      <c r="N55" s="369"/>
      <c r="O55" s="368">
        <v>0</v>
      </c>
      <c r="P55" s="368">
        <v>0</v>
      </c>
      <c r="Q55" s="368"/>
      <c r="R55" s="958"/>
      <c r="S55" s="960"/>
      <c r="T55" s="368">
        <f>SUM(D55,J55,N55,I55)</f>
        <v>0</v>
      </c>
      <c r="U55" s="1"/>
      <c r="V55" s="508">
        <f t="shared" si="1"/>
        <v>0</v>
      </c>
      <c r="W55" s="508">
        <f t="shared" si="2"/>
        <v>0</v>
      </c>
      <c r="X55" s="963"/>
      <c r="Y55" s="966"/>
      <c r="Z55" s="963"/>
      <c r="AA55" s="969">
        <f t="shared" si="3"/>
        <v>0</v>
      </c>
      <c r="AB55" s="941">
        <f t="shared" si="4"/>
        <v>0</v>
      </c>
      <c r="AC55" s="941">
        <f t="shared" si="5"/>
        <v>0</v>
      </c>
      <c r="AD55" s="970">
        <f t="shared" si="6"/>
        <v>0</v>
      </c>
    </row>
    <row r="56" spans="1:30" s="530" customFormat="1" ht="26" x14ac:dyDescent="0.35">
      <c r="A56" s="620" t="s">
        <v>100</v>
      </c>
      <c r="B56" s="787"/>
      <c r="C56" s="621" t="s">
        <v>101</v>
      </c>
      <c r="D56" s="954">
        <f>SUM(D54:D55)</f>
        <v>41000</v>
      </c>
      <c r="E56" s="363">
        <f>SUM(E54:E55)</f>
        <v>17315</v>
      </c>
      <c r="F56" s="363">
        <f>SUM(F54:F55)</f>
        <v>41000</v>
      </c>
      <c r="G56" s="363">
        <f t="shared" ref="G56:Z56" si="30">SUM(G54:G55)</f>
        <v>11285</v>
      </c>
      <c r="H56" s="363">
        <f t="shared" si="30"/>
        <v>0</v>
      </c>
      <c r="I56" s="363">
        <f t="shared" si="30"/>
        <v>0</v>
      </c>
      <c r="J56" s="363">
        <f t="shared" si="30"/>
        <v>0</v>
      </c>
      <c r="K56" s="363">
        <f t="shared" si="30"/>
        <v>0</v>
      </c>
      <c r="L56" s="363">
        <f t="shared" si="30"/>
        <v>0</v>
      </c>
      <c r="M56" s="363">
        <f t="shared" si="30"/>
        <v>0</v>
      </c>
      <c r="N56" s="363">
        <f t="shared" si="30"/>
        <v>0</v>
      </c>
      <c r="O56" s="363">
        <f t="shared" si="30"/>
        <v>35000</v>
      </c>
      <c r="P56" s="363">
        <f t="shared" si="30"/>
        <v>35000</v>
      </c>
      <c r="Q56" s="363">
        <f t="shared" si="30"/>
        <v>0</v>
      </c>
      <c r="R56" s="363">
        <f t="shared" si="30"/>
        <v>0</v>
      </c>
      <c r="S56" s="363">
        <f t="shared" si="30"/>
        <v>0</v>
      </c>
      <c r="T56" s="363">
        <f t="shared" si="30"/>
        <v>41000</v>
      </c>
      <c r="U56" s="363">
        <f t="shared" si="30"/>
        <v>0</v>
      </c>
      <c r="V56" s="363">
        <f t="shared" si="30"/>
        <v>41000</v>
      </c>
      <c r="W56" s="363">
        <f t="shared" si="30"/>
        <v>17315</v>
      </c>
      <c r="X56" s="363">
        <f t="shared" si="30"/>
        <v>0</v>
      </c>
      <c r="Y56" s="363">
        <f t="shared" si="30"/>
        <v>0</v>
      </c>
      <c r="Z56" s="363">
        <f t="shared" si="30"/>
        <v>0</v>
      </c>
      <c r="AA56" s="969">
        <f t="shared" si="3"/>
        <v>41000</v>
      </c>
      <c r="AB56" s="941">
        <f t="shared" si="4"/>
        <v>-29715</v>
      </c>
      <c r="AC56" s="941">
        <f t="shared" si="5"/>
        <v>11285</v>
      </c>
      <c r="AD56" s="970">
        <f t="shared" si="6"/>
        <v>11285</v>
      </c>
    </row>
    <row r="57" spans="1:30" ht="39" x14ac:dyDescent="0.35">
      <c r="A57" s="183" t="s">
        <v>307</v>
      </c>
      <c r="B57" s="785"/>
      <c r="C57" s="360" t="s">
        <v>103</v>
      </c>
      <c r="D57" s="950">
        <f t="shared" ref="D57:N57" si="31">SUM(D58:D59)</f>
        <v>47628</v>
      </c>
      <c r="E57" s="365">
        <v>26712</v>
      </c>
      <c r="F57" s="365">
        <f>SUM(E57,F20,F29,F53)*0.27</f>
        <v>89940.24</v>
      </c>
      <c r="G57" s="1030">
        <v>59234</v>
      </c>
      <c r="H57" s="950">
        <f>SUM(H58:H59)</f>
        <v>0</v>
      </c>
      <c r="I57" s="365"/>
      <c r="J57" s="365">
        <f t="shared" si="31"/>
        <v>0</v>
      </c>
      <c r="K57" s="365">
        <v>3230</v>
      </c>
      <c r="L57" s="591">
        <v>18253</v>
      </c>
      <c r="M57" s="950"/>
      <c r="N57" s="365">
        <f t="shared" si="31"/>
        <v>0</v>
      </c>
      <c r="O57" s="368">
        <v>12000</v>
      </c>
      <c r="P57" s="368">
        <v>12000</v>
      </c>
      <c r="Q57" s="368">
        <v>62957</v>
      </c>
      <c r="R57" s="958"/>
      <c r="S57" s="960">
        <f>SUM(S53,S29,S20)*0.27</f>
        <v>407700</v>
      </c>
      <c r="T57" s="368">
        <f t="shared" ref="T57:T65" si="32">SUM(D57,J57,N57,I57)</f>
        <v>47628</v>
      </c>
      <c r="U57" s="1">
        <v>55000</v>
      </c>
      <c r="V57" s="508">
        <f t="shared" si="1"/>
        <v>102628</v>
      </c>
      <c r="W57" s="508">
        <f t="shared" si="2"/>
        <v>92899</v>
      </c>
      <c r="X57" s="591">
        <v>115492</v>
      </c>
      <c r="Y57" s="966"/>
      <c r="Z57" s="591">
        <v>152868</v>
      </c>
      <c r="AA57" s="969">
        <f t="shared" si="3"/>
        <v>497640.24</v>
      </c>
      <c r="AB57" s="941">
        <f t="shared" si="4"/>
        <v>-151793.24</v>
      </c>
      <c r="AC57" s="941">
        <f t="shared" si="5"/>
        <v>345847</v>
      </c>
      <c r="AD57" s="970">
        <f t="shared" si="6"/>
        <v>345847</v>
      </c>
    </row>
    <row r="58" spans="1:30" hidden="1" x14ac:dyDescent="0.35">
      <c r="A58" s="80" t="s">
        <v>308</v>
      </c>
      <c r="B58" s="786"/>
      <c r="C58" s="360"/>
      <c r="D58" s="952"/>
      <c r="E58" s="369"/>
      <c r="F58" s="369"/>
      <c r="G58" s="953"/>
      <c r="H58" s="952"/>
      <c r="I58" s="369"/>
      <c r="J58" s="369"/>
      <c r="K58" s="369"/>
      <c r="L58" s="953"/>
      <c r="M58" s="952"/>
      <c r="N58" s="369"/>
      <c r="O58" s="368">
        <v>0</v>
      </c>
      <c r="P58" s="368">
        <v>0</v>
      </c>
      <c r="Q58" s="368"/>
      <c r="R58" s="958"/>
      <c r="S58" s="960"/>
      <c r="T58" s="368">
        <f t="shared" si="32"/>
        <v>0</v>
      </c>
      <c r="U58" s="1"/>
      <c r="V58" s="508">
        <f t="shared" si="1"/>
        <v>0</v>
      </c>
      <c r="W58" s="508">
        <f t="shared" si="2"/>
        <v>0</v>
      </c>
      <c r="X58" s="963"/>
      <c r="Y58" s="966"/>
      <c r="Z58" s="963"/>
      <c r="AA58" s="969">
        <f t="shared" si="3"/>
        <v>0</v>
      </c>
      <c r="AB58" s="941">
        <f t="shared" si="4"/>
        <v>0</v>
      </c>
      <c r="AC58" s="941">
        <f t="shared" si="5"/>
        <v>0</v>
      </c>
      <c r="AD58" s="970">
        <f t="shared" si="6"/>
        <v>0</v>
      </c>
    </row>
    <row r="59" spans="1:30" hidden="1" x14ac:dyDescent="0.35">
      <c r="A59" s="80" t="s">
        <v>309</v>
      </c>
      <c r="B59" s="786"/>
      <c r="C59" s="360"/>
      <c r="D59" s="952">
        <f>SUM(D42,D38,D36,D29,D20)*0.27</f>
        <v>47628</v>
      </c>
      <c r="E59" s="369"/>
      <c r="F59" s="369">
        <f>SUM(F57)</f>
        <v>89940.24</v>
      </c>
      <c r="G59" s="953"/>
      <c r="H59" s="952">
        <f>H53*0.27</f>
        <v>0</v>
      </c>
      <c r="I59" s="369"/>
      <c r="J59" s="369"/>
      <c r="K59" s="369"/>
      <c r="L59" s="953"/>
      <c r="M59" s="952"/>
      <c r="N59" s="369"/>
      <c r="O59" s="368">
        <v>12000</v>
      </c>
      <c r="P59" s="368">
        <v>12000</v>
      </c>
      <c r="Q59" s="368"/>
      <c r="R59" s="958"/>
      <c r="S59" s="960"/>
      <c r="T59" s="368">
        <f t="shared" si="32"/>
        <v>47628</v>
      </c>
      <c r="U59" s="1"/>
      <c r="V59" s="508">
        <f t="shared" si="1"/>
        <v>47628</v>
      </c>
      <c r="W59" s="508">
        <f t="shared" si="2"/>
        <v>0</v>
      </c>
      <c r="X59" s="963"/>
      <c r="Y59" s="966"/>
      <c r="Z59" s="963"/>
      <c r="AA59" s="969">
        <f t="shared" si="3"/>
        <v>89940.24</v>
      </c>
      <c r="AB59" s="941">
        <f t="shared" si="4"/>
        <v>-89940.24</v>
      </c>
      <c r="AC59" s="941">
        <f t="shared" si="5"/>
        <v>0</v>
      </c>
      <c r="AD59" s="970">
        <f t="shared" si="6"/>
        <v>0</v>
      </c>
    </row>
    <row r="60" spans="1:30" x14ac:dyDescent="0.35">
      <c r="A60" s="183" t="s">
        <v>310</v>
      </c>
      <c r="B60" s="785"/>
      <c r="C60" s="360" t="s">
        <v>105</v>
      </c>
      <c r="D60" s="952"/>
      <c r="E60" s="369"/>
      <c r="F60" s="369"/>
      <c r="G60" s="953"/>
      <c r="H60" s="952"/>
      <c r="I60" s="369"/>
      <c r="J60" s="369"/>
      <c r="K60" s="369"/>
      <c r="L60" s="953"/>
      <c r="M60" s="952"/>
      <c r="N60" s="369"/>
      <c r="O60" s="368">
        <v>0</v>
      </c>
      <c r="P60" s="368">
        <v>0</v>
      </c>
      <c r="Q60" s="368"/>
      <c r="R60" s="958"/>
      <c r="S60" s="960"/>
      <c r="T60" s="368">
        <f t="shared" si="32"/>
        <v>0</v>
      </c>
      <c r="U60" s="1"/>
      <c r="V60" s="508">
        <f t="shared" si="1"/>
        <v>0</v>
      </c>
      <c r="W60" s="508">
        <f t="shared" si="2"/>
        <v>0</v>
      </c>
      <c r="X60" s="963"/>
      <c r="Y60" s="966"/>
      <c r="Z60" s="963"/>
      <c r="AA60" s="969">
        <f t="shared" si="3"/>
        <v>0</v>
      </c>
      <c r="AB60" s="941">
        <f t="shared" si="4"/>
        <v>0</v>
      </c>
      <c r="AC60" s="941">
        <f t="shared" si="5"/>
        <v>0</v>
      </c>
      <c r="AD60" s="970">
        <f t="shared" si="6"/>
        <v>0</v>
      </c>
    </row>
    <row r="61" spans="1:30" x14ac:dyDescent="0.35">
      <c r="A61" s="183" t="s">
        <v>106</v>
      </c>
      <c r="B61" s="785"/>
      <c r="C61" s="360" t="s">
        <v>107</v>
      </c>
      <c r="D61" s="952"/>
      <c r="E61" s="369"/>
      <c r="F61" s="369"/>
      <c r="G61" s="953"/>
      <c r="H61" s="952"/>
      <c r="I61" s="369"/>
      <c r="J61" s="369"/>
      <c r="K61" s="369"/>
      <c r="L61" s="953"/>
      <c r="M61" s="952"/>
      <c r="N61" s="369"/>
      <c r="O61" s="368">
        <v>0</v>
      </c>
      <c r="P61" s="368">
        <v>0</v>
      </c>
      <c r="Q61" s="368"/>
      <c r="R61" s="958"/>
      <c r="S61" s="960"/>
      <c r="T61" s="368">
        <f t="shared" si="32"/>
        <v>0</v>
      </c>
      <c r="U61" s="1"/>
      <c r="V61" s="508">
        <f t="shared" si="1"/>
        <v>0</v>
      </c>
      <c r="W61" s="508">
        <f t="shared" si="2"/>
        <v>0</v>
      </c>
      <c r="X61" s="963"/>
      <c r="Y61" s="966"/>
      <c r="Z61" s="963"/>
      <c r="AA61" s="969">
        <f t="shared" si="3"/>
        <v>0</v>
      </c>
      <c r="AB61" s="941">
        <f t="shared" si="4"/>
        <v>0</v>
      </c>
      <c r="AC61" s="941">
        <f t="shared" si="5"/>
        <v>0</v>
      </c>
      <c r="AD61" s="970">
        <f t="shared" si="6"/>
        <v>0</v>
      </c>
    </row>
    <row r="62" spans="1:30" x14ac:dyDescent="0.35">
      <c r="A62" s="183" t="s">
        <v>311</v>
      </c>
      <c r="B62" s="785"/>
      <c r="C62" s="360" t="s">
        <v>111</v>
      </c>
      <c r="D62" s="950">
        <f>SUM(D63:D65)</f>
        <v>5000</v>
      </c>
      <c r="E62" s="365">
        <v>1</v>
      </c>
      <c r="F62" s="365"/>
      <c r="G62" s="591">
        <v>4000</v>
      </c>
      <c r="H62" s="950"/>
      <c r="I62" s="365"/>
      <c r="J62" s="365">
        <f>SUM(J63:J65)</f>
        <v>0</v>
      </c>
      <c r="K62" s="365">
        <v>-4</v>
      </c>
      <c r="L62" s="951"/>
      <c r="M62" s="950"/>
      <c r="N62" s="365">
        <f>SUM(N63:N65)</f>
        <v>0</v>
      </c>
      <c r="O62" s="368">
        <v>0</v>
      </c>
      <c r="P62" s="368">
        <v>0</v>
      </c>
      <c r="Q62" s="368">
        <v>17765</v>
      </c>
      <c r="R62" s="958"/>
      <c r="S62" s="960"/>
      <c r="T62" s="368">
        <f t="shared" si="32"/>
        <v>5000</v>
      </c>
      <c r="U62" s="1">
        <v>13000</v>
      </c>
      <c r="V62" s="508">
        <f t="shared" si="1"/>
        <v>18000</v>
      </c>
      <c r="W62" s="508">
        <f t="shared" si="2"/>
        <v>17762</v>
      </c>
      <c r="X62" s="963"/>
      <c r="Y62" s="966"/>
      <c r="Z62" s="963"/>
      <c r="AA62" s="969">
        <f t="shared" si="3"/>
        <v>0</v>
      </c>
      <c r="AB62" s="941">
        <f t="shared" si="4"/>
        <v>4000</v>
      </c>
      <c r="AC62" s="941">
        <f t="shared" si="5"/>
        <v>4000</v>
      </c>
      <c r="AD62" s="970">
        <f t="shared" si="6"/>
        <v>4000</v>
      </c>
    </row>
    <row r="63" spans="1:30" hidden="1" x14ac:dyDescent="0.35">
      <c r="A63" s="80" t="s">
        <v>312</v>
      </c>
      <c r="B63" s="786"/>
      <c r="C63" s="360"/>
      <c r="D63" s="952"/>
      <c r="E63" s="369"/>
      <c r="F63" s="369"/>
      <c r="G63" s="953"/>
      <c r="H63" s="952"/>
      <c r="I63" s="369"/>
      <c r="J63" s="369"/>
      <c r="K63" s="369"/>
      <c r="L63" s="953"/>
      <c r="M63" s="952"/>
      <c r="N63" s="369"/>
      <c r="O63" s="368">
        <v>0</v>
      </c>
      <c r="P63" s="368">
        <v>0</v>
      </c>
      <c r="Q63" s="368"/>
      <c r="R63" s="958"/>
      <c r="S63" s="960"/>
      <c r="T63" s="368">
        <f t="shared" si="32"/>
        <v>0</v>
      </c>
      <c r="U63" s="1"/>
      <c r="V63" s="508">
        <f t="shared" si="1"/>
        <v>0</v>
      </c>
      <c r="W63" s="508">
        <f t="shared" si="2"/>
        <v>0</v>
      </c>
      <c r="X63" s="963"/>
      <c r="Y63" s="966"/>
      <c r="Z63" s="963"/>
      <c r="AA63" s="969">
        <f t="shared" si="3"/>
        <v>0</v>
      </c>
      <c r="AB63" s="941">
        <f t="shared" si="4"/>
        <v>0</v>
      </c>
      <c r="AC63" s="941">
        <f t="shared" si="5"/>
        <v>0</v>
      </c>
      <c r="AD63" s="970">
        <f t="shared" si="6"/>
        <v>0</v>
      </c>
    </row>
    <row r="64" spans="1:30" hidden="1" x14ac:dyDescent="0.35">
      <c r="A64" s="80" t="s">
        <v>313</v>
      </c>
      <c r="B64" s="786"/>
      <c r="C64" s="360"/>
      <c r="D64" s="952"/>
      <c r="E64" s="369"/>
      <c r="F64" s="369"/>
      <c r="G64" s="953"/>
      <c r="H64" s="952"/>
      <c r="I64" s="369"/>
      <c r="J64" s="369"/>
      <c r="K64" s="369"/>
      <c r="L64" s="953"/>
      <c r="M64" s="952"/>
      <c r="N64" s="369"/>
      <c r="O64" s="368">
        <v>0</v>
      </c>
      <c r="P64" s="368">
        <v>0</v>
      </c>
      <c r="Q64" s="368"/>
      <c r="R64" s="958"/>
      <c r="S64" s="960"/>
      <c r="T64" s="368">
        <f t="shared" si="32"/>
        <v>0</v>
      </c>
      <c r="U64" s="1"/>
      <c r="V64" s="508">
        <f t="shared" si="1"/>
        <v>0</v>
      </c>
      <c r="W64" s="508">
        <f t="shared" si="2"/>
        <v>0</v>
      </c>
      <c r="X64" s="963"/>
      <c r="Y64" s="966"/>
      <c r="Z64" s="963"/>
      <c r="AA64" s="969">
        <f t="shared" si="3"/>
        <v>0</v>
      </c>
      <c r="AB64" s="941">
        <f t="shared" si="4"/>
        <v>0</v>
      </c>
      <c r="AC64" s="941">
        <f t="shared" si="5"/>
        <v>0</v>
      </c>
      <c r="AD64" s="970">
        <f t="shared" si="6"/>
        <v>0</v>
      </c>
    </row>
    <row r="65" spans="1:30" hidden="1" x14ac:dyDescent="0.35">
      <c r="A65" s="80" t="s">
        <v>311</v>
      </c>
      <c r="B65" s="786"/>
      <c r="C65" s="360"/>
      <c r="D65" s="952">
        <v>5000</v>
      </c>
      <c r="E65" s="369"/>
      <c r="F65" s="369"/>
      <c r="G65" s="953"/>
      <c r="H65" s="952"/>
      <c r="I65" s="369"/>
      <c r="J65" s="369"/>
      <c r="K65" s="369"/>
      <c r="L65" s="953"/>
      <c r="M65" s="952"/>
      <c r="N65" s="369"/>
      <c r="O65" s="368">
        <v>0</v>
      </c>
      <c r="P65" s="368">
        <v>0</v>
      </c>
      <c r="Q65" s="368"/>
      <c r="R65" s="958"/>
      <c r="S65" s="960"/>
      <c r="T65" s="368">
        <f t="shared" si="32"/>
        <v>5000</v>
      </c>
      <c r="U65" s="1"/>
      <c r="V65" s="508">
        <f t="shared" si="1"/>
        <v>5000</v>
      </c>
      <c r="W65" s="508">
        <f t="shared" si="2"/>
        <v>0</v>
      </c>
      <c r="X65" s="963"/>
      <c r="Y65" s="966"/>
      <c r="Z65" s="963"/>
      <c r="AA65" s="969">
        <f t="shared" si="3"/>
        <v>0</v>
      </c>
      <c r="AB65" s="941">
        <f t="shared" si="4"/>
        <v>0</v>
      </c>
      <c r="AC65" s="941">
        <f t="shared" si="5"/>
        <v>0</v>
      </c>
      <c r="AD65" s="970">
        <f t="shared" si="6"/>
        <v>0</v>
      </c>
    </row>
    <row r="66" spans="1:30" s="530" customFormat="1" ht="26.5" thickBot="1" x14ac:dyDescent="0.4">
      <c r="A66" s="971" t="s">
        <v>314</v>
      </c>
      <c r="B66" s="972"/>
      <c r="C66" s="973" t="s">
        <v>117</v>
      </c>
      <c r="D66" s="974">
        <f t="shared" ref="D66" si="33">SUM(D62,D57,D60,D61)</f>
        <v>52628</v>
      </c>
      <c r="E66" s="975">
        <f t="shared" ref="E66" si="34">SUM(E62,E57,E60,E61)</f>
        <v>26713</v>
      </c>
      <c r="F66" s="975">
        <f>SUM(F57,F60,F61,F62)</f>
        <v>89940.24</v>
      </c>
      <c r="G66" s="975">
        <f t="shared" ref="G66:Z66" si="35">SUM(G57,G60,G61,G62)</f>
        <v>63234</v>
      </c>
      <c r="H66" s="975">
        <f t="shared" si="35"/>
        <v>0</v>
      </c>
      <c r="I66" s="975">
        <f t="shared" si="35"/>
        <v>0</v>
      </c>
      <c r="J66" s="975">
        <f t="shared" si="35"/>
        <v>0</v>
      </c>
      <c r="K66" s="975">
        <f t="shared" si="35"/>
        <v>3226</v>
      </c>
      <c r="L66" s="975">
        <f t="shared" si="35"/>
        <v>18253</v>
      </c>
      <c r="M66" s="975">
        <f t="shared" si="35"/>
        <v>0</v>
      </c>
      <c r="N66" s="975">
        <f t="shared" si="35"/>
        <v>0</v>
      </c>
      <c r="O66" s="975">
        <f t="shared" si="35"/>
        <v>12000</v>
      </c>
      <c r="P66" s="975">
        <f t="shared" si="35"/>
        <v>12000</v>
      </c>
      <c r="Q66" s="975">
        <f t="shared" si="35"/>
        <v>80722</v>
      </c>
      <c r="R66" s="975">
        <f t="shared" si="35"/>
        <v>0</v>
      </c>
      <c r="S66" s="975">
        <f t="shared" si="35"/>
        <v>407700</v>
      </c>
      <c r="T66" s="975">
        <f t="shared" si="35"/>
        <v>52628</v>
      </c>
      <c r="U66" s="975">
        <f t="shared" si="35"/>
        <v>68000</v>
      </c>
      <c r="V66" s="975">
        <f t="shared" si="35"/>
        <v>120628</v>
      </c>
      <c r="W66" s="975">
        <f t="shared" si="35"/>
        <v>110661</v>
      </c>
      <c r="X66" s="975">
        <f t="shared" si="35"/>
        <v>115492</v>
      </c>
      <c r="Y66" s="975">
        <f t="shared" si="35"/>
        <v>0</v>
      </c>
      <c r="Z66" s="975">
        <f t="shared" si="35"/>
        <v>152868</v>
      </c>
      <c r="AA66" s="976">
        <f t="shared" si="3"/>
        <v>497640.24</v>
      </c>
      <c r="AB66" s="977">
        <f t="shared" si="4"/>
        <v>-147793.24</v>
      </c>
      <c r="AC66" s="977">
        <f t="shared" si="5"/>
        <v>349847</v>
      </c>
      <c r="AD66" s="978">
        <f t="shared" si="6"/>
        <v>349847</v>
      </c>
    </row>
    <row r="67" spans="1:30" s="530" customFormat="1" ht="15" thickBot="1" x14ac:dyDescent="0.4">
      <c r="A67" s="979" t="s">
        <v>315</v>
      </c>
      <c r="B67" s="980"/>
      <c r="C67" s="981" t="s">
        <v>119</v>
      </c>
      <c r="D67" s="985">
        <f t="shared" ref="D67" si="36">SUM(D66,D56,D53,D29,D20)</f>
        <v>270028</v>
      </c>
      <c r="E67" s="986">
        <f t="shared" ref="E67" si="37">SUM(E66,E56,E53,E29,E20)</f>
        <v>357012</v>
      </c>
      <c r="F67" s="986">
        <f>SUM(F66,F56,F53,F29,F20)</f>
        <v>437340.24</v>
      </c>
      <c r="G67" s="986">
        <f t="shared" ref="G67:AD67" si="38">SUM(G66,G56,G53,G29,G20)</f>
        <v>351683</v>
      </c>
      <c r="H67" s="986">
        <f t="shared" si="38"/>
        <v>0</v>
      </c>
      <c r="I67" s="986">
        <f t="shared" si="38"/>
        <v>0</v>
      </c>
      <c r="J67" s="986">
        <f t="shared" si="38"/>
        <v>2231592</v>
      </c>
      <c r="K67" s="986">
        <f t="shared" si="38"/>
        <v>1694181</v>
      </c>
      <c r="L67" s="986">
        <f t="shared" si="38"/>
        <v>110859</v>
      </c>
      <c r="M67" s="986">
        <f t="shared" si="38"/>
        <v>2502000</v>
      </c>
      <c r="N67" s="986">
        <f t="shared" si="38"/>
        <v>100000</v>
      </c>
      <c r="O67" s="986">
        <f t="shared" si="38"/>
        <v>2593000</v>
      </c>
      <c r="P67" s="986">
        <f t="shared" si="38"/>
        <v>2593000</v>
      </c>
      <c r="Q67" s="986">
        <f t="shared" si="38"/>
        <v>328885</v>
      </c>
      <c r="R67" s="986">
        <f t="shared" si="38"/>
        <v>2502000</v>
      </c>
      <c r="S67" s="986">
        <f t="shared" si="38"/>
        <v>1917700</v>
      </c>
      <c r="T67" s="986">
        <f t="shared" si="38"/>
        <v>2601620</v>
      </c>
      <c r="U67" s="986">
        <f t="shared" si="38"/>
        <v>645553</v>
      </c>
      <c r="V67" s="986">
        <f t="shared" si="38"/>
        <v>3247173</v>
      </c>
      <c r="W67" s="986">
        <f t="shared" si="38"/>
        <v>2380078</v>
      </c>
      <c r="X67" s="986">
        <f t="shared" si="38"/>
        <v>1066067</v>
      </c>
      <c r="Y67" s="986">
        <f t="shared" si="38"/>
        <v>0</v>
      </c>
      <c r="Z67" s="986">
        <f t="shared" si="38"/>
        <v>1089761</v>
      </c>
      <c r="AA67" s="986">
        <f t="shared" si="38"/>
        <v>4857040.24</v>
      </c>
      <c r="AB67" s="986">
        <f t="shared" si="38"/>
        <v>263329.76</v>
      </c>
      <c r="AC67" s="986">
        <f t="shared" si="38"/>
        <v>5120370</v>
      </c>
      <c r="AD67" s="987">
        <f t="shared" si="38"/>
        <v>5120370</v>
      </c>
    </row>
    <row r="68" spans="1:30" s="631" customFormat="1" ht="19" thickBot="1" x14ac:dyDescent="0.5">
      <c r="A68" s="1239" t="s">
        <v>160</v>
      </c>
      <c r="B68" s="1240"/>
      <c r="C68" s="1240"/>
      <c r="D68" s="982">
        <f>SUM(D8:D14,D67)</f>
        <v>4753715</v>
      </c>
      <c r="E68" s="983">
        <f t="shared" ref="E68" si="39">SUM(E8:E14,E67)</f>
        <v>3867006</v>
      </c>
      <c r="F68" s="983">
        <f>SUM(F67,F14,F8:F12)</f>
        <v>7698903.5899999999</v>
      </c>
      <c r="G68" s="983">
        <f t="shared" ref="G68:AD68" si="40">SUM(G67,G14,G8:G12)</f>
        <v>8373630</v>
      </c>
      <c r="H68" s="983">
        <f t="shared" si="40"/>
        <v>0</v>
      </c>
      <c r="I68" s="983">
        <f t="shared" si="40"/>
        <v>0</v>
      </c>
      <c r="J68" s="983">
        <f t="shared" si="40"/>
        <v>2231592</v>
      </c>
      <c r="K68" s="983">
        <f t="shared" si="40"/>
        <v>1694181</v>
      </c>
      <c r="L68" s="983">
        <f t="shared" si="40"/>
        <v>110859</v>
      </c>
      <c r="M68" s="983">
        <f t="shared" si="40"/>
        <v>2502000</v>
      </c>
      <c r="N68" s="983">
        <f t="shared" si="40"/>
        <v>100000</v>
      </c>
      <c r="O68" s="983">
        <f t="shared" si="40"/>
        <v>6974533</v>
      </c>
      <c r="P68" s="983">
        <f t="shared" si="40"/>
        <v>6974533</v>
      </c>
      <c r="Q68" s="983">
        <f t="shared" si="40"/>
        <v>328885</v>
      </c>
      <c r="R68" s="983">
        <f t="shared" si="40"/>
        <v>2502000</v>
      </c>
      <c r="S68" s="983">
        <f t="shared" si="40"/>
        <v>1917700</v>
      </c>
      <c r="T68" s="983">
        <f t="shared" si="40"/>
        <v>7085307</v>
      </c>
      <c r="U68" s="983">
        <f t="shared" si="40"/>
        <v>645553</v>
      </c>
      <c r="V68" s="983">
        <f t="shared" si="40"/>
        <v>7730860</v>
      </c>
      <c r="W68" s="983">
        <f t="shared" si="40"/>
        <v>5890072</v>
      </c>
      <c r="X68" s="983">
        <f t="shared" si="40"/>
        <v>1721282</v>
      </c>
      <c r="Y68" s="983">
        <f t="shared" si="40"/>
        <v>0</v>
      </c>
      <c r="Z68" s="983">
        <f t="shared" si="40"/>
        <v>1089761</v>
      </c>
      <c r="AA68" s="983">
        <f t="shared" si="40"/>
        <v>12118603.59</v>
      </c>
      <c r="AB68" s="983">
        <f t="shared" si="40"/>
        <v>1678928.41</v>
      </c>
      <c r="AC68" s="983">
        <f t="shared" si="40"/>
        <v>13797532</v>
      </c>
      <c r="AD68" s="984">
        <f t="shared" si="40"/>
        <v>13797532</v>
      </c>
    </row>
  </sheetData>
  <mergeCells count="11">
    <mergeCell ref="AA5:AD6"/>
    <mergeCell ref="D5:Z5"/>
    <mergeCell ref="A3:AC3"/>
    <mergeCell ref="Y6:Z6"/>
    <mergeCell ref="A68:C68"/>
    <mergeCell ref="A5:A7"/>
    <mergeCell ref="C5:C7"/>
    <mergeCell ref="D6:G6"/>
    <mergeCell ref="H6:L6"/>
    <mergeCell ref="M6:R6"/>
    <mergeCell ref="S6:X6"/>
  </mergeCells>
  <pageMargins left="0.70866141732283472" right="0.70866141732283472" top="0.74803149606299213" bottom="0.74803149606299213" header="0.31496062992125984" footer="0.31496062992125984"/>
  <pageSetup paperSize="8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  <pageSetUpPr fitToPage="1"/>
  </sheetPr>
  <dimension ref="A1:Z66"/>
  <sheetViews>
    <sheetView view="pageBreakPreview" zoomScale="90" zoomScaleNormal="100" zoomScaleSheetLayoutView="90" workbookViewId="0">
      <pane xSplit="2" ySplit="6" topLeftCell="O7" activePane="bottomRight" state="frozen"/>
      <selection activeCell="P20" sqref="P20"/>
      <selection pane="topRight" activeCell="P20" sqref="P20"/>
      <selection pane="bottomLeft" activeCell="P20" sqref="P20"/>
      <selection pane="bottomRight"/>
    </sheetView>
  </sheetViews>
  <sheetFormatPr defaultRowHeight="14.5" x14ac:dyDescent="0.35"/>
  <cols>
    <col min="1" max="1" width="32.7265625" style="373" customWidth="1"/>
    <col min="2" max="2" width="7.81640625" style="373" customWidth="1"/>
    <col min="3" max="4" width="14.54296875" style="145" hidden="1" customWidth="1"/>
    <col min="5" max="5" width="24.26953125" style="145" customWidth="1"/>
    <col min="6" max="7" width="14.54296875" style="145" hidden="1" customWidth="1"/>
    <col min="8" max="8" width="14.54296875" style="145" customWidth="1"/>
    <col min="9" max="9" width="27.453125" style="145" customWidth="1"/>
    <col min="10" max="10" width="15" style="145" hidden="1" customWidth="1"/>
    <col min="11" max="12" width="17.453125" style="145" hidden="1" customWidth="1"/>
    <col min="13" max="13" width="14.54296875" style="145" hidden="1" customWidth="1"/>
    <col min="14" max="14" width="14.54296875" style="145" customWidth="1"/>
    <col min="15" max="15" width="26.81640625" style="145" customWidth="1"/>
    <col min="16" max="16" width="14.54296875" style="754" hidden="1" customWidth="1"/>
    <col min="17" max="17" width="14.7265625" style="740" hidden="1" customWidth="1"/>
    <col min="18" max="18" width="18.1796875" style="740" hidden="1" customWidth="1"/>
    <col min="19" max="19" width="13.7265625" style="740" hidden="1" customWidth="1"/>
    <col min="20" max="22" width="13.7265625" style="740" customWidth="1"/>
    <col min="23" max="23" width="23" style="758" customWidth="1"/>
    <col min="24" max="24" width="15.453125" hidden="1" customWidth="1"/>
    <col min="25" max="25" width="14.54296875" customWidth="1"/>
    <col min="26" max="26" width="15" customWidth="1"/>
  </cols>
  <sheetData>
    <row r="1" spans="1:26" x14ac:dyDescent="0.35">
      <c r="A1" s="373" t="s">
        <v>1383</v>
      </c>
    </row>
    <row r="3" spans="1:26" x14ac:dyDescent="0.35">
      <c r="A3" s="1251" t="s">
        <v>563</v>
      </c>
      <c r="B3" s="1252"/>
      <c r="C3" s="1252"/>
      <c r="D3" s="1252"/>
      <c r="E3" s="1252"/>
      <c r="F3" s="1252"/>
      <c r="G3" s="1252"/>
      <c r="H3" s="1252"/>
      <c r="I3" s="1252"/>
      <c r="J3" s="1252"/>
      <c r="K3" s="1253"/>
      <c r="L3" s="1253"/>
      <c r="M3" s="1253"/>
      <c r="N3" s="1253"/>
      <c r="O3" s="1253"/>
      <c r="P3" s="1253"/>
      <c r="Q3" s="1253"/>
      <c r="R3" s="1253"/>
      <c r="S3" s="1253"/>
      <c r="T3" s="1253"/>
      <c r="U3" s="1253"/>
      <c r="V3" s="1253"/>
      <c r="W3" s="1254"/>
    </row>
    <row r="4" spans="1:26" ht="15" customHeight="1" x14ac:dyDescent="0.35">
      <c r="A4" s="1255" t="s">
        <v>2</v>
      </c>
      <c r="B4" s="1257" t="s">
        <v>3</v>
      </c>
      <c r="C4" s="1262" t="s">
        <v>259</v>
      </c>
      <c r="D4" s="1263"/>
      <c r="E4" s="1263"/>
      <c r="F4" s="1263"/>
      <c r="G4" s="1263"/>
      <c r="H4" s="1263"/>
      <c r="I4" s="1263"/>
      <c r="J4" s="1263"/>
      <c r="K4" s="1263"/>
      <c r="L4" s="1263"/>
      <c r="M4" s="1263"/>
      <c r="N4" s="1263"/>
      <c r="O4" s="1263"/>
      <c r="P4" s="1263"/>
      <c r="Q4" s="1263"/>
      <c r="R4" s="1263"/>
      <c r="S4" s="1263"/>
      <c r="T4" s="1263"/>
      <c r="U4" s="1263"/>
      <c r="V4" s="1263"/>
      <c r="W4" s="1263"/>
      <c r="X4" s="1263"/>
      <c r="Y4" s="1263"/>
      <c r="Z4" s="1263"/>
    </row>
    <row r="5" spans="1:26" ht="36" customHeight="1" x14ac:dyDescent="0.35">
      <c r="A5" s="1256"/>
      <c r="B5" s="1258"/>
      <c r="C5" s="1259" t="s">
        <v>479</v>
      </c>
      <c r="D5" s="1259"/>
      <c r="E5" s="1259"/>
      <c r="F5" s="1259"/>
      <c r="G5" s="1259"/>
      <c r="H5" s="1259"/>
      <c r="I5" s="1260" t="s">
        <v>879</v>
      </c>
      <c r="J5" s="1260"/>
      <c r="K5" s="1260"/>
      <c r="L5" s="1260"/>
      <c r="M5" s="1260"/>
      <c r="N5" s="1260"/>
      <c r="O5" s="1260" t="s">
        <v>876</v>
      </c>
      <c r="P5" s="1260"/>
      <c r="Q5" s="1260"/>
      <c r="R5" s="1260"/>
      <c r="S5" s="1260"/>
      <c r="T5" s="1260"/>
      <c r="U5" s="1264" t="s">
        <v>1108</v>
      </c>
      <c r="V5" s="1265"/>
      <c r="W5" s="1261" t="s">
        <v>480</v>
      </c>
      <c r="X5" s="1261"/>
      <c r="Y5" s="1261"/>
      <c r="Z5" s="1261"/>
    </row>
    <row r="6" spans="1:26" ht="36.75" customHeight="1" x14ac:dyDescent="0.35">
      <c r="A6" s="1256"/>
      <c r="B6" s="1258"/>
      <c r="C6" s="364" t="s">
        <v>798</v>
      </c>
      <c r="D6" s="364" t="s">
        <v>870</v>
      </c>
      <c r="E6" s="364" t="s">
        <v>934</v>
      </c>
      <c r="F6" s="364" t="s">
        <v>798</v>
      </c>
      <c r="G6" s="364" t="s">
        <v>870</v>
      </c>
      <c r="H6" s="364" t="s">
        <v>673</v>
      </c>
      <c r="I6" s="364" t="s">
        <v>934</v>
      </c>
      <c r="J6" s="364" t="s">
        <v>798</v>
      </c>
      <c r="K6" s="364" t="s">
        <v>835</v>
      </c>
      <c r="L6" s="364" t="s">
        <v>836</v>
      </c>
      <c r="M6" s="364" t="s">
        <v>870</v>
      </c>
      <c r="N6" s="364" t="s">
        <v>673</v>
      </c>
      <c r="O6" s="364" t="s">
        <v>934</v>
      </c>
      <c r="P6" s="1031" t="s">
        <v>798</v>
      </c>
      <c r="Q6" s="940" t="s">
        <v>871</v>
      </c>
      <c r="R6" s="940" t="s">
        <v>872</v>
      </c>
      <c r="S6" s="940" t="s">
        <v>870</v>
      </c>
      <c r="T6" s="940" t="s">
        <v>673</v>
      </c>
      <c r="U6" s="364" t="s">
        <v>934</v>
      </c>
      <c r="V6" s="940" t="s">
        <v>673</v>
      </c>
      <c r="W6" s="940" t="s">
        <v>968</v>
      </c>
      <c r="X6" s="384" t="s">
        <v>1097</v>
      </c>
      <c r="Y6" s="939" t="s">
        <v>1101</v>
      </c>
      <c r="Z6" s="326" t="s">
        <v>1103</v>
      </c>
    </row>
    <row r="7" spans="1:26" s="708" customFormat="1" x14ac:dyDescent="0.35">
      <c r="A7" s="353" t="s">
        <v>268</v>
      </c>
      <c r="B7" s="346" t="s">
        <v>44</v>
      </c>
      <c r="C7" s="365">
        <f>SUM(C8:C8)</f>
        <v>0</v>
      </c>
      <c r="D7" s="365"/>
      <c r="E7" s="365"/>
      <c r="F7" s="365">
        <f t="shared" ref="F7:J7" si="0">SUM(F8:F8)</f>
        <v>0</v>
      </c>
      <c r="G7" s="365"/>
      <c r="H7" s="365"/>
      <c r="I7" s="365"/>
      <c r="J7" s="365">
        <f t="shared" si="0"/>
        <v>0</v>
      </c>
      <c r="K7" s="365">
        <v>80000</v>
      </c>
      <c r="L7" s="365">
        <v>80000</v>
      </c>
      <c r="M7" s="365"/>
      <c r="N7" s="591">
        <v>93117</v>
      </c>
      <c r="O7" s="365"/>
      <c r="P7" s="759">
        <f t="shared" ref="P7:P49" si="1">SUM(C7,F7,J7)</f>
        <v>0</v>
      </c>
      <c r="Q7" s="756"/>
      <c r="R7" s="757">
        <f>Q7+P7</f>
        <v>0</v>
      </c>
      <c r="S7" s="757">
        <f>D7+G7+M7</f>
        <v>0</v>
      </c>
      <c r="T7" s="757"/>
      <c r="U7" s="757"/>
      <c r="V7" s="757"/>
      <c r="W7" s="757">
        <f>SUM(O7,I7,E7)</f>
        <v>0</v>
      </c>
      <c r="X7" s="1032">
        <f>Y7-W7</f>
        <v>93117</v>
      </c>
      <c r="Y7" s="1032">
        <f>Z7</f>
        <v>93117</v>
      </c>
      <c r="Z7" s="1032">
        <f>H7+N7+T7+V7</f>
        <v>93117</v>
      </c>
    </row>
    <row r="8" spans="1:26" s="708" customFormat="1" hidden="1" x14ac:dyDescent="0.35">
      <c r="A8" s="345" t="s">
        <v>272</v>
      </c>
      <c r="B8" s="346"/>
      <c r="C8" s="370">
        <v>0</v>
      </c>
      <c r="D8" s="370"/>
      <c r="E8" s="370"/>
      <c r="F8" s="370"/>
      <c r="G8" s="370"/>
      <c r="H8" s="370"/>
      <c r="I8" s="370"/>
      <c r="J8" s="370"/>
      <c r="K8" s="370">
        <v>80000</v>
      </c>
      <c r="L8" s="370">
        <v>80000</v>
      </c>
      <c r="M8" s="370"/>
      <c r="N8" s="370"/>
      <c r="O8" s="370"/>
      <c r="P8" s="759">
        <f t="shared" si="1"/>
        <v>0</v>
      </c>
      <c r="Q8" s="756"/>
      <c r="R8" s="757">
        <f t="shared" ref="R8:R23" si="2">Q8+P8</f>
        <v>0</v>
      </c>
      <c r="S8" s="757">
        <f t="shared" ref="S8:S64" si="3">D8+G8+M8</f>
        <v>0</v>
      </c>
      <c r="T8" s="757"/>
      <c r="U8" s="757"/>
      <c r="V8" s="757"/>
      <c r="W8" s="757">
        <f t="shared" ref="W8:W66" si="4">SUM(O8,I8,E8)</f>
        <v>0</v>
      </c>
      <c r="X8" s="1032">
        <f t="shared" ref="X8:X66" si="5">Y8-W8</f>
        <v>0</v>
      </c>
      <c r="Y8" s="1032">
        <f t="shared" ref="Y8:Y66" si="6">Z8</f>
        <v>0</v>
      </c>
      <c r="Z8" s="1032">
        <f t="shared" ref="Z8:Z66" si="7">H8+N8+T8+V8</f>
        <v>0</v>
      </c>
    </row>
    <row r="9" spans="1:26" s="708" customFormat="1" x14ac:dyDescent="0.35">
      <c r="A9" s="353" t="s">
        <v>273</v>
      </c>
      <c r="B9" s="346" t="s">
        <v>50</v>
      </c>
      <c r="C9" s="365">
        <v>100000</v>
      </c>
      <c r="D9" s="365">
        <v>6787</v>
      </c>
      <c r="E9" s="365">
        <v>10000</v>
      </c>
      <c r="F9" s="365">
        <f t="shared" ref="F9" si="8">SUM(F10:F15)</f>
        <v>0</v>
      </c>
      <c r="G9" s="365"/>
      <c r="H9" s="365"/>
      <c r="I9" s="365"/>
      <c r="J9" s="365"/>
      <c r="K9" s="365">
        <v>0</v>
      </c>
      <c r="L9" s="365">
        <v>0</v>
      </c>
      <c r="M9" s="365"/>
      <c r="N9" s="365"/>
      <c r="O9" s="365"/>
      <c r="P9" s="759">
        <f t="shared" si="1"/>
        <v>100000</v>
      </c>
      <c r="Q9" s="756">
        <v>20000</v>
      </c>
      <c r="R9" s="757">
        <f t="shared" si="2"/>
        <v>120000</v>
      </c>
      <c r="S9" s="757">
        <f t="shared" si="3"/>
        <v>6787</v>
      </c>
      <c r="T9" s="757"/>
      <c r="U9" s="757"/>
      <c r="V9" s="757"/>
      <c r="W9" s="757">
        <f t="shared" si="4"/>
        <v>10000</v>
      </c>
      <c r="X9" s="1032">
        <f t="shared" si="5"/>
        <v>-10000</v>
      </c>
      <c r="Y9" s="1032">
        <f t="shared" si="6"/>
        <v>0</v>
      </c>
      <c r="Z9" s="1032">
        <f t="shared" si="7"/>
        <v>0</v>
      </c>
    </row>
    <row r="10" spans="1:26" hidden="1" x14ac:dyDescent="0.35">
      <c r="A10" s="345" t="s">
        <v>274</v>
      </c>
      <c r="B10" s="346"/>
      <c r="C10" s="370"/>
      <c r="D10" s="370"/>
      <c r="E10" s="370"/>
      <c r="F10" s="370"/>
      <c r="G10" s="370"/>
      <c r="H10" s="370"/>
      <c r="I10" s="370"/>
      <c r="J10" s="370"/>
      <c r="K10" s="370">
        <v>0</v>
      </c>
      <c r="L10" s="370">
        <v>0</v>
      </c>
      <c r="M10" s="370"/>
      <c r="N10" s="370"/>
      <c r="O10" s="370"/>
      <c r="P10" s="755">
        <f t="shared" si="1"/>
        <v>0</v>
      </c>
      <c r="Q10" s="756"/>
      <c r="R10" s="757">
        <f t="shared" si="2"/>
        <v>0</v>
      </c>
      <c r="S10" s="757">
        <f t="shared" si="3"/>
        <v>0</v>
      </c>
      <c r="T10" s="757"/>
      <c r="U10" s="757"/>
      <c r="V10" s="757"/>
      <c r="W10" s="757">
        <f t="shared" si="4"/>
        <v>0</v>
      </c>
      <c r="X10" s="1032">
        <f t="shared" si="5"/>
        <v>0</v>
      </c>
      <c r="Y10" s="1032">
        <f t="shared" si="6"/>
        <v>0</v>
      </c>
      <c r="Z10" s="1032">
        <f t="shared" si="7"/>
        <v>0</v>
      </c>
    </row>
    <row r="11" spans="1:26" hidden="1" x14ac:dyDescent="0.35">
      <c r="A11" s="345" t="s">
        <v>275</v>
      </c>
      <c r="B11" s="346"/>
      <c r="C11" s="370"/>
      <c r="D11" s="370"/>
      <c r="E11" s="370"/>
      <c r="F11" s="370"/>
      <c r="G11" s="370"/>
      <c r="H11" s="370"/>
      <c r="I11" s="370"/>
      <c r="J11" s="370"/>
      <c r="K11" s="370">
        <v>0</v>
      </c>
      <c r="L11" s="370">
        <v>0</v>
      </c>
      <c r="M11" s="370"/>
      <c r="N11" s="370"/>
      <c r="O11" s="370"/>
      <c r="P11" s="755">
        <f t="shared" si="1"/>
        <v>0</v>
      </c>
      <c r="Q11" s="756"/>
      <c r="R11" s="757">
        <f t="shared" si="2"/>
        <v>0</v>
      </c>
      <c r="S11" s="757">
        <f t="shared" si="3"/>
        <v>0</v>
      </c>
      <c r="T11" s="757"/>
      <c r="U11" s="757"/>
      <c r="V11" s="757"/>
      <c r="W11" s="757">
        <f t="shared" si="4"/>
        <v>0</v>
      </c>
      <c r="X11" s="1032">
        <f t="shared" si="5"/>
        <v>0</v>
      </c>
      <c r="Y11" s="1032">
        <f t="shared" si="6"/>
        <v>0</v>
      </c>
      <c r="Z11" s="1032">
        <f t="shared" si="7"/>
        <v>0</v>
      </c>
    </row>
    <row r="12" spans="1:26" hidden="1" x14ac:dyDescent="0.35">
      <c r="A12" s="345" t="s">
        <v>276</v>
      </c>
      <c r="B12" s="346"/>
      <c r="C12" s="370"/>
      <c r="D12" s="370"/>
      <c r="E12" s="370"/>
      <c r="F12" s="370"/>
      <c r="G12" s="370"/>
      <c r="H12" s="370"/>
      <c r="I12" s="370"/>
      <c r="J12" s="370"/>
      <c r="K12" s="370">
        <v>0</v>
      </c>
      <c r="L12" s="370">
        <v>0</v>
      </c>
      <c r="M12" s="370"/>
      <c r="N12" s="370"/>
      <c r="O12" s="370"/>
      <c r="P12" s="755">
        <f t="shared" si="1"/>
        <v>0</v>
      </c>
      <c r="Q12" s="756"/>
      <c r="R12" s="757">
        <f t="shared" si="2"/>
        <v>0</v>
      </c>
      <c r="S12" s="757">
        <f t="shared" si="3"/>
        <v>0</v>
      </c>
      <c r="T12" s="757"/>
      <c r="U12" s="757"/>
      <c r="V12" s="757"/>
      <c r="W12" s="757">
        <f t="shared" si="4"/>
        <v>0</v>
      </c>
      <c r="X12" s="1032">
        <f t="shared" si="5"/>
        <v>0</v>
      </c>
      <c r="Y12" s="1032">
        <f t="shared" si="6"/>
        <v>0</v>
      </c>
      <c r="Z12" s="1032">
        <f t="shared" si="7"/>
        <v>0</v>
      </c>
    </row>
    <row r="13" spans="1:26" hidden="1" x14ac:dyDescent="0.35">
      <c r="A13" s="345" t="s">
        <v>277</v>
      </c>
      <c r="B13" s="346"/>
      <c r="C13" s="370"/>
      <c r="D13" s="370"/>
      <c r="E13" s="370"/>
      <c r="F13" s="370"/>
      <c r="G13" s="370"/>
      <c r="H13" s="370"/>
      <c r="I13" s="370"/>
      <c r="J13" s="370"/>
      <c r="K13" s="370">
        <v>0</v>
      </c>
      <c r="L13" s="370">
        <v>0</v>
      </c>
      <c r="M13" s="370"/>
      <c r="N13" s="370"/>
      <c r="O13" s="370"/>
      <c r="P13" s="755">
        <f t="shared" si="1"/>
        <v>0</v>
      </c>
      <c r="Q13" s="756"/>
      <c r="R13" s="757">
        <f t="shared" si="2"/>
        <v>0</v>
      </c>
      <c r="S13" s="757">
        <f t="shared" si="3"/>
        <v>0</v>
      </c>
      <c r="T13" s="757"/>
      <c r="U13" s="757"/>
      <c r="V13" s="757"/>
      <c r="W13" s="757">
        <f t="shared" si="4"/>
        <v>0</v>
      </c>
      <c r="X13" s="1032">
        <f t="shared" si="5"/>
        <v>0</v>
      </c>
      <c r="Y13" s="1032">
        <f t="shared" si="6"/>
        <v>0</v>
      </c>
      <c r="Z13" s="1032">
        <f t="shared" si="7"/>
        <v>0</v>
      </c>
    </row>
    <row r="14" spans="1:26" hidden="1" x14ac:dyDescent="0.35">
      <c r="A14" s="345" t="s">
        <v>56</v>
      </c>
      <c r="B14" s="346"/>
      <c r="C14" s="370"/>
      <c r="D14" s="370"/>
      <c r="E14" s="370"/>
      <c r="F14" s="370"/>
      <c r="G14" s="370"/>
      <c r="H14" s="370"/>
      <c r="I14" s="370"/>
      <c r="J14" s="370"/>
      <c r="K14" s="370">
        <v>0</v>
      </c>
      <c r="L14" s="370">
        <v>0</v>
      </c>
      <c r="M14" s="370"/>
      <c r="N14" s="370"/>
      <c r="O14" s="370"/>
      <c r="P14" s="755">
        <f t="shared" si="1"/>
        <v>0</v>
      </c>
      <c r="Q14" s="756"/>
      <c r="R14" s="757">
        <f t="shared" si="2"/>
        <v>0</v>
      </c>
      <c r="S14" s="757">
        <f t="shared" si="3"/>
        <v>0</v>
      </c>
      <c r="T14" s="757"/>
      <c r="U14" s="757"/>
      <c r="V14" s="757"/>
      <c r="W14" s="757">
        <f t="shared" si="4"/>
        <v>0</v>
      </c>
      <c r="X14" s="1032">
        <f t="shared" si="5"/>
        <v>0</v>
      </c>
      <c r="Y14" s="1032">
        <f t="shared" si="6"/>
        <v>0</v>
      </c>
      <c r="Z14" s="1032">
        <f t="shared" si="7"/>
        <v>0</v>
      </c>
    </row>
    <row r="15" spans="1:26" hidden="1" x14ac:dyDescent="0.35">
      <c r="A15" s="345" t="s">
        <v>278</v>
      </c>
      <c r="B15" s="346"/>
      <c r="C15" s="370"/>
      <c r="D15" s="370"/>
      <c r="E15" s="370"/>
      <c r="F15" s="370"/>
      <c r="G15" s="370"/>
      <c r="H15" s="370"/>
      <c r="I15" s="370"/>
      <c r="J15" s="370"/>
      <c r="K15" s="370">
        <v>0</v>
      </c>
      <c r="L15" s="370">
        <v>0</v>
      </c>
      <c r="M15" s="370"/>
      <c r="N15" s="370"/>
      <c r="O15" s="370"/>
      <c r="P15" s="755">
        <f t="shared" si="1"/>
        <v>0</v>
      </c>
      <c r="Q15" s="756"/>
      <c r="R15" s="757">
        <f t="shared" si="2"/>
        <v>0</v>
      </c>
      <c r="S15" s="757">
        <f t="shared" si="3"/>
        <v>0</v>
      </c>
      <c r="T15" s="757"/>
      <c r="U15" s="757"/>
      <c r="V15" s="757"/>
      <c r="W15" s="757">
        <f t="shared" si="4"/>
        <v>0</v>
      </c>
      <c r="X15" s="1032">
        <f t="shared" si="5"/>
        <v>0</v>
      </c>
      <c r="Y15" s="1032">
        <f t="shared" si="6"/>
        <v>0</v>
      </c>
      <c r="Z15" s="1032">
        <f t="shared" si="7"/>
        <v>0</v>
      </c>
    </row>
    <row r="16" spans="1:26" s="708" customFormat="1" ht="12" customHeight="1" x14ac:dyDescent="0.35">
      <c r="A16" s="353" t="s">
        <v>279</v>
      </c>
      <c r="B16" s="346" t="s">
        <v>280</v>
      </c>
      <c r="C16" s="370"/>
      <c r="D16" s="370"/>
      <c r="E16" s="370"/>
      <c r="F16" s="370"/>
      <c r="G16" s="370"/>
      <c r="H16" s="370"/>
      <c r="I16" s="370"/>
      <c r="J16" s="370"/>
      <c r="K16" s="370">
        <v>0</v>
      </c>
      <c r="L16" s="370">
        <v>0</v>
      </c>
      <c r="M16" s="370"/>
      <c r="N16" s="370"/>
      <c r="O16" s="370"/>
      <c r="P16" s="759">
        <f t="shared" si="1"/>
        <v>0</v>
      </c>
      <c r="Q16" s="756"/>
      <c r="R16" s="757">
        <f t="shared" si="2"/>
        <v>0</v>
      </c>
      <c r="S16" s="757">
        <f t="shared" si="3"/>
        <v>0</v>
      </c>
      <c r="T16" s="757"/>
      <c r="U16" s="757"/>
      <c r="V16" s="757"/>
      <c r="W16" s="757">
        <f t="shared" si="4"/>
        <v>0</v>
      </c>
      <c r="X16" s="1032">
        <f t="shared" si="5"/>
        <v>0</v>
      </c>
      <c r="Y16" s="1032">
        <f t="shared" si="6"/>
        <v>0</v>
      </c>
      <c r="Z16" s="1032">
        <f t="shared" si="7"/>
        <v>0</v>
      </c>
    </row>
    <row r="17" spans="1:26" x14ac:dyDescent="0.35">
      <c r="A17" s="343" t="s">
        <v>281</v>
      </c>
      <c r="B17" s="344" t="s">
        <v>58</v>
      </c>
      <c r="C17" s="363">
        <f>SUM(C9,C7,C16)</f>
        <v>100000</v>
      </c>
      <c r="D17" s="363">
        <f t="shared" ref="D17" si="9">SUM(D9,D7,D16)</f>
        <v>6787</v>
      </c>
      <c r="E17" s="363">
        <f>SUM(E7:E16)</f>
        <v>10000</v>
      </c>
      <c r="F17" s="363">
        <f t="shared" ref="F17:T17" si="10">SUM(F7:F16)</f>
        <v>0</v>
      </c>
      <c r="G17" s="363">
        <f t="shared" si="10"/>
        <v>0</v>
      </c>
      <c r="H17" s="363">
        <f t="shared" si="10"/>
        <v>0</v>
      </c>
      <c r="I17" s="363">
        <f t="shared" si="10"/>
        <v>0</v>
      </c>
      <c r="J17" s="363">
        <f t="shared" si="10"/>
        <v>0</v>
      </c>
      <c r="K17" s="363">
        <f t="shared" si="10"/>
        <v>160000</v>
      </c>
      <c r="L17" s="363">
        <f t="shared" si="10"/>
        <v>160000</v>
      </c>
      <c r="M17" s="363">
        <f t="shared" si="10"/>
        <v>0</v>
      </c>
      <c r="N17" s="363">
        <f t="shared" si="10"/>
        <v>93117</v>
      </c>
      <c r="O17" s="363">
        <f t="shared" si="10"/>
        <v>0</v>
      </c>
      <c r="P17" s="363">
        <f t="shared" si="10"/>
        <v>100000</v>
      </c>
      <c r="Q17" s="363">
        <f t="shared" si="10"/>
        <v>20000</v>
      </c>
      <c r="R17" s="363">
        <f t="shared" si="10"/>
        <v>120000</v>
      </c>
      <c r="S17" s="363">
        <f t="shared" si="10"/>
        <v>6787</v>
      </c>
      <c r="T17" s="363">
        <f t="shared" si="10"/>
        <v>0</v>
      </c>
      <c r="U17" s="363">
        <f t="shared" ref="U17" si="11">SUM(U7:U16)</f>
        <v>0</v>
      </c>
      <c r="V17" s="363">
        <f t="shared" ref="V17" si="12">SUM(V7:V16)</f>
        <v>0</v>
      </c>
      <c r="W17" s="757">
        <f t="shared" si="4"/>
        <v>10000</v>
      </c>
      <c r="X17" s="1032">
        <f t="shared" si="5"/>
        <v>83117</v>
      </c>
      <c r="Y17" s="1032">
        <f t="shared" si="6"/>
        <v>93117</v>
      </c>
      <c r="Z17" s="1032">
        <f t="shared" si="7"/>
        <v>93117</v>
      </c>
    </row>
    <row r="18" spans="1:26" s="708" customFormat="1" x14ac:dyDescent="0.35">
      <c r="A18" s="353" t="s">
        <v>282</v>
      </c>
      <c r="B18" s="346" t="s">
        <v>60</v>
      </c>
      <c r="C18" s="370">
        <f t="shared" ref="C18:J18" si="13">SUM(C19:C22)</f>
        <v>120000</v>
      </c>
      <c r="D18" s="370">
        <v>46460</v>
      </c>
      <c r="E18" s="370">
        <v>120000</v>
      </c>
      <c r="F18" s="370">
        <f t="shared" si="13"/>
        <v>0</v>
      </c>
      <c r="G18" s="370"/>
      <c r="H18" s="598">
        <v>75900</v>
      </c>
      <c r="I18" s="370"/>
      <c r="J18" s="370">
        <f t="shared" si="13"/>
        <v>0</v>
      </c>
      <c r="K18" s="370">
        <v>24000</v>
      </c>
      <c r="L18" s="370">
        <v>24000</v>
      </c>
      <c r="M18" s="370"/>
      <c r="N18" s="370"/>
      <c r="O18" s="370"/>
      <c r="P18" s="759">
        <f t="shared" si="1"/>
        <v>120000</v>
      </c>
      <c r="Q18" s="756"/>
      <c r="R18" s="757">
        <f t="shared" si="2"/>
        <v>120000</v>
      </c>
      <c r="S18" s="757">
        <f t="shared" si="3"/>
        <v>46460</v>
      </c>
      <c r="T18" s="757"/>
      <c r="U18" s="757"/>
      <c r="V18" s="757"/>
      <c r="W18" s="757">
        <f t="shared" si="4"/>
        <v>120000</v>
      </c>
      <c r="X18" s="1032">
        <f t="shared" si="5"/>
        <v>-44100</v>
      </c>
      <c r="Y18" s="1032">
        <f t="shared" si="6"/>
        <v>75900</v>
      </c>
      <c r="Z18" s="1032">
        <f t="shared" si="7"/>
        <v>75900</v>
      </c>
    </row>
    <row r="19" spans="1:26" hidden="1" x14ac:dyDescent="0.35">
      <c r="A19" s="345" t="s">
        <v>283</v>
      </c>
      <c r="B19" s="346"/>
      <c r="C19" s="370"/>
      <c r="D19" s="370"/>
      <c r="E19" s="370"/>
      <c r="F19" s="370"/>
      <c r="G19" s="370"/>
      <c r="H19" s="370"/>
      <c r="I19" s="370"/>
      <c r="J19" s="370"/>
      <c r="K19" s="370">
        <v>0</v>
      </c>
      <c r="L19" s="370">
        <v>0</v>
      </c>
      <c r="M19" s="370"/>
      <c r="N19" s="370"/>
      <c r="O19" s="370"/>
      <c r="P19" s="755">
        <f t="shared" si="1"/>
        <v>0</v>
      </c>
      <c r="Q19" s="756"/>
      <c r="R19" s="757">
        <f t="shared" si="2"/>
        <v>0</v>
      </c>
      <c r="S19" s="757">
        <f t="shared" si="3"/>
        <v>0</v>
      </c>
      <c r="T19" s="757"/>
      <c r="U19" s="757"/>
      <c r="V19" s="757"/>
      <c r="W19" s="757">
        <f t="shared" si="4"/>
        <v>0</v>
      </c>
      <c r="X19" s="1032">
        <f t="shared" si="5"/>
        <v>0</v>
      </c>
      <c r="Y19" s="1032">
        <f t="shared" si="6"/>
        <v>0</v>
      </c>
      <c r="Z19" s="1032">
        <f t="shared" si="7"/>
        <v>0</v>
      </c>
    </row>
    <row r="20" spans="1:26" hidden="1" x14ac:dyDescent="0.35">
      <c r="A20" s="345" t="s">
        <v>284</v>
      </c>
      <c r="B20" s="346"/>
      <c r="C20" s="370"/>
      <c r="D20" s="370"/>
      <c r="E20" s="370"/>
      <c r="F20" s="370"/>
      <c r="G20" s="370"/>
      <c r="H20" s="370"/>
      <c r="I20" s="370"/>
      <c r="J20" s="370"/>
      <c r="K20" s="370">
        <v>0</v>
      </c>
      <c r="L20" s="370">
        <v>0</v>
      </c>
      <c r="M20" s="370"/>
      <c r="N20" s="370"/>
      <c r="O20" s="370"/>
      <c r="P20" s="755">
        <f t="shared" si="1"/>
        <v>0</v>
      </c>
      <c r="Q20" s="756"/>
      <c r="R20" s="757">
        <f t="shared" si="2"/>
        <v>0</v>
      </c>
      <c r="S20" s="757">
        <f t="shared" si="3"/>
        <v>0</v>
      </c>
      <c r="T20" s="757"/>
      <c r="U20" s="757"/>
      <c r="V20" s="757"/>
      <c r="W20" s="757">
        <f t="shared" si="4"/>
        <v>0</v>
      </c>
      <c r="X20" s="1032">
        <f t="shared" si="5"/>
        <v>0</v>
      </c>
      <c r="Y20" s="1032">
        <f t="shared" si="6"/>
        <v>0</v>
      </c>
      <c r="Z20" s="1032">
        <f t="shared" si="7"/>
        <v>0</v>
      </c>
    </row>
    <row r="21" spans="1:26" hidden="1" x14ac:dyDescent="0.35">
      <c r="A21" s="345" t="s">
        <v>285</v>
      </c>
      <c r="B21" s="346"/>
      <c r="C21" s="370"/>
      <c r="D21" s="370"/>
      <c r="E21" s="370"/>
      <c r="F21" s="370"/>
      <c r="G21" s="370"/>
      <c r="H21" s="370"/>
      <c r="I21" s="370"/>
      <c r="J21" s="370"/>
      <c r="K21" s="370">
        <v>0</v>
      </c>
      <c r="L21" s="370">
        <v>0</v>
      </c>
      <c r="M21" s="370"/>
      <c r="N21" s="370"/>
      <c r="O21" s="370"/>
      <c r="P21" s="755">
        <f t="shared" si="1"/>
        <v>0</v>
      </c>
      <c r="Q21" s="756"/>
      <c r="R21" s="757">
        <f t="shared" si="2"/>
        <v>0</v>
      </c>
      <c r="S21" s="757">
        <f t="shared" si="3"/>
        <v>0</v>
      </c>
      <c r="T21" s="757"/>
      <c r="U21" s="757"/>
      <c r="V21" s="757"/>
      <c r="W21" s="757">
        <f t="shared" si="4"/>
        <v>0</v>
      </c>
      <c r="X21" s="1032">
        <f t="shared" si="5"/>
        <v>0</v>
      </c>
      <c r="Y21" s="1032">
        <f t="shared" si="6"/>
        <v>0</v>
      </c>
      <c r="Z21" s="1032">
        <f t="shared" si="7"/>
        <v>0</v>
      </c>
    </row>
    <row r="22" spans="1:26" hidden="1" x14ac:dyDescent="0.35">
      <c r="A22" s="345" t="s">
        <v>286</v>
      </c>
      <c r="B22" s="346"/>
      <c r="C22" s="370">
        <v>120000</v>
      </c>
      <c r="D22" s="370"/>
      <c r="E22" s="370"/>
      <c r="F22" s="370"/>
      <c r="G22" s="370"/>
      <c r="H22" s="370"/>
      <c r="I22" s="370"/>
      <c r="J22" s="370"/>
      <c r="K22" s="370">
        <v>24000</v>
      </c>
      <c r="L22" s="370">
        <v>24000</v>
      </c>
      <c r="M22" s="370"/>
      <c r="N22" s="370"/>
      <c r="O22" s="370"/>
      <c r="P22" s="755">
        <f t="shared" si="1"/>
        <v>120000</v>
      </c>
      <c r="Q22" s="756"/>
      <c r="R22" s="757">
        <f t="shared" si="2"/>
        <v>120000</v>
      </c>
      <c r="S22" s="757">
        <f t="shared" si="3"/>
        <v>0</v>
      </c>
      <c r="T22" s="757"/>
      <c r="U22" s="757"/>
      <c r="V22" s="757"/>
      <c r="W22" s="757">
        <f t="shared" si="4"/>
        <v>0</v>
      </c>
      <c r="X22" s="1032">
        <f t="shared" si="5"/>
        <v>0</v>
      </c>
      <c r="Y22" s="1032">
        <f t="shared" si="6"/>
        <v>0</v>
      </c>
      <c r="Z22" s="1032">
        <f t="shared" si="7"/>
        <v>0</v>
      </c>
    </row>
    <row r="23" spans="1:26" s="708" customFormat="1" x14ac:dyDescent="0.35">
      <c r="A23" s="353" t="s">
        <v>287</v>
      </c>
      <c r="B23" s="346" t="s">
        <v>64</v>
      </c>
      <c r="C23" s="365">
        <f t="shared" ref="C23:J23" si="14">SUM(C24:C25)</f>
        <v>60000</v>
      </c>
      <c r="D23" s="365">
        <v>64187</v>
      </c>
      <c r="E23" s="365">
        <v>80000</v>
      </c>
      <c r="F23" s="365">
        <f t="shared" si="14"/>
        <v>0</v>
      </c>
      <c r="G23" s="365"/>
      <c r="H23" s="598">
        <v>82162</v>
      </c>
      <c r="I23" s="365"/>
      <c r="J23" s="365">
        <f t="shared" si="14"/>
        <v>0</v>
      </c>
      <c r="K23" s="365">
        <v>60000</v>
      </c>
      <c r="L23" s="365">
        <v>60000</v>
      </c>
      <c r="M23" s="365"/>
      <c r="N23" s="365"/>
      <c r="O23" s="365"/>
      <c r="P23" s="759">
        <f t="shared" si="1"/>
        <v>60000</v>
      </c>
      <c r="Q23" s="756">
        <v>4187</v>
      </c>
      <c r="R23" s="757">
        <f t="shared" si="2"/>
        <v>64187</v>
      </c>
      <c r="S23" s="757">
        <f t="shared" si="3"/>
        <v>64187</v>
      </c>
      <c r="T23" s="757"/>
      <c r="U23" s="757"/>
      <c r="V23" s="757"/>
      <c r="W23" s="757">
        <f t="shared" si="4"/>
        <v>80000</v>
      </c>
      <c r="X23" s="1032">
        <f t="shared" si="5"/>
        <v>2162</v>
      </c>
      <c r="Y23" s="1032">
        <f t="shared" si="6"/>
        <v>82162</v>
      </c>
      <c r="Z23" s="1032">
        <f t="shared" si="7"/>
        <v>82162</v>
      </c>
    </row>
    <row r="24" spans="1:26" hidden="1" x14ac:dyDescent="0.35">
      <c r="A24" s="345" t="s">
        <v>288</v>
      </c>
      <c r="B24" s="346"/>
      <c r="C24" s="370"/>
      <c r="D24" s="370"/>
      <c r="E24" s="370"/>
      <c r="F24" s="370"/>
      <c r="G24" s="370"/>
      <c r="H24" s="370"/>
      <c r="I24" s="370"/>
      <c r="J24" s="370"/>
      <c r="K24" s="370">
        <v>0</v>
      </c>
      <c r="L24" s="370">
        <v>0</v>
      </c>
      <c r="M24" s="370"/>
      <c r="N24" s="370"/>
      <c r="O24" s="370"/>
      <c r="P24" s="755">
        <f t="shared" si="1"/>
        <v>0</v>
      </c>
      <c r="Q24" s="756"/>
      <c r="R24" s="756"/>
      <c r="S24" s="757">
        <f t="shared" si="3"/>
        <v>0</v>
      </c>
      <c r="T24" s="757"/>
      <c r="U24" s="757"/>
      <c r="V24" s="757"/>
      <c r="W24" s="757">
        <f t="shared" si="4"/>
        <v>0</v>
      </c>
      <c r="X24" s="1032">
        <f t="shared" si="5"/>
        <v>0</v>
      </c>
      <c r="Y24" s="1032">
        <f t="shared" si="6"/>
        <v>0</v>
      </c>
      <c r="Z24" s="1032">
        <f t="shared" si="7"/>
        <v>0</v>
      </c>
    </row>
    <row r="25" spans="1:26" hidden="1" x14ac:dyDescent="0.35">
      <c r="A25" s="345" t="s">
        <v>289</v>
      </c>
      <c r="B25" s="346"/>
      <c r="C25" s="370">
        <v>60000</v>
      </c>
      <c r="D25" s="370"/>
      <c r="E25" s="370"/>
      <c r="F25" s="370"/>
      <c r="G25" s="370"/>
      <c r="H25" s="370"/>
      <c r="I25" s="370"/>
      <c r="J25" s="370"/>
      <c r="K25" s="370">
        <v>60000</v>
      </c>
      <c r="L25" s="370">
        <v>60000</v>
      </c>
      <c r="M25" s="370"/>
      <c r="N25" s="370"/>
      <c r="O25" s="370"/>
      <c r="P25" s="755">
        <f t="shared" si="1"/>
        <v>60000</v>
      </c>
      <c r="Q25" s="756"/>
      <c r="R25" s="756"/>
      <c r="S25" s="757">
        <f t="shared" si="3"/>
        <v>0</v>
      </c>
      <c r="T25" s="757"/>
      <c r="U25" s="757"/>
      <c r="V25" s="757"/>
      <c r="W25" s="757">
        <f t="shared" si="4"/>
        <v>0</v>
      </c>
      <c r="X25" s="1032">
        <f t="shared" si="5"/>
        <v>0</v>
      </c>
      <c r="Y25" s="1032">
        <f t="shared" si="6"/>
        <v>0</v>
      </c>
      <c r="Z25" s="1032">
        <f t="shared" si="7"/>
        <v>0</v>
      </c>
    </row>
    <row r="26" spans="1:26" x14ac:dyDescent="0.35">
      <c r="A26" s="343" t="s">
        <v>68</v>
      </c>
      <c r="B26" s="344" t="s">
        <v>69</v>
      </c>
      <c r="C26" s="363">
        <f>SUM(C18,C23)</f>
        <v>180000</v>
      </c>
      <c r="D26" s="363">
        <f t="shared" ref="D26" si="15">SUM(D18,D23)</f>
        <v>110647</v>
      </c>
      <c r="E26" s="363">
        <f>SUM(E18:E23)</f>
        <v>200000</v>
      </c>
      <c r="F26" s="363">
        <f t="shared" ref="F26:T26" si="16">SUM(F18:F23)</f>
        <v>0</v>
      </c>
      <c r="G26" s="363">
        <f t="shared" si="16"/>
        <v>0</v>
      </c>
      <c r="H26" s="363">
        <f t="shared" si="16"/>
        <v>158062</v>
      </c>
      <c r="I26" s="363">
        <f t="shared" si="16"/>
        <v>0</v>
      </c>
      <c r="J26" s="363">
        <f t="shared" si="16"/>
        <v>0</v>
      </c>
      <c r="K26" s="363">
        <f t="shared" si="16"/>
        <v>108000</v>
      </c>
      <c r="L26" s="363">
        <f t="shared" si="16"/>
        <v>108000</v>
      </c>
      <c r="M26" s="363">
        <f t="shared" si="16"/>
        <v>0</v>
      </c>
      <c r="N26" s="363">
        <f t="shared" si="16"/>
        <v>0</v>
      </c>
      <c r="O26" s="363">
        <f t="shared" si="16"/>
        <v>0</v>
      </c>
      <c r="P26" s="363">
        <f t="shared" si="16"/>
        <v>300000</v>
      </c>
      <c r="Q26" s="363">
        <f t="shared" si="16"/>
        <v>4187</v>
      </c>
      <c r="R26" s="363">
        <f t="shared" si="16"/>
        <v>304187</v>
      </c>
      <c r="S26" s="363">
        <f t="shared" si="16"/>
        <v>110647</v>
      </c>
      <c r="T26" s="363">
        <f t="shared" si="16"/>
        <v>0</v>
      </c>
      <c r="U26" s="363">
        <f t="shared" ref="U26:V26" si="17">SUM(U18:U23)</f>
        <v>0</v>
      </c>
      <c r="V26" s="363">
        <f t="shared" si="17"/>
        <v>0</v>
      </c>
      <c r="W26" s="757">
        <f t="shared" si="4"/>
        <v>200000</v>
      </c>
      <c r="X26" s="1032">
        <f t="shared" si="5"/>
        <v>-41938</v>
      </c>
      <c r="Y26" s="1032">
        <f t="shared" si="6"/>
        <v>158062</v>
      </c>
      <c r="Z26" s="1032">
        <f t="shared" si="7"/>
        <v>158062</v>
      </c>
    </row>
    <row r="27" spans="1:26" s="708" customFormat="1" x14ac:dyDescent="0.35">
      <c r="A27" s="353" t="s">
        <v>290</v>
      </c>
      <c r="B27" s="346" t="s">
        <v>71</v>
      </c>
      <c r="C27" s="365">
        <f>SUM(C28:C30)</f>
        <v>1160000</v>
      </c>
      <c r="D27" s="365">
        <v>776916</v>
      </c>
      <c r="E27" s="365">
        <v>900000</v>
      </c>
      <c r="F27" s="365">
        <f t="shared" ref="F27:J27" si="18">SUM(F28:F30)</f>
        <v>0</v>
      </c>
      <c r="G27" s="365"/>
      <c r="H27" s="598">
        <v>1060069</v>
      </c>
      <c r="I27" s="365"/>
      <c r="J27" s="365">
        <f t="shared" si="18"/>
        <v>0</v>
      </c>
      <c r="K27" s="365">
        <v>1060000</v>
      </c>
      <c r="L27" s="365">
        <v>1060000</v>
      </c>
      <c r="M27" s="365"/>
      <c r="N27" s="365"/>
      <c r="O27" s="365"/>
      <c r="P27" s="759">
        <f t="shared" si="1"/>
        <v>1160000</v>
      </c>
      <c r="Q27" s="756"/>
      <c r="R27" s="757">
        <f t="shared" ref="R27" si="19">Q27+P27</f>
        <v>1160000</v>
      </c>
      <c r="S27" s="757">
        <f t="shared" si="3"/>
        <v>776916</v>
      </c>
      <c r="T27" s="757"/>
      <c r="U27" s="757"/>
      <c r="V27" s="757"/>
      <c r="W27" s="757">
        <f t="shared" si="4"/>
        <v>900000</v>
      </c>
      <c r="X27" s="1032">
        <f t="shared" si="5"/>
        <v>160069</v>
      </c>
      <c r="Y27" s="1032">
        <f t="shared" si="6"/>
        <v>1060069</v>
      </c>
      <c r="Z27" s="1032">
        <f t="shared" si="7"/>
        <v>1060069</v>
      </c>
    </row>
    <row r="28" spans="1:26" hidden="1" x14ac:dyDescent="0.35">
      <c r="A28" s="345" t="s">
        <v>291</v>
      </c>
      <c r="B28" s="346"/>
      <c r="C28" s="370">
        <v>400000</v>
      </c>
      <c r="D28" s="370"/>
      <c r="E28" s="370"/>
      <c r="F28" s="370"/>
      <c r="G28" s="370"/>
      <c r="H28" s="370"/>
      <c r="I28" s="370"/>
      <c r="J28" s="370"/>
      <c r="K28" s="370">
        <v>410000</v>
      </c>
      <c r="L28" s="370">
        <v>410000</v>
      </c>
      <c r="M28" s="370"/>
      <c r="N28" s="370"/>
      <c r="O28" s="370"/>
      <c r="P28" s="755">
        <f t="shared" ref="P28:P33" si="20">SUM(C28,F28,J28)</f>
        <v>400000</v>
      </c>
      <c r="Q28" s="756"/>
      <c r="R28" s="757">
        <f t="shared" ref="R28:R33" si="21">Q28+P28</f>
        <v>400000</v>
      </c>
      <c r="S28" s="757">
        <f t="shared" si="3"/>
        <v>0</v>
      </c>
      <c r="T28" s="757"/>
      <c r="U28" s="757"/>
      <c r="V28" s="757"/>
      <c r="W28" s="757">
        <f t="shared" si="4"/>
        <v>0</v>
      </c>
      <c r="X28" s="1032">
        <f t="shared" si="5"/>
        <v>0</v>
      </c>
      <c r="Y28" s="1032">
        <f t="shared" si="6"/>
        <v>0</v>
      </c>
      <c r="Z28" s="1032">
        <f t="shared" si="7"/>
        <v>0</v>
      </c>
    </row>
    <row r="29" spans="1:26" hidden="1" x14ac:dyDescent="0.35">
      <c r="A29" s="345" t="s">
        <v>292</v>
      </c>
      <c r="B29" s="346"/>
      <c r="C29" s="370">
        <v>600000</v>
      </c>
      <c r="D29" s="370"/>
      <c r="E29" s="370"/>
      <c r="F29" s="370"/>
      <c r="G29" s="370"/>
      <c r="H29" s="370"/>
      <c r="I29" s="370"/>
      <c r="J29" s="370"/>
      <c r="K29" s="370">
        <v>500000</v>
      </c>
      <c r="L29" s="370">
        <v>500000</v>
      </c>
      <c r="M29" s="370"/>
      <c r="N29" s="370"/>
      <c r="O29" s="370"/>
      <c r="P29" s="755">
        <f t="shared" si="20"/>
        <v>600000</v>
      </c>
      <c r="Q29" s="756"/>
      <c r="R29" s="757">
        <f t="shared" si="21"/>
        <v>600000</v>
      </c>
      <c r="S29" s="757">
        <f t="shared" si="3"/>
        <v>0</v>
      </c>
      <c r="T29" s="757"/>
      <c r="U29" s="757"/>
      <c r="V29" s="757"/>
      <c r="W29" s="757">
        <f t="shared" si="4"/>
        <v>0</v>
      </c>
      <c r="X29" s="1032">
        <f t="shared" si="5"/>
        <v>0</v>
      </c>
      <c r="Y29" s="1032">
        <f t="shared" si="6"/>
        <v>0</v>
      </c>
      <c r="Z29" s="1032">
        <f t="shared" si="7"/>
        <v>0</v>
      </c>
    </row>
    <row r="30" spans="1:26" hidden="1" x14ac:dyDescent="0.35">
      <c r="A30" s="345" t="s">
        <v>293</v>
      </c>
      <c r="B30" s="346"/>
      <c r="C30" s="370">
        <v>160000</v>
      </c>
      <c r="D30" s="370"/>
      <c r="E30" s="370"/>
      <c r="F30" s="370"/>
      <c r="G30" s="370"/>
      <c r="H30" s="370"/>
      <c r="I30" s="370"/>
      <c r="J30" s="370"/>
      <c r="K30" s="370">
        <v>150000</v>
      </c>
      <c r="L30" s="370">
        <v>150000</v>
      </c>
      <c r="M30" s="370"/>
      <c r="N30" s="370"/>
      <c r="O30" s="370"/>
      <c r="P30" s="755">
        <f t="shared" si="20"/>
        <v>160000</v>
      </c>
      <c r="Q30" s="756"/>
      <c r="R30" s="757">
        <f t="shared" si="21"/>
        <v>160000</v>
      </c>
      <c r="S30" s="757">
        <f t="shared" si="3"/>
        <v>0</v>
      </c>
      <c r="T30" s="757"/>
      <c r="U30" s="757"/>
      <c r="V30" s="757"/>
      <c r="W30" s="757">
        <f t="shared" si="4"/>
        <v>0</v>
      </c>
      <c r="X30" s="1032">
        <f t="shared" si="5"/>
        <v>0</v>
      </c>
      <c r="Y30" s="1032">
        <f t="shared" si="6"/>
        <v>0</v>
      </c>
      <c r="Z30" s="1032">
        <f t="shared" si="7"/>
        <v>0</v>
      </c>
    </row>
    <row r="31" spans="1:26" hidden="1" x14ac:dyDescent="0.35">
      <c r="A31" s="343" t="s">
        <v>294</v>
      </c>
      <c r="B31" s="344" t="s">
        <v>76</v>
      </c>
      <c r="C31" s="371"/>
      <c r="D31" s="371"/>
      <c r="E31" s="371"/>
      <c r="F31" s="371"/>
      <c r="G31" s="371"/>
      <c r="H31" s="371"/>
      <c r="I31" s="371"/>
      <c r="J31" s="371"/>
      <c r="K31" s="371">
        <v>0</v>
      </c>
      <c r="L31" s="371">
        <v>0</v>
      </c>
      <c r="M31" s="371"/>
      <c r="N31" s="371"/>
      <c r="O31" s="371"/>
      <c r="P31" s="755">
        <f t="shared" si="20"/>
        <v>0</v>
      </c>
      <c r="Q31" s="756"/>
      <c r="R31" s="757">
        <f t="shared" si="21"/>
        <v>0</v>
      </c>
      <c r="S31" s="757">
        <f t="shared" si="3"/>
        <v>0</v>
      </c>
      <c r="T31" s="757"/>
      <c r="U31" s="757"/>
      <c r="V31" s="757"/>
      <c r="W31" s="757">
        <f t="shared" si="4"/>
        <v>0</v>
      </c>
      <c r="X31" s="1032">
        <f t="shared" si="5"/>
        <v>0</v>
      </c>
      <c r="Y31" s="1032">
        <f t="shared" si="6"/>
        <v>0</v>
      </c>
      <c r="Z31" s="1032">
        <f t="shared" si="7"/>
        <v>0</v>
      </c>
    </row>
    <row r="32" spans="1:26" hidden="1" x14ac:dyDescent="0.35">
      <c r="A32" s="343" t="s">
        <v>295</v>
      </c>
      <c r="B32" s="344" t="s">
        <v>79</v>
      </c>
      <c r="C32" s="371"/>
      <c r="D32" s="371"/>
      <c r="E32" s="371"/>
      <c r="F32" s="371"/>
      <c r="G32" s="371"/>
      <c r="H32" s="371"/>
      <c r="I32" s="371"/>
      <c r="J32" s="371"/>
      <c r="K32" s="371">
        <v>0</v>
      </c>
      <c r="L32" s="371">
        <v>0</v>
      </c>
      <c r="M32" s="371"/>
      <c r="N32" s="371"/>
      <c r="O32" s="371"/>
      <c r="P32" s="755">
        <f t="shared" si="20"/>
        <v>0</v>
      </c>
      <c r="Q32" s="756"/>
      <c r="R32" s="757">
        <f t="shared" si="21"/>
        <v>0</v>
      </c>
      <c r="S32" s="757">
        <f t="shared" si="3"/>
        <v>0</v>
      </c>
      <c r="T32" s="757"/>
      <c r="U32" s="757"/>
      <c r="V32" s="757"/>
      <c r="W32" s="757">
        <f t="shared" si="4"/>
        <v>0</v>
      </c>
      <c r="X32" s="1032">
        <f t="shared" si="5"/>
        <v>0</v>
      </c>
      <c r="Y32" s="1032">
        <f t="shared" si="6"/>
        <v>0</v>
      </c>
      <c r="Z32" s="1032">
        <f t="shared" si="7"/>
        <v>0</v>
      </c>
    </row>
    <row r="33" spans="1:26" s="708" customFormat="1" x14ac:dyDescent="0.35">
      <c r="A33" s="353" t="s">
        <v>159</v>
      </c>
      <c r="B33" s="346" t="s">
        <v>80</v>
      </c>
      <c r="C33" s="370"/>
      <c r="D33" s="370">
        <v>140183</v>
      </c>
      <c r="E33" s="370">
        <v>200000</v>
      </c>
      <c r="F33" s="370"/>
      <c r="G33" s="370"/>
      <c r="H33" s="598">
        <v>60000</v>
      </c>
      <c r="I33" s="370"/>
      <c r="J33" s="370"/>
      <c r="K33" s="370">
        <v>0</v>
      </c>
      <c r="L33" s="370">
        <v>0</v>
      </c>
      <c r="M33" s="370"/>
      <c r="N33" s="370"/>
      <c r="O33" s="370"/>
      <c r="P33" s="759">
        <f t="shared" si="20"/>
        <v>0</v>
      </c>
      <c r="Q33" s="756">
        <v>150000</v>
      </c>
      <c r="R33" s="757">
        <f t="shared" si="21"/>
        <v>150000</v>
      </c>
      <c r="S33" s="757">
        <f t="shared" si="3"/>
        <v>140183</v>
      </c>
      <c r="T33" s="757"/>
      <c r="U33" s="757"/>
      <c r="V33" s="757"/>
      <c r="W33" s="757">
        <f t="shared" si="4"/>
        <v>200000</v>
      </c>
      <c r="X33" s="1032">
        <f t="shared" si="5"/>
        <v>-140000</v>
      </c>
      <c r="Y33" s="1032">
        <f t="shared" si="6"/>
        <v>60000</v>
      </c>
      <c r="Z33" s="1032">
        <f t="shared" si="7"/>
        <v>60000</v>
      </c>
    </row>
    <row r="34" spans="1:26" hidden="1" x14ac:dyDescent="0.35">
      <c r="A34" s="343" t="s">
        <v>81</v>
      </c>
      <c r="B34" s="344" t="s">
        <v>82</v>
      </c>
      <c r="C34" s="371"/>
      <c r="D34" s="371"/>
      <c r="E34" s="371"/>
      <c r="F34" s="371"/>
      <c r="G34" s="371"/>
      <c r="H34" s="371"/>
      <c r="I34" s="371"/>
      <c r="J34" s="371"/>
      <c r="K34" s="371">
        <v>0</v>
      </c>
      <c r="L34" s="371">
        <v>0</v>
      </c>
      <c r="M34" s="371"/>
      <c r="N34" s="371"/>
      <c r="O34" s="371"/>
      <c r="P34" s="755">
        <f t="shared" si="1"/>
        <v>0</v>
      </c>
      <c r="Q34" s="756"/>
      <c r="R34" s="756"/>
      <c r="S34" s="757">
        <f t="shared" si="3"/>
        <v>0</v>
      </c>
      <c r="T34" s="757"/>
      <c r="U34" s="757"/>
      <c r="V34" s="757"/>
      <c r="W34" s="757">
        <f t="shared" si="4"/>
        <v>0</v>
      </c>
      <c r="X34" s="1032">
        <f t="shared" si="5"/>
        <v>0</v>
      </c>
      <c r="Y34" s="1032">
        <f t="shared" si="6"/>
        <v>0</v>
      </c>
      <c r="Z34" s="1032">
        <f t="shared" si="7"/>
        <v>0</v>
      </c>
    </row>
    <row r="35" spans="1:26" x14ac:dyDescent="0.35">
      <c r="A35" s="343" t="s">
        <v>296</v>
      </c>
      <c r="B35" s="344" t="s">
        <v>84</v>
      </c>
      <c r="C35" s="363">
        <f t="shared" ref="C35" si="22">SUM(C36:C38)</f>
        <v>0</v>
      </c>
      <c r="D35" s="363"/>
      <c r="E35" s="363"/>
      <c r="F35" s="363"/>
      <c r="G35" s="363"/>
      <c r="H35" s="598">
        <v>386109</v>
      </c>
      <c r="I35" s="363"/>
      <c r="J35" s="363"/>
      <c r="K35" s="363">
        <v>0</v>
      </c>
      <c r="L35" s="363">
        <v>0</v>
      </c>
      <c r="M35" s="363"/>
      <c r="N35" s="363"/>
      <c r="O35" s="363"/>
      <c r="P35" s="755">
        <f t="shared" si="1"/>
        <v>0</v>
      </c>
      <c r="Q35" s="756"/>
      <c r="R35" s="756"/>
      <c r="S35" s="757">
        <f t="shared" si="3"/>
        <v>0</v>
      </c>
      <c r="T35" s="757"/>
      <c r="U35" s="757"/>
      <c r="V35" s="757"/>
      <c r="W35" s="757">
        <f t="shared" si="4"/>
        <v>0</v>
      </c>
      <c r="X35" s="1032">
        <f t="shared" si="5"/>
        <v>386109</v>
      </c>
      <c r="Y35" s="1032">
        <f t="shared" si="6"/>
        <v>386109</v>
      </c>
      <c r="Z35" s="1032">
        <f t="shared" si="7"/>
        <v>386109</v>
      </c>
    </row>
    <row r="36" spans="1:26" hidden="1" x14ac:dyDescent="0.35">
      <c r="A36" s="345" t="s">
        <v>85</v>
      </c>
      <c r="B36" s="346"/>
      <c r="C36" s="370"/>
      <c r="D36" s="370"/>
      <c r="E36" s="370"/>
      <c r="F36" s="370"/>
      <c r="G36" s="370"/>
      <c r="H36" s="370"/>
      <c r="I36" s="370"/>
      <c r="J36" s="370"/>
      <c r="K36" s="370">
        <v>0</v>
      </c>
      <c r="L36" s="370">
        <v>0</v>
      </c>
      <c r="M36" s="370"/>
      <c r="N36" s="370"/>
      <c r="O36" s="370"/>
      <c r="P36" s="755">
        <f t="shared" si="1"/>
        <v>0</v>
      </c>
      <c r="Q36" s="756"/>
      <c r="R36" s="756"/>
      <c r="S36" s="757">
        <f t="shared" si="3"/>
        <v>0</v>
      </c>
      <c r="T36" s="757"/>
      <c r="U36" s="757"/>
      <c r="V36" s="757"/>
      <c r="W36" s="757">
        <f t="shared" si="4"/>
        <v>0</v>
      </c>
      <c r="X36" s="1032">
        <f t="shared" si="5"/>
        <v>0</v>
      </c>
      <c r="Y36" s="1032">
        <f t="shared" si="6"/>
        <v>0</v>
      </c>
      <c r="Z36" s="1032">
        <f t="shared" si="7"/>
        <v>0</v>
      </c>
    </row>
    <row r="37" spans="1:26" hidden="1" x14ac:dyDescent="0.35">
      <c r="A37" s="345" t="s">
        <v>86</v>
      </c>
      <c r="B37" s="346"/>
      <c r="C37" s="370"/>
      <c r="D37" s="370"/>
      <c r="E37" s="370"/>
      <c r="F37" s="370"/>
      <c r="G37" s="370"/>
      <c r="H37" s="370"/>
      <c r="I37" s="370"/>
      <c r="J37" s="370"/>
      <c r="K37" s="370">
        <v>0</v>
      </c>
      <c r="L37" s="370">
        <v>0</v>
      </c>
      <c r="M37" s="370"/>
      <c r="N37" s="370"/>
      <c r="O37" s="370"/>
      <c r="P37" s="755">
        <f t="shared" si="1"/>
        <v>0</v>
      </c>
      <c r="Q37" s="756"/>
      <c r="R37" s="756"/>
      <c r="S37" s="757">
        <f t="shared" si="3"/>
        <v>0</v>
      </c>
      <c r="T37" s="757"/>
      <c r="U37" s="757"/>
      <c r="V37" s="757"/>
      <c r="W37" s="757">
        <f t="shared" si="4"/>
        <v>0</v>
      </c>
      <c r="X37" s="1032">
        <f t="shared" si="5"/>
        <v>0</v>
      </c>
      <c r="Y37" s="1032">
        <f t="shared" si="6"/>
        <v>0</v>
      </c>
      <c r="Z37" s="1032">
        <f t="shared" si="7"/>
        <v>0</v>
      </c>
    </row>
    <row r="38" spans="1:26" hidden="1" x14ac:dyDescent="0.35">
      <c r="A38" s="345" t="s">
        <v>297</v>
      </c>
      <c r="B38" s="346"/>
      <c r="C38" s="370"/>
      <c r="D38" s="370"/>
      <c r="E38" s="370"/>
      <c r="F38" s="370"/>
      <c r="G38" s="370"/>
      <c r="H38" s="370"/>
      <c r="I38" s="370"/>
      <c r="J38" s="370"/>
      <c r="K38" s="370">
        <v>0</v>
      </c>
      <c r="L38" s="370">
        <v>0</v>
      </c>
      <c r="M38" s="370"/>
      <c r="N38" s="370"/>
      <c r="O38" s="370"/>
      <c r="P38" s="755">
        <f t="shared" si="1"/>
        <v>0</v>
      </c>
      <c r="Q38" s="756"/>
      <c r="R38" s="756"/>
      <c r="S38" s="757">
        <f t="shared" si="3"/>
        <v>0</v>
      </c>
      <c r="T38" s="757"/>
      <c r="U38" s="757"/>
      <c r="V38" s="757"/>
      <c r="W38" s="757">
        <f t="shared" si="4"/>
        <v>0</v>
      </c>
      <c r="X38" s="1032">
        <f t="shared" si="5"/>
        <v>0</v>
      </c>
      <c r="Y38" s="1032">
        <f t="shared" si="6"/>
        <v>0</v>
      </c>
      <c r="Z38" s="1032">
        <f t="shared" si="7"/>
        <v>0</v>
      </c>
    </row>
    <row r="39" spans="1:26" s="530" customFormat="1" x14ac:dyDescent="0.35">
      <c r="A39" s="343" t="s">
        <v>298</v>
      </c>
      <c r="B39" s="344" t="s">
        <v>88</v>
      </c>
      <c r="C39" s="363">
        <f>SUM(C40:C49)</f>
        <v>2400000</v>
      </c>
      <c r="D39" s="363">
        <f t="shared" ref="D39:R39" si="23">SUM(D40:D49)</f>
        <v>2671766</v>
      </c>
      <c r="E39" s="363">
        <f>SUM(E40:E51)</f>
        <v>3600000</v>
      </c>
      <c r="F39" s="363">
        <f t="shared" si="23"/>
        <v>2100000</v>
      </c>
      <c r="G39" s="363">
        <f>SUM(G40:G51)</f>
        <v>1701057</v>
      </c>
      <c r="H39" s="591">
        <v>3709804</v>
      </c>
      <c r="I39" s="363">
        <f>SUM(I40:I51)</f>
        <v>2600000</v>
      </c>
      <c r="J39" s="363">
        <f t="shared" si="23"/>
        <v>0</v>
      </c>
      <c r="K39" s="363">
        <f t="shared" si="23"/>
        <v>5200000</v>
      </c>
      <c r="L39" s="363">
        <f t="shared" si="23"/>
        <v>5200000</v>
      </c>
      <c r="M39" s="363">
        <f t="shared" si="23"/>
        <v>0</v>
      </c>
      <c r="N39" s="591">
        <v>90000</v>
      </c>
      <c r="O39" s="363"/>
      <c r="P39" s="363">
        <f t="shared" si="23"/>
        <v>4500000</v>
      </c>
      <c r="Q39" s="363">
        <f t="shared" si="23"/>
        <v>300000</v>
      </c>
      <c r="R39" s="363">
        <f t="shared" si="23"/>
        <v>4800000</v>
      </c>
      <c r="S39" s="363">
        <f>SUM(S40:S51)</f>
        <v>4372823</v>
      </c>
      <c r="T39" s="363"/>
      <c r="U39" s="363"/>
      <c r="V39" s="591">
        <v>347306</v>
      </c>
      <c r="W39" s="757">
        <f t="shared" si="4"/>
        <v>6200000</v>
      </c>
      <c r="X39" s="1032">
        <f t="shared" si="5"/>
        <v>-2052890</v>
      </c>
      <c r="Y39" s="1032">
        <f t="shared" si="6"/>
        <v>4147110</v>
      </c>
      <c r="Z39" s="1032">
        <f t="shared" si="7"/>
        <v>4147110</v>
      </c>
    </row>
    <row r="40" spans="1:26" hidden="1" x14ac:dyDescent="0.35">
      <c r="A40" s="345" t="s">
        <v>298</v>
      </c>
      <c r="B40" s="350"/>
      <c r="C40" s="370"/>
      <c r="D40" s="370">
        <v>93552</v>
      </c>
      <c r="E40" s="370"/>
      <c r="F40" s="370"/>
      <c r="G40" s="370"/>
      <c r="H40" s="370"/>
      <c r="I40" s="370"/>
      <c r="J40" s="370"/>
      <c r="K40" s="370">
        <v>0</v>
      </c>
      <c r="L40" s="370">
        <v>0</v>
      </c>
      <c r="M40" s="370"/>
      <c r="N40" s="370"/>
      <c r="O40" s="370"/>
      <c r="P40" s="755">
        <f t="shared" si="1"/>
        <v>0</v>
      </c>
      <c r="Q40" s="756">
        <v>100000</v>
      </c>
      <c r="R40" s="757">
        <f t="shared" ref="R40:R51" si="24">Q40+P40</f>
        <v>100000</v>
      </c>
      <c r="S40" s="757">
        <f t="shared" si="3"/>
        <v>93552</v>
      </c>
      <c r="T40" s="757"/>
      <c r="U40" s="757"/>
      <c r="V40" s="757"/>
      <c r="W40" s="757">
        <f t="shared" si="4"/>
        <v>0</v>
      </c>
      <c r="X40" s="1032">
        <f t="shared" si="5"/>
        <v>0</v>
      </c>
      <c r="Y40" s="1032">
        <f t="shared" si="6"/>
        <v>0</v>
      </c>
      <c r="Z40" s="1032">
        <f t="shared" si="7"/>
        <v>0</v>
      </c>
    </row>
    <row r="41" spans="1:26" hidden="1" x14ac:dyDescent="0.35">
      <c r="A41" s="345" t="s">
        <v>300</v>
      </c>
      <c r="B41" s="350"/>
      <c r="C41" s="370"/>
      <c r="D41" s="370"/>
      <c r="E41" s="370"/>
      <c r="F41" s="370"/>
      <c r="G41" s="370"/>
      <c r="H41" s="370"/>
      <c r="I41" s="370"/>
      <c r="J41" s="370"/>
      <c r="K41" s="370">
        <v>0</v>
      </c>
      <c r="L41" s="370">
        <v>0</v>
      </c>
      <c r="M41" s="370"/>
      <c r="N41" s="370"/>
      <c r="O41" s="370"/>
      <c r="P41" s="755">
        <f t="shared" si="1"/>
        <v>0</v>
      </c>
      <c r="Q41" s="756"/>
      <c r="R41" s="757">
        <f t="shared" si="24"/>
        <v>0</v>
      </c>
      <c r="S41" s="757">
        <f t="shared" si="3"/>
        <v>0</v>
      </c>
      <c r="T41" s="757"/>
      <c r="U41" s="757"/>
      <c r="V41" s="757"/>
      <c r="W41" s="757">
        <f t="shared" si="4"/>
        <v>0</v>
      </c>
      <c r="X41" s="1032">
        <f t="shared" si="5"/>
        <v>0</v>
      </c>
      <c r="Y41" s="1032">
        <f t="shared" si="6"/>
        <v>0</v>
      </c>
      <c r="Z41" s="1032">
        <f t="shared" si="7"/>
        <v>0</v>
      </c>
    </row>
    <row r="42" spans="1:26" hidden="1" x14ac:dyDescent="0.35">
      <c r="A42" s="345" t="s">
        <v>301</v>
      </c>
      <c r="B42" s="350"/>
      <c r="C42" s="370"/>
      <c r="D42" s="370"/>
      <c r="E42" s="370"/>
      <c r="F42" s="370"/>
      <c r="G42" s="370"/>
      <c r="H42" s="370"/>
      <c r="I42" s="370"/>
      <c r="J42" s="370"/>
      <c r="K42" s="370">
        <v>0</v>
      </c>
      <c r="L42" s="370">
        <v>0</v>
      </c>
      <c r="M42" s="370"/>
      <c r="N42" s="370"/>
      <c r="O42" s="370"/>
      <c r="P42" s="755">
        <f t="shared" si="1"/>
        <v>0</v>
      </c>
      <c r="Q42" s="756"/>
      <c r="R42" s="757">
        <f t="shared" si="24"/>
        <v>0</v>
      </c>
      <c r="S42" s="757">
        <f t="shared" si="3"/>
        <v>0</v>
      </c>
      <c r="T42" s="757"/>
      <c r="U42" s="757"/>
      <c r="V42" s="757"/>
      <c r="W42" s="757">
        <f t="shared" si="4"/>
        <v>0</v>
      </c>
      <c r="X42" s="1032">
        <f t="shared" si="5"/>
        <v>0</v>
      </c>
      <c r="Y42" s="1032">
        <f t="shared" si="6"/>
        <v>0</v>
      </c>
      <c r="Z42" s="1032">
        <f t="shared" si="7"/>
        <v>0</v>
      </c>
    </row>
    <row r="43" spans="1:26" hidden="1" x14ac:dyDescent="0.35">
      <c r="A43" s="345" t="s">
        <v>302</v>
      </c>
      <c r="B43" s="350"/>
      <c r="C43" s="370"/>
      <c r="D43" s="370"/>
      <c r="E43" s="370"/>
      <c r="F43" s="370"/>
      <c r="G43" s="370"/>
      <c r="H43" s="370"/>
      <c r="I43" s="370"/>
      <c r="J43" s="370"/>
      <c r="K43" s="370">
        <v>0</v>
      </c>
      <c r="L43" s="370">
        <v>0</v>
      </c>
      <c r="M43" s="370"/>
      <c r="N43" s="370"/>
      <c r="O43" s="370"/>
      <c r="P43" s="755">
        <f t="shared" si="1"/>
        <v>0</v>
      </c>
      <c r="Q43" s="756"/>
      <c r="R43" s="757">
        <f t="shared" si="24"/>
        <v>0</v>
      </c>
      <c r="S43" s="757">
        <f t="shared" si="3"/>
        <v>0</v>
      </c>
      <c r="T43" s="757"/>
      <c r="U43" s="757"/>
      <c r="V43" s="757"/>
      <c r="W43" s="757">
        <f t="shared" si="4"/>
        <v>0</v>
      </c>
      <c r="X43" s="1032">
        <f t="shared" si="5"/>
        <v>0</v>
      </c>
      <c r="Y43" s="1032">
        <f t="shared" si="6"/>
        <v>0</v>
      </c>
      <c r="Z43" s="1032">
        <f t="shared" si="7"/>
        <v>0</v>
      </c>
    </row>
    <row r="44" spans="1:26" hidden="1" x14ac:dyDescent="0.35">
      <c r="A44" s="345" t="s">
        <v>303</v>
      </c>
      <c r="B44" s="350"/>
      <c r="C44" s="370"/>
      <c r="D44" s="370"/>
      <c r="E44" s="370"/>
      <c r="F44" s="370"/>
      <c r="G44" s="370"/>
      <c r="H44" s="370"/>
      <c r="I44" s="370"/>
      <c r="J44" s="370"/>
      <c r="K44" s="370">
        <v>0</v>
      </c>
      <c r="L44" s="370">
        <v>0</v>
      </c>
      <c r="M44" s="370"/>
      <c r="N44" s="370"/>
      <c r="O44" s="370"/>
      <c r="P44" s="755">
        <f t="shared" si="1"/>
        <v>0</v>
      </c>
      <c r="Q44" s="756"/>
      <c r="R44" s="757">
        <f t="shared" si="24"/>
        <v>0</v>
      </c>
      <c r="S44" s="757">
        <f t="shared" si="3"/>
        <v>0</v>
      </c>
      <c r="T44" s="757"/>
      <c r="U44" s="757"/>
      <c r="V44" s="757"/>
      <c r="W44" s="757">
        <f t="shared" si="4"/>
        <v>0</v>
      </c>
      <c r="X44" s="1032">
        <f t="shared" si="5"/>
        <v>0</v>
      </c>
      <c r="Y44" s="1032">
        <f t="shared" si="6"/>
        <v>0</v>
      </c>
      <c r="Z44" s="1032">
        <f t="shared" si="7"/>
        <v>0</v>
      </c>
    </row>
    <row r="45" spans="1:26" hidden="1" x14ac:dyDescent="0.35">
      <c r="A45" s="345" t="s">
        <v>546</v>
      </c>
      <c r="B45" s="350"/>
      <c r="C45" s="370">
        <v>2400000</v>
      </c>
      <c r="D45" s="370">
        <v>2578214</v>
      </c>
      <c r="E45" s="370">
        <v>3600000</v>
      </c>
      <c r="F45" s="370"/>
      <c r="G45" s="370"/>
      <c r="H45" s="370"/>
      <c r="I45" s="370"/>
      <c r="J45" s="370"/>
      <c r="K45" s="370">
        <v>2300000</v>
      </c>
      <c r="L45" s="370">
        <v>2300000</v>
      </c>
      <c r="M45" s="370"/>
      <c r="N45" s="370"/>
      <c r="O45" s="370"/>
      <c r="P45" s="755">
        <f t="shared" si="1"/>
        <v>2400000</v>
      </c>
      <c r="Q45" s="756">
        <v>200000</v>
      </c>
      <c r="R45" s="757">
        <f t="shared" si="24"/>
        <v>2600000</v>
      </c>
      <c r="S45" s="757">
        <f t="shared" si="3"/>
        <v>2578214</v>
      </c>
      <c r="T45" s="757"/>
      <c r="U45" s="757"/>
      <c r="V45" s="757"/>
      <c r="W45" s="757">
        <f t="shared" si="4"/>
        <v>3600000</v>
      </c>
      <c r="X45" s="1032">
        <f t="shared" si="5"/>
        <v>-3600000</v>
      </c>
      <c r="Y45" s="1032">
        <f t="shared" si="6"/>
        <v>0</v>
      </c>
      <c r="Z45" s="1032">
        <f t="shared" si="7"/>
        <v>0</v>
      </c>
    </row>
    <row r="46" spans="1:26" hidden="1" x14ac:dyDescent="0.35">
      <c r="A46" s="351" t="s">
        <v>484</v>
      </c>
      <c r="B46" s="350"/>
      <c r="C46" s="370"/>
      <c r="D46" s="370"/>
      <c r="E46" s="370"/>
      <c r="F46" s="372">
        <v>1000000</v>
      </c>
      <c r="G46" s="372">
        <v>941741</v>
      </c>
      <c r="H46" s="372"/>
      <c r="I46" s="372">
        <v>1000000</v>
      </c>
      <c r="J46" s="370"/>
      <c r="K46" s="370">
        <v>1000000</v>
      </c>
      <c r="L46" s="370">
        <v>1000000</v>
      </c>
      <c r="M46" s="370"/>
      <c r="N46" s="370"/>
      <c r="O46" s="370"/>
      <c r="P46" s="755">
        <f t="shared" si="1"/>
        <v>1000000</v>
      </c>
      <c r="Q46" s="756"/>
      <c r="R46" s="757">
        <f t="shared" si="24"/>
        <v>1000000</v>
      </c>
      <c r="S46" s="757">
        <f t="shared" si="3"/>
        <v>941741</v>
      </c>
      <c r="T46" s="757"/>
      <c r="U46" s="757"/>
      <c r="V46" s="757"/>
      <c r="W46" s="757">
        <f t="shared" si="4"/>
        <v>1000000</v>
      </c>
      <c r="X46" s="1032">
        <f t="shared" si="5"/>
        <v>-1000000</v>
      </c>
      <c r="Y46" s="1032">
        <f t="shared" si="6"/>
        <v>0</v>
      </c>
      <c r="Z46" s="1032">
        <f t="shared" si="7"/>
        <v>0</v>
      </c>
    </row>
    <row r="47" spans="1:26" hidden="1" x14ac:dyDescent="0.35">
      <c r="A47" s="352" t="s">
        <v>678</v>
      </c>
      <c r="B47" s="350"/>
      <c r="C47" s="370"/>
      <c r="D47" s="370"/>
      <c r="E47" s="370"/>
      <c r="F47" s="372"/>
      <c r="G47" s="372"/>
      <c r="H47" s="372"/>
      <c r="I47" s="372">
        <v>500000</v>
      </c>
      <c r="J47" s="370"/>
      <c r="K47" s="370">
        <v>1000000</v>
      </c>
      <c r="L47" s="370">
        <v>1000000</v>
      </c>
      <c r="M47" s="370"/>
      <c r="N47" s="370"/>
      <c r="O47" s="370"/>
      <c r="P47" s="755">
        <f t="shared" si="1"/>
        <v>0</v>
      </c>
      <c r="Q47" s="756"/>
      <c r="R47" s="757">
        <f t="shared" si="24"/>
        <v>0</v>
      </c>
      <c r="S47" s="757">
        <f t="shared" si="3"/>
        <v>0</v>
      </c>
      <c r="T47" s="757"/>
      <c r="U47" s="757"/>
      <c r="V47" s="757"/>
      <c r="W47" s="757">
        <f t="shared" si="4"/>
        <v>500000</v>
      </c>
      <c r="X47" s="1032">
        <f t="shared" si="5"/>
        <v>-500000</v>
      </c>
      <c r="Y47" s="1032">
        <f t="shared" si="6"/>
        <v>0</v>
      </c>
      <c r="Z47" s="1032">
        <f t="shared" si="7"/>
        <v>0</v>
      </c>
    </row>
    <row r="48" spans="1:26" hidden="1" x14ac:dyDescent="0.35">
      <c r="A48" s="351" t="s">
        <v>486</v>
      </c>
      <c r="B48" s="350"/>
      <c r="C48" s="370"/>
      <c r="D48" s="370"/>
      <c r="E48" s="370"/>
      <c r="F48" s="372">
        <v>900000</v>
      </c>
      <c r="G48" s="372">
        <v>464679</v>
      </c>
      <c r="H48" s="372"/>
      <c r="I48" s="372">
        <v>900000</v>
      </c>
      <c r="J48" s="370"/>
      <c r="K48" s="370">
        <v>700000</v>
      </c>
      <c r="L48" s="370">
        <v>700000</v>
      </c>
      <c r="M48" s="370"/>
      <c r="N48" s="370"/>
      <c r="O48" s="370"/>
      <c r="P48" s="755">
        <f t="shared" si="1"/>
        <v>900000</v>
      </c>
      <c r="Q48" s="756"/>
      <c r="R48" s="757">
        <f t="shared" si="24"/>
        <v>900000</v>
      </c>
      <c r="S48" s="757">
        <f t="shared" si="3"/>
        <v>464679</v>
      </c>
      <c r="T48" s="757"/>
      <c r="U48" s="757"/>
      <c r="V48" s="757"/>
      <c r="W48" s="757">
        <f t="shared" si="4"/>
        <v>900000</v>
      </c>
      <c r="X48" s="1032">
        <f t="shared" si="5"/>
        <v>-900000</v>
      </c>
      <c r="Y48" s="1032">
        <f t="shared" si="6"/>
        <v>0</v>
      </c>
      <c r="Z48" s="1032">
        <f t="shared" si="7"/>
        <v>0</v>
      </c>
    </row>
    <row r="49" spans="1:26" hidden="1" x14ac:dyDescent="0.35">
      <c r="A49" s="351" t="s">
        <v>487</v>
      </c>
      <c r="B49" s="350"/>
      <c r="C49" s="370"/>
      <c r="D49" s="370"/>
      <c r="E49" s="370"/>
      <c r="F49" s="372">
        <v>200000</v>
      </c>
      <c r="G49" s="372"/>
      <c r="H49" s="372"/>
      <c r="I49" s="372">
        <v>200000</v>
      </c>
      <c r="J49" s="370"/>
      <c r="K49" s="370">
        <v>200000</v>
      </c>
      <c r="L49" s="370">
        <v>200000</v>
      </c>
      <c r="M49" s="370"/>
      <c r="N49" s="370"/>
      <c r="O49" s="370"/>
      <c r="P49" s="755">
        <f t="shared" si="1"/>
        <v>200000</v>
      </c>
      <c r="Q49" s="756"/>
      <c r="R49" s="757">
        <f t="shared" si="24"/>
        <v>200000</v>
      </c>
      <c r="S49" s="757">
        <f t="shared" si="3"/>
        <v>0</v>
      </c>
      <c r="T49" s="757"/>
      <c r="U49" s="757"/>
      <c r="V49" s="757"/>
      <c r="W49" s="757">
        <f t="shared" si="4"/>
        <v>200000</v>
      </c>
      <c r="X49" s="1032">
        <f t="shared" si="5"/>
        <v>-200000</v>
      </c>
      <c r="Y49" s="1032">
        <f t="shared" si="6"/>
        <v>0</v>
      </c>
      <c r="Z49" s="1032">
        <f t="shared" si="7"/>
        <v>0</v>
      </c>
    </row>
    <row r="50" spans="1:26" hidden="1" x14ac:dyDescent="0.35">
      <c r="A50" s="351" t="s">
        <v>724</v>
      </c>
      <c r="B50" s="350"/>
      <c r="C50" s="370"/>
      <c r="D50" s="370"/>
      <c r="E50" s="370"/>
      <c r="F50" s="372"/>
      <c r="G50" s="372">
        <v>294637</v>
      </c>
      <c r="H50" s="372"/>
      <c r="I50" s="372"/>
      <c r="J50" s="370"/>
      <c r="K50" s="370"/>
      <c r="L50" s="370"/>
      <c r="M50" s="370"/>
      <c r="N50" s="370"/>
      <c r="O50" s="370"/>
      <c r="P50" s="755"/>
      <c r="Q50" s="756">
        <v>300000</v>
      </c>
      <c r="R50" s="757">
        <f t="shared" si="24"/>
        <v>300000</v>
      </c>
      <c r="S50" s="757">
        <f t="shared" si="3"/>
        <v>294637</v>
      </c>
      <c r="T50" s="757"/>
      <c r="U50" s="757"/>
      <c r="V50" s="757"/>
      <c r="W50" s="757">
        <f t="shared" si="4"/>
        <v>0</v>
      </c>
      <c r="X50" s="1032">
        <f t="shared" si="5"/>
        <v>0</v>
      </c>
      <c r="Y50" s="1032">
        <f t="shared" si="6"/>
        <v>0</v>
      </c>
      <c r="Z50" s="1032">
        <f t="shared" si="7"/>
        <v>0</v>
      </c>
    </row>
    <row r="51" spans="1:26" hidden="1" x14ac:dyDescent="0.35">
      <c r="A51" s="351" t="s">
        <v>564</v>
      </c>
      <c r="B51" s="350"/>
      <c r="C51" s="370"/>
      <c r="D51" s="370"/>
      <c r="E51" s="370"/>
      <c r="F51" s="372">
        <v>0</v>
      </c>
      <c r="G51" s="372"/>
      <c r="H51" s="372"/>
      <c r="I51" s="372"/>
      <c r="J51" s="370"/>
      <c r="K51" s="370">
        <v>0</v>
      </c>
      <c r="L51" s="370">
        <v>0</v>
      </c>
      <c r="M51" s="370"/>
      <c r="N51" s="370"/>
      <c r="O51" s="370"/>
      <c r="P51" s="755">
        <f t="shared" ref="P51:P64" si="25">SUM(C51,F51,J51)</f>
        <v>0</v>
      </c>
      <c r="Q51" s="756"/>
      <c r="R51" s="757">
        <f t="shared" si="24"/>
        <v>0</v>
      </c>
      <c r="S51" s="757">
        <f t="shared" si="3"/>
        <v>0</v>
      </c>
      <c r="T51" s="757"/>
      <c r="U51" s="757"/>
      <c r="V51" s="757"/>
      <c r="W51" s="757">
        <f t="shared" si="4"/>
        <v>0</v>
      </c>
      <c r="X51" s="1032">
        <f t="shared" si="5"/>
        <v>0</v>
      </c>
      <c r="Y51" s="1032">
        <f t="shared" si="6"/>
        <v>0</v>
      </c>
      <c r="Z51" s="1032">
        <f t="shared" si="7"/>
        <v>0</v>
      </c>
    </row>
    <row r="52" spans="1:26" x14ac:dyDescent="0.35">
      <c r="A52" s="343" t="s">
        <v>94</v>
      </c>
      <c r="B52" s="344" t="s">
        <v>95</v>
      </c>
      <c r="C52" s="363">
        <f>SUM(C27,C31:C35,C39)</f>
        <v>3560000</v>
      </c>
      <c r="D52" s="363">
        <f t="shared" ref="D52" si="26">SUM(D27,D31:D35,D39)</f>
        <v>3588865</v>
      </c>
      <c r="E52" s="363">
        <f>SUM(E39,E33,E27)</f>
        <v>4700000</v>
      </c>
      <c r="F52" s="363">
        <f t="shared" ref="F52:T52" si="27">SUM(F39,F33,F27)</f>
        <v>2100000</v>
      </c>
      <c r="G52" s="363">
        <f t="shared" si="27"/>
        <v>1701057</v>
      </c>
      <c r="H52" s="363">
        <f>SUM(H39,H33,H27,H35)</f>
        <v>5215982</v>
      </c>
      <c r="I52" s="363">
        <f t="shared" si="27"/>
        <v>2600000</v>
      </c>
      <c r="J52" s="363">
        <f t="shared" si="27"/>
        <v>0</v>
      </c>
      <c r="K52" s="363">
        <f t="shared" si="27"/>
        <v>6260000</v>
      </c>
      <c r="L52" s="363">
        <f t="shared" si="27"/>
        <v>6260000</v>
      </c>
      <c r="M52" s="363">
        <f t="shared" si="27"/>
        <v>0</v>
      </c>
      <c r="N52" s="363">
        <f t="shared" si="27"/>
        <v>90000</v>
      </c>
      <c r="O52" s="363">
        <f t="shared" si="27"/>
        <v>0</v>
      </c>
      <c r="P52" s="363">
        <f t="shared" si="27"/>
        <v>5660000</v>
      </c>
      <c r="Q52" s="363">
        <f t="shared" si="27"/>
        <v>450000</v>
      </c>
      <c r="R52" s="363">
        <f t="shared" si="27"/>
        <v>6110000</v>
      </c>
      <c r="S52" s="363">
        <f t="shared" si="27"/>
        <v>5289922</v>
      </c>
      <c r="T52" s="363">
        <f t="shared" si="27"/>
        <v>0</v>
      </c>
      <c r="U52" s="363">
        <f t="shared" ref="U52:V52" si="28">SUM(U39,U33,U27)</f>
        <v>0</v>
      </c>
      <c r="V52" s="363">
        <f t="shared" si="28"/>
        <v>347306</v>
      </c>
      <c r="W52" s="757">
        <f t="shared" si="4"/>
        <v>7300000</v>
      </c>
      <c r="X52" s="1032">
        <f t="shared" si="5"/>
        <v>-1646712</v>
      </c>
      <c r="Y52" s="1032">
        <f t="shared" si="6"/>
        <v>5653288</v>
      </c>
      <c r="Z52" s="1032">
        <f t="shared" si="7"/>
        <v>5653288</v>
      </c>
    </row>
    <row r="53" spans="1:26" x14ac:dyDescent="0.35">
      <c r="A53" s="353" t="s">
        <v>548</v>
      </c>
      <c r="B53" s="346" t="s">
        <v>99</v>
      </c>
      <c r="C53" s="370"/>
      <c r="D53" s="370"/>
      <c r="E53" s="370"/>
      <c r="F53" s="370"/>
      <c r="G53" s="370"/>
      <c r="H53" s="370"/>
      <c r="I53" s="370"/>
      <c r="J53" s="370">
        <v>0</v>
      </c>
      <c r="K53" s="370">
        <v>1000000</v>
      </c>
      <c r="L53" s="370">
        <v>1000000</v>
      </c>
      <c r="M53" s="370"/>
      <c r="N53" s="370"/>
      <c r="O53" s="370"/>
      <c r="P53" s="755">
        <f t="shared" si="25"/>
        <v>0</v>
      </c>
      <c r="Q53" s="756"/>
      <c r="R53" s="757">
        <f t="shared" ref="R53:R61" si="29">Q53+P53</f>
        <v>0</v>
      </c>
      <c r="S53" s="757">
        <f t="shared" si="3"/>
        <v>0</v>
      </c>
      <c r="T53" s="757"/>
      <c r="U53" s="757"/>
      <c r="V53" s="757"/>
      <c r="W53" s="757">
        <f t="shared" si="4"/>
        <v>0</v>
      </c>
      <c r="X53" s="1032">
        <f t="shared" si="5"/>
        <v>0</v>
      </c>
      <c r="Y53" s="1032">
        <f t="shared" si="6"/>
        <v>0</v>
      </c>
      <c r="Z53" s="1032">
        <f t="shared" si="7"/>
        <v>0</v>
      </c>
    </row>
    <row r="54" spans="1:26" x14ac:dyDescent="0.35">
      <c r="A54" s="353" t="s">
        <v>547</v>
      </c>
      <c r="B54" s="346" t="s">
        <v>99</v>
      </c>
      <c r="C54" s="370"/>
      <c r="D54" s="370"/>
      <c r="E54" s="370"/>
      <c r="F54" s="370"/>
      <c r="G54" s="370"/>
      <c r="H54" s="370"/>
      <c r="I54" s="370"/>
      <c r="J54" s="370">
        <f>94000*12</f>
        <v>1128000</v>
      </c>
      <c r="K54" s="370">
        <v>1128000</v>
      </c>
      <c r="L54" s="370">
        <v>1128000</v>
      </c>
      <c r="M54" s="370"/>
      <c r="N54" s="370"/>
      <c r="O54" s="370">
        <v>1128000</v>
      </c>
      <c r="P54" s="755">
        <f t="shared" si="25"/>
        <v>1128000</v>
      </c>
      <c r="Q54" s="756"/>
      <c r="R54" s="757">
        <f t="shared" si="29"/>
        <v>1128000</v>
      </c>
      <c r="S54" s="757">
        <f t="shared" si="3"/>
        <v>0</v>
      </c>
      <c r="T54" s="757"/>
      <c r="U54" s="757"/>
      <c r="V54" s="757"/>
      <c r="W54" s="757">
        <f t="shared" si="4"/>
        <v>1128000</v>
      </c>
      <c r="X54" s="1032">
        <f t="shared" si="5"/>
        <v>-1128000</v>
      </c>
      <c r="Y54" s="1032">
        <f t="shared" si="6"/>
        <v>0</v>
      </c>
      <c r="Z54" s="1032">
        <f t="shared" si="7"/>
        <v>0</v>
      </c>
    </row>
    <row r="55" spans="1:26" s="530" customFormat="1" x14ac:dyDescent="0.35">
      <c r="A55" s="343" t="s">
        <v>100</v>
      </c>
      <c r="B55" s="344" t="s">
        <v>101</v>
      </c>
      <c r="C55" s="363">
        <f>SUM(C53:C54)</f>
        <v>0</v>
      </c>
      <c r="D55" s="363"/>
      <c r="E55" s="363"/>
      <c r="F55" s="363">
        <f t="shared" ref="F55:J55" si="30">SUM(F53:F54)</f>
        <v>0</v>
      </c>
      <c r="G55" s="363"/>
      <c r="H55" s="363"/>
      <c r="I55" s="363"/>
      <c r="J55" s="363">
        <f t="shared" si="30"/>
        <v>1128000</v>
      </c>
      <c r="K55" s="363">
        <v>2128000</v>
      </c>
      <c r="L55" s="363">
        <v>2128000</v>
      </c>
      <c r="M55" s="363"/>
      <c r="N55" s="363"/>
      <c r="O55" s="363">
        <f>SUM(O54)</f>
        <v>1128000</v>
      </c>
      <c r="P55" s="755">
        <f>SUM(P53:P54)</f>
        <v>1128000</v>
      </c>
      <c r="Q55" s="755">
        <f t="shared" ref="Q55:S55" si="31">SUM(Q53:Q54)</f>
        <v>0</v>
      </c>
      <c r="R55" s="755">
        <f t="shared" si="31"/>
        <v>1128000</v>
      </c>
      <c r="S55" s="755">
        <f t="shared" si="31"/>
        <v>0</v>
      </c>
      <c r="T55" s="755"/>
      <c r="U55" s="755"/>
      <c r="V55" s="755"/>
      <c r="W55" s="757">
        <f t="shared" si="4"/>
        <v>1128000</v>
      </c>
      <c r="X55" s="1032">
        <f t="shared" si="5"/>
        <v>-1128000</v>
      </c>
      <c r="Y55" s="1032">
        <f t="shared" si="6"/>
        <v>0</v>
      </c>
      <c r="Z55" s="1032">
        <f t="shared" si="7"/>
        <v>0</v>
      </c>
    </row>
    <row r="56" spans="1:26" s="708" customFormat="1" ht="21" x14ac:dyDescent="0.35">
      <c r="A56" s="353" t="s">
        <v>307</v>
      </c>
      <c r="B56" s="346" t="s">
        <v>103</v>
      </c>
      <c r="C56" s="365">
        <f>SUM(C57:C58)</f>
        <v>1036800.0000000001</v>
      </c>
      <c r="D56" s="365">
        <v>263479</v>
      </c>
      <c r="E56" s="365">
        <f>SUM(E33,E27,E26,E17)*0.27</f>
        <v>353700</v>
      </c>
      <c r="F56" s="365">
        <f t="shared" ref="F56:J56" si="32">SUM(F57:F58)</f>
        <v>567000</v>
      </c>
      <c r="G56" s="365"/>
      <c r="H56" s="591">
        <v>353224</v>
      </c>
      <c r="I56" s="365">
        <f>I52*0.27</f>
        <v>702000</v>
      </c>
      <c r="J56" s="365">
        <f t="shared" si="32"/>
        <v>304560</v>
      </c>
      <c r="K56" s="365">
        <v>2115560</v>
      </c>
      <c r="L56" s="365">
        <v>2115560</v>
      </c>
      <c r="M56" s="365"/>
      <c r="N56" s="591">
        <v>29858</v>
      </c>
      <c r="O56" s="365">
        <f>O55*0.27</f>
        <v>304560</v>
      </c>
      <c r="P56" s="759">
        <f t="shared" si="25"/>
        <v>1908360</v>
      </c>
      <c r="Q56" s="756"/>
      <c r="R56" s="757">
        <f t="shared" si="29"/>
        <v>1908360</v>
      </c>
      <c r="S56" s="757">
        <f t="shared" si="3"/>
        <v>263479</v>
      </c>
      <c r="T56" s="757"/>
      <c r="U56" s="757"/>
      <c r="V56" s="757"/>
      <c r="W56" s="757">
        <f t="shared" si="4"/>
        <v>1360260</v>
      </c>
      <c r="X56" s="1032">
        <f t="shared" si="5"/>
        <v>-977178</v>
      </c>
      <c r="Y56" s="1032">
        <f t="shared" si="6"/>
        <v>383082</v>
      </c>
      <c r="Z56" s="1032">
        <f t="shared" si="7"/>
        <v>383082</v>
      </c>
    </row>
    <row r="57" spans="1:26" s="708" customFormat="1" hidden="1" x14ac:dyDescent="0.35">
      <c r="A57" s="345" t="s">
        <v>308</v>
      </c>
      <c r="B57" s="346"/>
      <c r="C57" s="370"/>
      <c r="D57" s="370"/>
      <c r="E57" s="370"/>
      <c r="F57" s="370"/>
      <c r="G57" s="370"/>
      <c r="H57" s="370"/>
      <c r="I57" s="370"/>
      <c r="J57" s="370"/>
      <c r="K57" s="370">
        <v>0</v>
      </c>
      <c r="L57" s="370">
        <v>0</v>
      </c>
      <c r="M57" s="370"/>
      <c r="N57" s="370"/>
      <c r="O57" s="370"/>
      <c r="P57" s="759">
        <f t="shared" si="25"/>
        <v>0</v>
      </c>
      <c r="Q57" s="756"/>
      <c r="R57" s="757">
        <f t="shared" si="29"/>
        <v>0</v>
      </c>
      <c r="S57" s="757">
        <f t="shared" si="3"/>
        <v>0</v>
      </c>
      <c r="T57" s="757"/>
      <c r="U57" s="757"/>
      <c r="V57" s="757"/>
      <c r="W57" s="757">
        <f t="shared" si="4"/>
        <v>0</v>
      </c>
      <c r="X57" s="1032">
        <f t="shared" si="5"/>
        <v>0</v>
      </c>
      <c r="Y57" s="1032">
        <f t="shared" si="6"/>
        <v>0</v>
      </c>
      <c r="Z57" s="1032">
        <f t="shared" si="7"/>
        <v>0</v>
      </c>
    </row>
    <row r="58" spans="1:26" s="708" customFormat="1" hidden="1" x14ac:dyDescent="0.35">
      <c r="A58" s="345" t="s">
        <v>309</v>
      </c>
      <c r="B58" s="346"/>
      <c r="C58" s="370">
        <f>SUM(C55,C52,C26,C17)*0.27</f>
        <v>1036800.0000000001</v>
      </c>
      <c r="D58" s="370"/>
      <c r="E58" s="370"/>
      <c r="F58" s="370">
        <f>SUM(F52)*0.27</f>
        <v>567000</v>
      </c>
      <c r="G58" s="370"/>
      <c r="H58" s="370"/>
      <c r="I58" s="370"/>
      <c r="J58" s="370">
        <f>J54*0.27</f>
        <v>304560</v>
      </c>
      <c r="K58" s="370">
        <v>2115560</v>
      </c>
      <c r="L58" s="370">
        <v>2115560</v>
      </c>
      <c r="M58" s="370"/>
      <c r="N58" s="370"/>
      <c r="O58" s="370"/>
      <c r="P58" s="759">
        <f t="shared" si="25"/>
        <v>1908360</v>
      </c>
      <c r="Q58" s="756"/>
      <c r="R58" s="757">
        <f t="shared" si="29"/>
        <v>1908360</v>
      </c>
      <c r="S58" s="757">
        <f t="shared" si="3"/>
        <v>0</v>
      </c>
      <c r="T58" s="757"/>
      <c r="U58" s="757"/>
      <c r="V58" s="757"/>
      <c r="W58" s="757">
        <f t="shared" si="4"/>
        <v>0</v>
      </c>
      <c r="X58" s="1032">
        <f t="shared" si="5"/>
        <v>0</v>
      </c>
      <c r="Y58" s="1032">
        <f t="shared" si="6"/>
        <v>0</v>
      </c>
      <c r="Z58" s="1032">
        <f t="shared" si="7"/>
        <v>0</v>
      </c>
    </row>
    <row r="59" spans="1:26" s="708" customFormat="1" hidden="1" x14ac:dyDescent="0.35">
      <c r="A59" s="353" t="s">
        <v>310</v>
      </c>
      <c r="B59" s="346" t="s">
        <v>105</v>
      </c>
      <c r="C59" s="370"/>
      <c r="D59" s="370"/>
      <c r="E59" s="370"/>
      <c r="F59" s="370"/>
      <c r="G59" s="370"/>
      <c r="H59" s="370"/>
      <c r="I59" s="370"/>
      <c r="J59" s="370"/>
      <c r="K59" s="370">
        <v>0</v>
      </c>
      <c r="L59" s="370">
        <v>0</v>
      </c>
      <c r="M59" s="370"/>
      <c r="N59" s="370"/>
      <c r="O59" s="370"/>
      <c r="P59" s="759">
        <f t="shared" si="25"/>
        <v>0</v>
      </c>
      <c r="Q59" s="756"/>
      <c r="R59" s="757">
        <f t="shared" si="29"/>
        <v>0</v>
      </c>
      <c r="S59" s="757">
        <f t="shared" si="3"/>
        <v>0</v>
      </c>
      <c r="T59" s="757"/>
      <c r="U59" s="757"/>
      <c r="V59" s="757"/>
      <c r="W59" s="757">
        <f t="shared" si="4"/>
        <v>0</v>
      </c>
      <c r="X59" s="1032">
        <f t="shared" si="5"/>
        <v>0</v>
      </c>
      <c r="Y59" s="1032">
        <f t="shared" si="6"/>
        <v>0</v>
      </c>
      <c r="Z59" s="1032">
        <f t="shared" si="7"/>
        <v>0</v>
      </c>
    </row>
    <row r="60" spans="1:26" s="708" customFormat="1" hidden="1" x14ac:dyDescent="0.35">
      <c r="A60" s="353" t="s">
        <v>106</v>
      </c>
      <c r="B60" s="346" t="s">
        <v>107</v>
      </c>
      <c r="C60" s="370"/>
      <c r="D60" s="370"/>
      <c r="E60" s="370"/>
      <c r="F60" s="370"/>
      <c r="G60" s="370"/>
      <c r="H60" s="370"/>
      <c r="I60" s="370"/>
      <c r="J60" s="370"/>
      <c r="K60" s="370">
        <v>0</v>
      </c>
      <c r="L60" s="370">
        <v>0</v>
      </c>
      <c r="M60" s="370"/>
      <c r="N60" s="370"/>
      <c r="O60" s="370"/>
      <c r="P60" s="759">
        <f t="shared" si="25"/>
        <v>0</v>
      </c>
      <c r="Q60" s="756"/>
      <c r="R60" s="757">
        <f t="shared" si="29"/>
        <v>0</v>
      </c>
      <c r="S60" s="757">
        <f t="shared" si="3"/>
        <v>0</v>
      </c>
      <c r="T60" s="757"/>
      <c r="U60" s="757"/>
      <c r="V60" s="757"/>
      <c r="W60" s="757">
        <f t="shared" si="4"/>
        <v>0</v>
      </c>
      <c r="X60" s="1032">
        <f t="shared" si="5"/>
        <v>0</v>
      </c>
      <c r="Y60" s="1032">
        <f t="shared" si="6"/>
        <v>0</v>
      </c>
      <c r="Z60" s="1032">
        <f t="shared" si="7"/>
        <v>0</v>
      </c>
    </row>
    <row r="61" spans="1:26" s="708" customFormat="1" x14ac:dyDescent="0.35">
      <c r="A61" s="353" t="s">
        <v>311</v>
      </c>
      <c r="B61" s="346" t="s">
        <v>111</v>
      </c>
      <c r="C61" s="365">
        <f>SUM(C62:C64)</f>
        <v>0</v>
      </c>
      <c r="D61" s="365"/>
      <c r="E61" s="365"/>
      <c r="F61" s="365"/>
      <c r="G61" s="365"/>
      <c r="H61" s="365"/>
      <c r="I61" s="365"/>
      <c r="J61" s="365"/>
      <c r="K61" s="365">
        <v>0</v>
      </c>
      <c r="L61" s="365">
        <v>0</v>
      </c>
      <c r="M61" s="365"/>
      <c r="N61" s="591">
        <v>46618</v>
      </c>
      <c r="O61" s="365"/>
      <c r="P61" s="759">
        <f t="shared" si="25"/>
        <v>0</v>
      </c>
      <c r="Q61" s="756"/>
      <c r="R61" s="757">
        <f t="shared" si="29"/>
        <v>0</v>
      </c>
      <c r="S61" s="757">
        <f t="shared" si="3"/>
        <v>0</v>
      </c>
      <c r="T61" s="757"/>
      <c r="U61" s="757"/>
      <c r="V61" s="757"/>
      <c r="W61" s="757">
        <f t="shared" si="4"/>
        <v>0</v>
      </c>
      <c r="X61" s="1032">
        <f t="shared" si="5"/>
        <v>46618</v>
      </c>
      <c r="Y61" s="1032">
        <f t="shared" si="6"/>
        <v>46618</v>
      </c>
      <c r="Z61" s="1032">
        <f t="shared" si="7"/>
        <v>46618</v>
      </c>
    </row>
    <row r="62" spans="1:26" hidden="1" x14ac:dyDescent="0.35">
      <c r="A62" s="345" t="s">
        <v>312</v>
      </c>
      <c r="B62" s="346"/>
      <c r="C62" s="370"/>
      <c r="D62" s="370"/>
      <c r="E62" s="370"/>
      <c r="F62" s="370"/>
      <c r="G62" s="370"/>
      <c r="H62" s="370"/>
      <c r="I62" s="370"/>
      <c r="J62" s="370"/>
      <c r="K62" s="370">
        <v>0</v>
      </c>
      <c r="L62" s="370">
        <v>0</v>
      </c>
      <c r="M62" s="370"/>
      <c r="N62" s="370"/>
      <c r="O62" s="370"/>
      <c r="P62" s="755">
        <f t="shared" si="25"/>
        <v>0</v>
      </c>
      <c r="Q62" s="756"/>
      <c r="R62" s="756"/>
      <c r="S62" s="757">
        <f t="shared" si="3"/>
        <v>0</v>
      </c>
      <c r="T62" s="757"/>
      <c r="U62" s="757"/>
      <c r="V62" s="757"/>
      <c r="W62" s="757">
        <f t="shared" si="4"/>
        <v>0</v>
      </c>
      <c r="X62" s="1032">
        <f t="shared" si="5"/>
        <v>0</v>
      </c>
      <c r="Y62" s="1032">
        <f t="shared" si="6"/>
        <v>0</v>
      </c>
      <c r="Z62" s="1032">
        <f t="shared" si="7"/>
        <v>0</v>
      </c>
    </row>
    <row r="63" spans="1:26" hidden="1" x14ac:dyDescent="0.35">
      <c r="A63" s="345" t="s">
        <v>313</v>
      </c>
      <c r="B63" s="346"/>
      <c r="C63" s="370"/>
      <c r="D63" s="370"/>
      <c r="E63" s="370"/>
      <c r="F63" s="370"/>
      <c r="G63" s="370"/>
      <c r="H63" s="370"/>
      <c r="I63" s="370"/>
      <c r="J63" s="370"/>
      <c r="K63" s="370">
        <v>0</v>
      </c>
      <c r="L63" s="370">
        <v>0</v>
      </c>
      <c r="M63" s="370"/>
      <c r="N63" s="370"/>
      <c r="O63" s="370"/>
      <c r="P63" s="755">
        <f t="shared" si="25"/>
        <v>0</v>
      </c>
      <c r="Q63" s="756"/>
      <c r="R63" s="756"/>
      <c r="S63" s="757">
        <f t="shared" si="3"/>
        <v>0</v>
      </c>
      <c r="T63" s="757"/>
      <c r="U63" s="757"/>
      <c r="V63" s="757"/>
      <c r="W63" s="757">
        <f t="shared" si="4"/>
        <v>0</v>
      </c>
      <c r="X63" s="1032">
        <f t="shared" si="5"/>
        <v>0</v>
      </c>
      <c r="Y63" s="1032">
        <f t="shared" si="6"/>
        <v>0</v>
      </c>
      <c r="Z63" s="1032">
        <f t="shared" si="7"/>
        <v>0</v>
      </c>
    </row>
    <row r="64" spans="1:26" hidden="1" x14ac:dyDescent="0.35">
      <c r="A64" s="345" t="s">
        <v>311</v>
      </c>
      <c r="B64" s="346"/>
      <c r="C64" s="370"/>
      <c r="D64" s="370"/>
      <c r="E64" s="370"/>
      <c r="F64" s="370"/>
      <c r="G64" s="370"/>
      <c r="H64" s="370"/>
      <c r="I64" s="370"/>
      <c r="J64" s="370"/>
      <c r="K64" s="370">
        <v>0</v>
      </c>
      <c r="L64" s="370">
        <v>0</v>
      </c>
      <c r="M64" s="370"/>
      <c r="N64" s="370"/>
      <c r="O64" s="370"/>
      <c r="P64" s="755">
        <f t="shared" si="25"/>
        <v>0</v>
      </c>
      <c r="Q64" s="756"/>
      <c r="R64" s="756"/>
      <c r="S64" s="757">
        <f t="shared" si="3"/>
        <v>0</v>
      </c>
      <c r="T64" s="757"/>
      <c r="U64" s="757"/>
      <c r="V64" s="757"/>
      <c r="W64" s="757">
        <f t="shared" si="4"/>
        <v>0</v>
      </c>
      <c r="X64" s="1032">
        <f t="shared" si="5"/>
        <v>0</v>
      </c>
      <c r="Y64" s="1032">
        <f t="shared" si="6"/>
        <v>0</v>
      </c>
      <c r="Z64" s="1032">
        <f t="shared" si="7"/>
        <v>0</v>
      </c>
    </row>
    <row r="65" spans="1:26" x14ac:dyDescent="0.35">
      <c r="A65" s="343" t="s">
        <v>314</v>
      </c>
      <c r="B65" s="344" t="s">
        <v>117</v>
      </c>
      <c r="C65" s="363">
        <f>SUM(C61,C56,C59,C60)</f>
        <v>1036800.0000000001</v>
      </c>
      <c r="D65" s="363">
        <f>SUM(D61,D56,D59,D60)</f>
        <v>263479</v>
      </c>
      <c r="E65" s="363">
        <f>SUM(E56:E61)</f>
        <v>353700</v>
      </c>
      <c r="F65" s="363">
        <f t="shared" ref="F65:T65" si="33">SUM(F56:F61)</f>
        <v>1134000</v>
      </c>
      <c r="G65" s="363">
        <f t="shared" si="33"/>
        <v>0</v>
      </c>
      <c r="H65" s="363">
        <f t="shared" si="33"/>
        <v>353224</v>
      </c>
      <c r="I65" s="363">
        <f t="shared" si="33"/>
        <v>702000</v>
      </c>
      <c r="J65" s="363">
        <f t="shared" si="33"/>
        <v>609120</v>
      </c>
      <c r="K65" s="363">
        <f t="shared" si="33"/>
        <v>4231120</v>
      </c>
      <c r="L65" s="363">
        <f t="shared" si="33"/>
        <v>4231120</v>
      </c>
      <c r="M65" s="363">
        <f t="shared" si="33"/>
        <v>0</v>
      </c>
      <c r="N65" s="363">
        <f>SUM(N56:N61)</f>
        <v>76476</v>
      </c>
      <c r="O65" s="363">
        <f t="shared" si="33"/>
        <v>304560</v>
      </c>
      <c r="P65" s="363">
        <f t="shared" si="33"/>
        <v>3816720</v>
      </c>
      <c r="Q65" s="363">
        <f t="shared" si="33"/>
        <v>0</v>
      </c>
      <c r="R65" s="363">
        <f t="shared" si="33"/>
        <v>3816720</v>
      </c>
      <c r="S65" s="363">
        <f t="shared" si="33"/>
        <v>263479</v>
      </c>
      <c r="T65" s="363">
        <f t="shared" si="33"/>
        <v>0</v>
      </c>
      <c r="U65" s="363">
        <f t="shared" ref="U65:V65" si="34">SUM(U56:U61)</f>
        <v>0</v>
      </c>
      <c r="V65" s="363">
        <f t="shared" si="34"/>
        <v>0</v>
      </c>
      <c r="W65" s="757">
        <f t="shared" si="4"/>
        <v>1360260</v>
      </c>
      <c r="X65" s="1032">
        <f t="shared" si="5"/>
        <v>-930560</v>
      </c>
      <c r="Y65" s="1032">
        <f t="shared" si="6"/>
        <v>429700</v>
      </c>
      <c r="Z65" s="1032">
        <f t="shared" si="7"/>
        <v>429700</v>
      </c>
    </row>
    <row r="66" spans="1:26" ht="15" thickBot="1" x14ac:dyDescent="0.4">
      <c r="A66" s="374" t="s">
        <v>315</v>
      </c>
      <c r="B66" s="375" t="s">
        <v>119</v>
      </c>
      <c r="C66" s="363">
        <f>SUM(C65,C55,C52,C26,C17)</f>
        <v>4876800</v>
      </c>
      <c r="D66" s="363">
        <f t="shared" ref="D66" si="35">SUM(D65,D55,D52,D26,D17)</f>
        <v>3969778</v>
      </c>
      <c r="E66" s="363">
        <f>SUM(E65,E55,E52,E26,E17)</f>
        <v>5263700</v>
      </c>
      <c r="F66" s="363">
        <f t="shared" ref="F66:T66" si="36">SUM(F65,F55,F52,F26,F17)</f>
        <v>3234000</v>
      </c>
      <c r="G66" s="363">
        <f t="shared" si="36"/>
        <v>1701057</v>
      </c>
      <c r="H66" s="363">
        <f t="shared" si="36"/>
        <v>5727268</v>
      </c>
      <c r="I66" s="363">
        <f t="shared" si="36"/>
        <v>3302000</v>
      </c>
      <c r="J66" s="363">
        <f t="shared" si="36"/>
        <v>1737120</v>
      </c>
      <c r="K66" s="363">
        <f t="shared" si="36"/>
        <v>12887120</v>
      </c>
      <c r="L66" s="363">
        <f t="shared" si="36"/>
        <v>12887120</v>
      </c>
      <c r="M66" s="363">
        <f t="shared" si="36"/>
        <v>0</v>
      </c>
      <c r="N66" s="363">
        <f>SUM(N65,N55,N52,N26,N17)</f>
        <v>259593</v>
      </c>
      <c r="O66" s="363">
        <f t="shared" si="36"/>
        <v>1432560</v>
      </c>
      <c r="P66" s="363">
        <f t="shared" si="36"/>
        <v>11004720</v>
      </c>
      <c r="Q66" s="363">
        <f t="shared" si="36"/>
        <v>474187</v>
      </c>
      <c r="R66" s="363">
        <f t="shared" si="36"/>
        <v>11478907</v>
      </c>
      <c r="S66" s="363">
        <f t="shared" si="36"/>
        <v>5670835</v>
      </c>
      <c r="T66" s="363">
        <f t="shared" si="36"/>
        <v>0</v>
      </c>
      <c r="U66" s="363">
        <f t="shared" ref="U66" si="37">SUM(U65,U55,U52,U26,U17)</f>
        <v>0</v>
      </c>
      <c r="V66" s="363">
        <f t="shared" ref="V66" si="38">SUM(V65,V55,V52,V26,V17)</f>
        <v>347306</v>
      </c>
      <c r="W66" s="757">
        <f t="shared" si="4"/>
        <v>9998260</v>
      </c>
      <c r="X66" s="1032">
        <f t="shared" si="5"/>
        <v>-3664093</v>
      </c>
      <c r="Y66" s="1032">
        <f t="shared" si="6"/>
        <v>6334167</v>
      </c>
      <c r="Z66" s="1032">
        <f t="shared" si="7"/>
        <v>6334167</v>
      </c>
    </row>
  </sheetData>
  <mergeCells count="9">
    <mergeCell ref="A3:W3"/>
    <mergeCell ref="A4:A6"/>
    <mergeCell ref="B4:B6"/>
    <mergeCell ref="C5:H5"/>
    <mergeCell ref="I5:N5"/>
    <mergeCell ref="O5:T5"/>
    <mergeCell ref="W5:Z5"/>
    <mergeCell ref="C4:Z4"/>
    <mergeCell ref="U5:V5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  <pageSetUpPr fitToPage="1"/>
  </sheetPr>
  <dimension ref="A1:L17"/>
  <sheetViews>
    <sheetView view="pageBreakPreview" zoomScale="110" zoomScaleNormal="100" zoomScaleSheetLayoutView="110" workbookViewId="0"/>
  </sheetViews>
  <sheetFormatPr defaultRowHeight="14.5" x14ac:dyDescent="0.35"/>
  <cols>
    <col min="1" max="1" width="32.26953125" customWidth="1"/>
    <col min="2" max="2" width="23.1796875" customWidth="1"/>
    <col min="3" max="4" width="23.1796875" hidden="1" customWidth="1"/>
    <col min="5" max="5" width="24.1796875" style="36" hidden="1" customWidth="1"/>
    <col min="6" max="6" width="17.1796875" hidden="1" customWidth="1"/>
    <col min="7" max="7" width="20" hidden="1" customWidth="1"/>
    <col min="8" max="8" width="13.7265625" hidden="1" customWidth="1"/>
    <col min="9" max="9" width="15.54296875" customWidth="1"/>
    <col min="10" max="10" width="12.7265625" hidden="1" customWidth="1"/>
    <col min="11" max="11" width="14.1796875" customWidth="1"/>
    <col min="12" max="12" width="14" customWidth="1"/>
  </cols>
  <sheetData>
    <row r="1" spans="1:12" x14ac:dyDescent="0.35">
      <c r="A1" t="s">
        <v>454</v>
      </c>
    </row>
    <row r="3" spans="1:12" x14ac:dyDescent="0.35">
      <c r="A3" s="1208" t="s">
        <v>549</v>
      </c>
      <c r="B3" s="1208"/>
      <c r="C3" s="1208"/>
      <c r="D3" s="1208"/>
      <c r="E3" s="1208"/>
      <c r="F3" s="1140"/>
      <c r="G3" s="1140"/>
      <c r="H3" s="1140"/>
      <c r="I3" s="1140"/>
    </row>
    <row r="5" spans="1:12" ht="15" customHeight="1" x14ac:dyDescent="0.35">
      <c r="A5" s="1260" t="s">
        <v>2</v>
      </c>
      <c r="B5" s="502" t="s">
        <v>3</v>
      </c>
      <c r="C5" s="1267" t="s">
        <v>240</v>
      </c>
      <c r="D5" s="1267"/>
      <c r="E5" s="1267"/>
      <c r="F5" s="1267"/>
      <c r="G5" s="1267"/>
      <c r="H5" s="1267"/>
      <c r="I5" s="1267"/>
      <c r="J5" s="1267"/>
      <c r="K5" s="1267"/>
      <c r="L5" s="1267"/>
    </row>
    <row r="6" spans="1:12" ht="29" x14ac:dyDescent="0.35">
      <c r="A6" s="1260"/>
      <c r="B6" s="502"/>
      <c r="C6" s="446" t="s">
        <v>826</v>
      </c>
      <c r="D6" s="446" t="s">
        <v>827</v>
      </c>
      <c r="E6" s="323" t="s">
        <v>812</v>
      </c>
      <c r="F6" s="446" t="s">
        <v>871</v>
      </c>
      <c r="G6" s="446" t="s">
        <v>872</v>
      </c>
      <c r="H6" s="505" t="s">
        <v>870</v>
      </c>
      <c r="I6" s="505" t="s">
        <v>968</v>
      </c>
      <c r="J6" s="884" t="s">
        <v>1097</v>
      </c>
      <c r="K6" s="879" t="s">
        <v>1101</v>
      </c>
      <c r="L6" s="879" t="s">
        <v>673</v>
      </c>
    </row>
    <row r="7" spans="1:12" ht="29" hidden="1" x14ac:dyDescent="0.35">
      <c r="A7" s="3" t="s">
        <v>5</v>
      </c>
      <c r="B7" s="1" t="s">
        <v>6</v>
      </c>
      <c r="C7" s="447">
        <v>994710</v>
      </c>
      <c r="D7" s="447">
        <v>4058654</v>
      </c>
      <c r="E7" s="38">
        <v>1247475</v>
      </c>
      <c r="F7" s="1">
        <v>842170</v>
      </c>
      <c r="G7" s="400">
        <f>E7+F7</f>
        <v>2089645</v>
      </c>
      <c r="H7" s="4">
        <v>2089645</v>
      </c>
      <c r="I7" s="38">
        <v>244590</v>
      </c>
      <c r="J7" s="400"/>
      <c r="K7" s="1"/>
      <c r="L7" s="598">
        <v>1386010</v>
      </c>
    </row>
    <row r="8" spans="1:12" hidden="1" x14ac:dyDescent="0.35">
      <c r="A8" s="3" t="s">
        <v>690</v>
      </c>
      <c r="B8" s="1" t="s">
        <v>18</v>
      </c>
      <c r="C8" s="447"/>
      <c r="D8" s="447">
        <v>328000</v>
      </c>
      <c r="E8" s="38"/>
      <c r="F8" s="1"/>
      <c r="G8" s="400">
        <f t="shared" ref="G8:G15" si="0">E8+F8</f>
        <v>0</v>
      </c>
      <c r="H8" s="1"/>
      <c r="I8" s="1"/>
      <c r="J8" s="400"/>
      <c r="K8" s="1"/>
      <c r="L8" s="1"/>
    </row>
    <row r="9" spans="1:12" hidden="1" x14ac:dyDescent="0.35">
      <c r="A9" s="3" t="s">
        <v>692</v>
      </c>
      <c r="B9" s="1" t="s">
        <v>24</v>
      </c>
      <c r="C9" s="447"/>
      <c r="D9" s="447">
        <v>6000</v>
      </c>
      <c r="E9" s="38"/>
      <c r="F9" s="1">
        <v>13000</v>
      </c>
      <c r="G9" s="400">
        <f t="shared" si="0"/>
        <v>13000</v>
      </c>
      <c r="H9" s="1">
        <v>13000</v>
      </c>
      <c r="I9" s="1"/>
      <c r="J9" s="400"/>
      <c r="K9" s="1"/>
      <c r="L9" s="1"/>
    </row>
    <row r="10" spans="1:12" hidden="1" x14ac:dyDescent="0.35">
      <c r="A10" s="3" t="s">
        <v>691</v>
      </c>
      <c r="B10" s="1" t="s">
        <v>30</v>
      </c>
      <c r="C10" s="447"/>
      <c r="D10" s="447">
        <v>55417</v>
      </c>
      <c r="E10" s="38"/>
      <c r="F10" s="1">
        <v>53987</v>
      </c>
      <c r="G10" s="400">
        <f t="shared" si="0"/>
        <v>53987</v>
      </c>
      <c r="H10" s="1">
        <v>53987</v>
      </c>
      <c r="I10" s="1"/>
      <c r="J10" s="400"/>
      <c r="K10" s="1"/>
      <c r="L10" s="1"/>
    </row>
    <row r="11" spans="1:12" hidden="1" x14ac:dyDescent="0.35">
      <c r="A11" s="322" t="s">
        <v>247</v>
      </c>
      <c r="B11" s="53" t="s">
        <v>32</v>
      </c>
      <c r="C11" s="448">
        <v>994710</v>
      </c>
      <c r="D11" s="448">
        <v>4448071</v>
      </c>
      <c r="E11" s="324">
        <f>SUM(E7:E10)</f>
        <v>1247475</v>
      </c>
      <c r="F11" s="324">
        <f t="shared" ref="F11:L11" si="1">SUM(F7:F10)</f>
        <v>909157</v>
      </c>
      <c r="G11" s="324">
        <f t="shared" si="1"/>
        <v>2156632</v>
      </c>
      <c r="H11" s="324">
        <f t="shared" si="1"/>
        <v>2156632</v>
      </c>
      <c r="I11" s="324">
        <f t="shared" si="1"/>
        <v>244590</v>
      </c>
      <c r="J11" s="324">
        <f t="shared" si="1"/>
        <v>0</v>
      </c>
      <c r="K11" s="324">
        <f t="shared" si="1"/>
        <v>0</v>
      </c>
      <c r="L11" s="324">
        <f t="shared" si="1"/>
        <v>1386010</v>
      </c>
    </row>
    <row r="12" spans="1:12" hidden="1" x14ac:dyDescent="0.35">
      <c r="A12" s="322" t="s">
        <v>251</v>
      </c>
      <c r="B12" s="53" t="s">
        <v>37</v>
      </c>
      <c r="C12" s="448">
        <v>0</v>
      </c>
      <c r="D12" s="448">
        <v>0</v>
      </c>
      <c r="E12" s="324">
        <v>0</v>
      </c>
      <c r="F12" s="1">
        <v>58128</v>
      </c>
      <c r="G12" s="400">
        <f t="shared" si="0"/>
        <v>58128</v>
      </c>
      <c r="H12" s="1">
        <v>58128</v>
      </c>
      <c r="I12" s="1">
        <v>0</v>
      </c>
      <c r="J12" s="400"/>
      <c r="K12" s="1"/>
      <c r="L12" s="1"/>
    </row>
    <row r="13" spans="1:12" x14ac:dyDescent="0.35">
      <c r="A13" s="1033" t="s">
        <v>252</v>
      </c>
      <c r="B13" s="586" t="s">
        <v>39</v>
      </c>
      <c r="C13" s="449">
        <v>994710</v>
      </c>
      <c r="D13" s="449">
        <v>4448071</v>
      </c>
      <c r="E13" s="325">
        <f>E12+E11</f>
        <v>1247475</v>
      </c>
      <c r="F13" s="325">
        <f t="shared" ref="F13:G13" si="2">F12+F11</f>
        <v>967285</v>
      </c>
      <c r="G13" s="325">
        <f t="shared" si="2"/>
        <v>2214760</v>
      </c>
      <c r="H13" s="325">
        <f>H12+H11</f>
        <v>2214760</v>
      </c>
      <c r="I13" s="587">
        <f>I12+I11</f>
        <v>244590</v>
      </c>
      <c r="J13" s="587">
        <f>K13-I13</f>
        <v>1141420</v>
      </c>
      <c r="K13" s="587">
        <f>L13</f>
        <v>1386010</v>
      </c>
      <c r="L13" s="587">
        <f t="shared" ref="L13" si="3">L12+L11</f>
        <v>1386010</v>
      </c>
    </row>
    <row r="14" spans="1:12" ht="29" x14ac:dyDescent="0.35">
      <c r="A14" s="3" t="s">
        <v>253</v>
      </c>
      <c r="B14" s="1" t="s">
        <v>41</v>
      </c>
      <c r="C14" s="447">
        <v>109416</v>
      </c>
      <c r="D14" s="447">
        <v>543454</v>
      </c>
      <c r="E14" s="38">
        <v>121629</v>
      </c>
      <c r="F14" s="1">
        <v>130000</v>
      </c>
      <c r="G14" s="400">
        <f>E14+F14</f>
        <v>251629</v>
      </c>
      <c r="H14" s="1">
        <v>250448</v>
      </c>
      <c r="I14" s="519">
        <f>I13*0.175/2</f>
        <v>21401.625</v>
      </c>
      <c r="J14" s="587">
        <f t="shared" ref="J14:J15" si="4">K14-I14</f>
        <v>91720.375</v>
      </c>
      <c r="K14" s="587">
        <f t="shared" ref="K14:K15" si="5">L14</f>
        <v>113122</v>
      </c>
      <c r="L14" s="903">
        <v>113122</v>
      </c>
    </row>
    <row r="15" spans="1:12" x14ac:dyDescent="0.35">
      <c r="A15" s="3" t="s">
        <v>693</v>
      </c>
      <c r="B15" s="1" t="s">
        <v>119</v>
      </c>
      <c r="C15" s="447"/>
      <c r="D15" s="447">
        <v>54170</v>
      </c>
      <c r="E15" s="38"/>
      <c r="F15" s="1">
        <v>70948</v>
      </c>
      <c r="G15" s="400">
        <f t="shared" si="0"/>
        <v>70948</v>
      </c>
      <c r="H15" s="1">
        <v>70948</v>
      </c>
      <c r="I15" s="318">
        <v>0</v>
      </c>
      <c r="J15" s="587">
        <f t="shared" si="4"/>
        <v>42099</v>
      </c>
      <c r="K15" s="587">
        <f t="shared" si="5"/>
        <v>42099</v>
      </c>
      <c r="L15" s="903">
        <v>42099</v>
      </c>
    </row>
    <row r="16" spans="1:12" s="530" customFormat="1" x14ac:dyDescent="0.35">
      <c r="A16" s="1266" t="s">
        <v>160</v>
      </c>
      <c r="B16" s="1266"/>
      <c r="C16" s="618">
        <v>1104126</v>
      </c>
      <c r="D16" s="618">
        <v>5045695</v>
      </c>
      <c r="E16" s="616">
        <f>SUM(E13:E15)</f>
        <v>1369104</v>
      </c>
      <c r="F16" s="616">
        <f t="shared" ref="F16:L16" si="6">SUM(F13:F15)</f>
        <v>1168233</v>
      </c>
      <c r="G16" s="616">
        <f t="shared" si="6"/>
        <v>2537337</v>
      </c>
      <c r="H16" s="616">
        <f t="shared" si="6"/>
        <v>2536156</v>
      </c>
      <c r="I16" s="587">
        <f t="shared" si="6"/>
        <v>265991.625</v>
      </c>
      <c r="J16" s="587">
        <f t="shared" si="6"/>
        <v>1275239.375</v>
      </c>
      <c r="K16" s="587">
        <f t="shared" si="6"/>
        <v>1541231</v>
      </c>
      <c r="L16" s="587">
        <f t="shared" si="6"/>
        <v>1541231</v>
      </c>
    </row>
    <row r="17" spans="9:9" x14ac:dyDescent="0.35">
      <c r="I17" s="503"/>
    </row>
  </sheetData>
  <mergeCells count="4">
    <mergeCell ref="A16:B16"/>
    <mergeCell ref="A5:A6"/>
    <mergeCell ref="A3:I3"/>
    <mergeCell ref="C5:L5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topLeftCell="A8" workbookViewId="0">
      <selection activeCell="J18" sqref="J18"/>
    </sheetView>
  </sheetViews>
  <sheetFormatPr defaultRowHeight="14.5" x14ac:dyDescent="0.35"/>
  <cols>
    <col min="1" max="1" width="19" customWidth="1"/>
    <col min="3" max="3" width="19.26953125" customWidth="1"/>
    <col min="4" max="4" width="24" customWidth="1"/>
    <col min="5" max="5" width="19.54296875" customWidth="1"/>
    <col min="6" max="6" width="20.26953125" customWidth="1"/>
  </cols>
  <sheetData>
    <row r="1" spans="1:6" x14ac:dyDescent="0.35">
      <c r="A1" s="1268" t="s">
        <v>452</v>
      </c>
      <c r="B1" s="1268"/>
      <c r="C1" s="1268"/>
      <c r="D1" s="42"/>
      <c r="E1" s="42"/>
      <c r="F1" s="42"/>
    </row>
    <row r="2" spans="1:6" x14ac:dyDescent="0.35">
      <c r="A2" s="43"/>
      <c r="B2" s="43"/>
      <c r="C2" s="43"/>
      <c r="D2" s="42"/>
      <c r="E2" s="42"/>
      <c r="F2" s="42"/>
    </row>
    <row r="3" spans="1:6" x14ac:dyDescent="0.35">
      <c r="B3" s="1269" t="s">
        <v>254</v>
      </c>
      <c r="C3" s="1269"/>
      <c r="D3" s="1269"/>
      <c r="E3" s="1269"/>
      <c r="F3" s="1208"/>
    </row>
    <row r="4" spans="1:6" x14ac:dyDescent="0.35">
      <c r="B4" s="1269"/>
      <c r="C4" s="1269"/>
      <c r="D4" s="1269"/>
      <c r="E4" s="1269"/>
      <c r="F4" s="1208"/>
    </row>
    <row r="5" spans="1:6" x14ac:dyDescent="0.35">
      <c r="A5" s="44"/>
      <c r="B5" s="44"/>
      <c r="C5" s="44"/>
      <c r="D5" s="44"/>
      <c r="E5" s="44"/>
      <c r="F5" s="44" t="s">
        <v>236</v>
      </c>
    </row>
    <row r="6" spans="1:6" ht="15" thickBot="1" x14ac:dyDescent="0.4">
      <c r="A6" s="44"/>
      <c r="B6" s="44"/>
      <c r="C6" s="44"/>
      <c r="D6" s="44"/>
      <c r="E6" s="44"/>
      <c r="F6" s="44"/>
    </row>
    <row r="7" spans="1:6" ht="29" x14ac:dyDescent="0.35">
      <c r="A7" s="45" t="s">
        <v>2</v>
      </c>
      <c r="B7" s="46" t="s">
        <v>3</v>
      </c>
      <c r="C7" s="47" t="s">
        <v>237</v>
      </c>
      <c r="D7" s="47" t="s">
        <v>443</v>
      </c>
      <c r="E7" s="47" t="s">
        <v>240</v>
      </c>
      <c r="F7" s="48" t="s">
        <v>241</v>
      </c>
    </row>
    <row r="8" spans="1:6" ht="43.5" customHeight="1" x14ac:dyDescent="0.35">
      <c r="A8" s="49" t="s">
        <v>5</v>
      </c>
      <c r="B8" s="1" t="s">
        <v>6</v>
      </c>
      <c r="C8" s="50"/>
      <c r="D8" s="50">
        <v>3423900</v>
      </c>
      <c r="E8" s="50">
        <v>994710</v>
      </c>
      <c r="F8" s="51">
        <f t="shared" ref="F8:F15" si="0">SUM(C8:E8)</f>
        <v>4418610</v>
      </c>
    </row>
    <row r="9" spans="1:6" ht="43.5" x14ac:dyDescent="0.35">
      <c r="A9" s="49" t="s">
        <v>242</v>
      </c>
      <c r="B9" s="1" t="s">
        <v>12</v>
      </c>
      <c r="C9" s="50"/>
      <c r="D9" s="50"/>
      <c r="E9" s="50"/>
      <c r="F9" s="51">
        <f t="shared" si="0"/>
        <v>0</v>
      </c>
    </row>
    <row r="10" spans="1:6" x14ac:dyDescent="0.35">
      <c r="A10" s="49" t="s">
        <v>13</v>
      </c>
      <c r="B10" s="1" t="s">
        <v>14</v>
      </c>
      <c r="C10" s="50"/>
      <c r="D10" s="50"/>
      <c r="E10" s="50"/>
      <c r="F10" s="51">
        <f t="shared" si="0"/>
        <v>0</v>
      </c>
    </row>
    <row r="11" spans="1:6" x14ac:dyDescent="0.35">
      <c r="A11" s="49" t="s">
        <v>15</v>
      </c>
      <c r="B11" s="1" t="s">
        <v>16</v>
      </c>
      <c r="C11" s="50"/>
      <c r="D11" s="50"/>
      <c r="E11" s="50"/>
      <c r="F11" s="51">
        <f t="shared" si="0"/>
        <v>0</v>
      </c>
    </row>
    <row r="12" spans="1:6" ht="29" x14ac:dyDescent="0.35">
      <c r="A12" s="49" t="s">
        <v>243</v>
      </c>
      <c r="B12" s="1" t="s">
        <v>18</v>
      </c>
      <c r="C12" s="50">
        <v>200000</v>
      </c>
      <c r="D12" s="50">
        <v>200000</v>
      </c>
      <c r="E12" s="50"/>
      <c r="F12" s="51">
        <f t="shared" si="0"/>
        <v>400000</v>
      </c>
    </row>
    <row r="13" spans="1:6" ht="29" x14ac:dyDescent="0.35">
      <c r="A13" s="49" t="s">
        <v>244</v>
      </c>
      <c r="B13" s="1" t="s">
        <v>22</v>
      </c>
      <c r="C13" s="50"/>
      <c r="D13" s="50"/>
      <c r="E13" s="50"/>
      <c r="F13" s="51">
        <f t="shared" si="0"/>
        <v>0</v>
      </c>
    </row>
    <row r="14" spans="1:6" ht="29" x14ac:dyDescent="0.35">
      <c r="A14" s="49" t="s">
        <v>245</v>
      </c>
      <c r="B14" s="1" t="s">
        <v>24</v>
      </c>
      <c r="C14" s="50">
        <v>12000</v>
      </c>
      <c r="D14" s="50">
        <v>12000</v>
      </c>
      <c r="E14" s="50"/>
      <c r="F14" s="51">
        <f t="shared" si="0"/>
        <v>24000</v>
      </c>
    </row>
    <row r="15" spans="1:6" ht="29" x14ac:dyDescent="0.35">
      <c r="A15" s="49" t="s">
        <v>246</v>
      </c>
      <c r="B15" s="1" t="s">
        <v>30</v>
      </c>
      <c r="C15" s="50"/>
      <c r="D15" s="50"/>
      <c r="E15" s="50"/>
      <c r="F15" s="51">
        <f t="shared" si="0"/>
        <v>0</v>
      </c>
    </row>
    <row r="16" spans="1:6" ht="29" x14ac:dyDescent="0.35">
      <c r="A16" s="52" t="s">
        <v>247</v>
      </c>
      <c r="B16" s="53" t="s">
        <v>32</v>
      </c>
      <c r="C16" s="54">
        <f>SUM(C8:C15)</f>
        <v>212000</v>
      </c>
      <c r="D16" s="54">
        <f>SUM(D8:D15)</f>
        <v>3635900</v>
      </c>
      <c r="E16" s="54">
        <f>SUM(E8:E15)</f>
        <v>994710</v>
      </c>
      <c r="F16" s="55">
        <f>SUM(F8:F15)</f>
        <v>4842610</v>
      </c>
    </row>
    <row r="17" spans="1:6" ht="43.5" x14ac:dyDescent="0.35">
      <c r="A17" s="49" t="s">
        <v>248</v>
      </c>
      <c r="B17" s="1" t="s">
        <v>33</v>
      </c>
      <c r="C17" s="50">
        <v>7568508</v>
      </c>
      <c r="D17" s="50"/>
      <c r="E17" s="50"/>
      <c r="F17" s="51">
        <f>SUM(C17:E17)</f>
        <v>7568508</v>
      </c>
    </row>
    <row r="18" spans="1:6" ht="55.5" customHeight="1" x14ac:dyDescent="0.35">
      <c r="A18" s="49" t="s">
        <v>249</v>
      </c>
      <c r="B18" s="1" t="s">
        <v>34</v>
      </c>
      <c r="C18" s="50"/>
      <c r="D18" s="50"/>
      <c r="E18" s="50"/>
      <c r="F18" s="51">
        <f>SUM(C18:E18)</f>
        <v>0</v>
      </c>
    </row>
    <row r="19" spans="1:6" ht="28.5" customHeight="1" x14ac:dyDescent="0.35">
      <c r="A19" s="49" t="s">
        <v>250</v>
      </c>
      <c r="B19" s="1" t="s">
        <v>35</v>
      </c>
      <c r="C19" s="50"/>
      <c r="D19" s="50"/>
      <c r="E19" s="50"/>
      <c r="F19" s="51">
        <f>SUM(C19:E19)</f>
        <v>0</v>
      </c>
    </row>
    <row r="20" spans="1:6" ht="29" x14ac:dyDescent="0.35">
      <c r="A20" s="52" t="s">
        <v>251</v>
      </c>
      <c r="B20" s="53" t="s">
        <v>37</v>
      </c>
      <c r="C20" s="54">
        <f>SUM(C17:C19)</f>
        <v>7568508</v>
      </c>
      <c r="D20" s="54">
        <f t="shared" ref="D20:E20" si="1">SUM(D17:D19)</f>
        <v>0</v>
      </c>
      <c r="E20" s="54">
        <f t="shared" si="1"/>
        <v>0</v>
      </c>
      <c r="F20" s="55">
        <f>SUM(F17:F19)</f>
        <v>7568508</v>
      </c>
    </row>
    <row r="21" spans="1:6" x14ac:dyDescent="0.35">
      <c r="A21" s="56" t="s">
        <v>252</v>
      </c>
      <c r="B21" s="57" t="s">
        <v>39</v>
      </c>
      <c r="C21" s="58">
        <f>C20+C16</f>
        <v>7780508</v>
      </c>
      <c r="D21" s="58">
        <f t="shared" ref="D21:E21" si="2">D20+D16</f>
        <v>3635900</v>
      </c>
      <c r="E21" s="58">
        <f t="shared" si="2"/>
        <v>994710</v>
      </c>
      <c r="F21" s="58">
        <f>F20+F16</f>
        <v>12411118</v>
      </c>
    </row>
    <row r="22" spans="1:6" ht="63.75" customHeight="1" thickBot="1" x14ac:dyDescent="0.4">
      <c r="A22" s="59" t="s">
        <v>253</v>
      </c>
      <c r="B22" s="34" t="s">
        <v>41</v>
      </c>
      <c r="C22" s="60">
        <v>1461760</v>
      </c>
      <c r="D22" s="60">
        <v>745633</v>
      </c>
      <c r="E22" s="60">
        <v>109416</v>
      </c>
      <c r="F22" s="61">
        <f>SUM(C22:E22)</f>
        <v>2316809</v>
      </c>
    </row>
  </sheetData>
  <mergeCells count="3">
    <mergeCell ref="A1:C1"/>
    <mergeCell ref="B3:E4"/>
    <mergeCell ref="F3:F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69"/>
  <sheetViews>
    <sheetView workbookViewId="0">
      <pane xSplit="2" ySplit="7" topLeftCell="O58" activePane="bottomRight" state="frozen"/>
      <selection activeCell="H18" sqref="H18"/>
      <selection pane="topRight" activeCell="H18" sqref="H18"/>
      <selection pane="bottomLeft" activeCell="H18" sqref="H18"/>
      <selection pane="bottomRight" activeCell="V61" sqref="V61"/>
    </sheetView>
  </sheetViews>
  <sheetFormatPr defaultRowHeight="14.5" x14ac:dyDescent="0.35"/>
  <cols>
    <col min="1" max="1" width="19.81640625" customWidth="1"/>
    <col min="2" max="2" width="18" customWidth="1"/>
    <col min="3" max="3" width="18" style="36" customWidth="1"/>
    <col min="4" max="4" width="18.54296875" customWidth="1"/>
    <col min="5" max="5" width="19.54296875" customWidth="1"/>
    <col min="6" max="6" width="15.1796875" customWidth="1"/>
    <col min="7" max="7" width="17" customWidth="1"/>
    <col min="8" max="8" width="15.81640625" customWidth="1"/>
    <col min="9" max="9" width="16" customWidth="1"/>
    <col min="10" max="10" width="18" customWidth="1"/>
    <col min="11" max="11" width="18.1796875" customWidth="1"/>
    <col min="12" max="12" width="18.26953125" customWidth="1"/>
    <col min="13" max="13" width="22.1796875" customWidth="1"/>
    <col min="14" max="14" width="19" customWidth="1"/>
    <col min="15" max="15" width="18.54296875" customWidth="1"/>
    <col min="16" max="16" width="15.54296875" customWidth="1"/>
    <col min="17" max="17" width="17.453125" customWidth="1"/>
    <col min="18" max="18" width="15.54296875" customWidth="1"/>
    <col min="19" max="19" width="14.1796875" customWidth="1"/>
    <col min="20" max="20" width="14.81640625" customWidth="1"/>
    <col min="21" max="24" width="24" customWidth="1"/>
    <col min="25" max="25" width="16.7265625" customWidth="1"/>
    <col min="26" max="26" width="17.54296875" customWidth="1"/>
  </cols>
  <sheetData>
    <row r="1" spans="1:26" x14ac:dyDescent="0.35">
      <c r="A1" s="1268" t="s">
        <v>453</v>
      </c>
      <c r="B1" s="1268"/>
      <c r="C1" s="1268"/>
      <c r="D1" s="1268"/>
      <c r="E1" s="1268"/>
      <c r="M1" s="62"/>
    </row>
    <row r="2" spans="1:26" x14ac:dyDescent="0.35">
      <c r="A2" s="43"/>
      <c r="B2" s="43"/>
      <c r="C2" s="161"/>
      <c r="D2" s="43"/>
      <c r="E2" s="43"/>
      <c r="M2" s="62"/>
    </row>
    <row r="3" spans="1:26" x14ac:dyDescent="0.35">
      <c r="D3" s="62"/>
      <c r="E3" s="1300" t="s">
        <v>476</v>
      </c>
      <c r="F3" s="1300"/>
      <c r="G3" s="1300"/>
      <c r="H3" s="1300"/>
      <c r="I3" s="1300"/>
      <c r="J3" s="1300"/>
      <c r="K3" s="1300"/>
      <c r="M3" s="62"/>
    </row>
    <row r="4" spans="1:26" ht="15" thickBot="1" x14ac:dyDescent="0.4">
      <c r="A4" s="15"/>
      <c r="B4" s="15"/>
      <c r="C4" s="162"/>
      <c r="D4" s="62"/>
      <c r="E4" s="62"/>
      <c r="M4" s="62"/>
      <c r="R4" s="1301" t="s">
        <v>236</v>
      </c>
      <c r="S4" s="1301"/>
    </row>
    <row r="5" spans="1:26" ht="30" customHeight="1" x14ac:dyDescent="0.35">
      <c r="A5" s="1302" t="s">
        <v>2</v>
      </c>
      <c r="B5" s="1304" t="s">
        <v>3</v>
      </c>
      <c r="C5" s="1281" t="s">
        <v>441</v>
      </c>
      <c r="D5" s="1306" t="s">
        <v>255</v>
      </c>
      <c r="E5" s="1308" t="s">
        <v>237</v>
      </c>
      <c r="F5" s="1310" t="s">
        <v>256</v>
      </c>
      <c r="G5" s="1311"/>
      <c r="H5" s="1311"/>
      <c r="I5" s="1311"/>
      <c r="J5" s="1311"/>
      <c r="K5" s="1311"/>
      <c r="L5" s="1312" t="s">
        <v>518</v>
      </c>
      <c r="M5" s="1292" t="s">
        <v>520</v>
      </c>
      <c r="N5" s="1293"/>
      <c r="O5" s="1294" t="s">
        <v>519</v>
      </c>
      <c r="P5" s="1296" t="s">
        <v>257</v>
      </c>
      <c r="Q5" s="1297"/>
      <c r="R5" s="1297"/>
      <c r="S5" s="1297"/>
      <c r="T5" s="1298" t="s">
        <v>258</v>
      </c>
      <c r="U5" s="1291" t="s">
        <v>259</v>
      </c>
      <c r="V5" s="1291"/>
      <c r="W5" s="1291"/>
      <c r="X5" s="1291"/>
    </row>
    <row r="6" spans="1:26" ht="58" x14ac:dyDescent="0.35">
      <c r="A6" s="1303"/>
      <c r="B6" s="1305"/>
      <c r="C6" s="1282"/>
      <c r="D6" s="1307"/>
      <c r="E6" s="1309"/>
      <c r="F6" s="63" t="s">
        <v>238</v>
      </c>
      <c r="G6" s="64" t="s">
        <v>260</v>
      </c>
      <c r="H6" s="64" t="s">
        <v>261</v>
      </c>
      <c r="I6" s="64" t="s">
        <v>262</v>
      </c>
      <c r="J6" s="64" t="s">
        <v>263</v>
      </c>
      <c r="K6" s="64" t="s">
        <v>478</v>
      </c>
      <c r="L6" s="1313"/>
      <c r="M6" s="65" t="s">
        <v>521</v>
      </c>
      <c r="N6" s="66" t="s">
        <v>264</v>
      </c>
      <c r="O6" s="1295"/>
      <c r="P6" s="67" t="s">
        <v>239</v>
      </c>
      <c r="Q6" s="68" t="s">
        <v>265</v>
      </c>
      <c r="R6" s="68" t="s">
        <v>266</v>
      </c>
      <c r="S6" s="68" t="s">
        <v>488</v>
      </c>
      <c r="T6" s="1299"/>
      <c r="U6" s="158" t="s">
        <v>479</v>
      </c>
      <c r="V6" s="158" t="s">
        <v>482</v>
      </c>
      <c r="W6" s="159" t="s">
        <v>483</v>
      </c>
      <c r="X6" s="1277" t="s">
        <v>480</v>
      </c>
      <c r="Y6" s="69"/>
    </row>
    <row r="7" spans="1:26" ht="39" x14ac:dyDescent="0.35">
      <c r="A7" s="1303"/>
      <c r="B7" s="1305"/>
      <c r="C7" s="1283"/>
      <c r="D7" s="70" t="s">
        <v>477</v>
      </c>
      <c r="E7" s="71" t="s">
        <v>477</v>
      </c>
      <c r="F7" s="1284" t="s">
        <v>477</v>
      </c>
      <c r="G7" s="1285"/>
      <c r="H7" s="1285"/>
      <c r="I7" s="1285"/>
      <c r="J7" s="1285"/>
      <c r="K7" s="1285"/>
      <c r="L7" s="1314"/>
      <c r="M7" s="1286" t="s">
        <v>477</v>
      </c>
      <c r="N7" s="1287"/>
      <c r="O7" s="1295"/>
      <c r="P7" s="1288" t="s">
        <v>477</v>
      </c>
      <c r="Q7" s="1289"/>
      <c r="R7" s="1289"/>
      <c r="S7" s="1290"/>
      <c r="T7" s="1299"/>
      <c r="U7" s="1276" t="s">
        <v>477</v>
      </c>
      <c r="V7" s="1276"/>
      <c r="W7" s="160"/>
      <c r="X7" s="1277"/>
      <c r="Y7" s="72" t="s">
        <v>267</v>
      </c>
      <c r="Z7" s="5" t="s">
        <v>481</v>
      </c>
    </row>
    <row r="8" spans="1:26" ht="26" x14ac:dyDescent="0.35">
      <c r="A8" s="73" t="s">
        <v>268</v>
      </c>
      <c r="B8" s="74" t="s">
        <v>44</v>
      </c>
      <c r="C8" s="75">
        <f>SUM(C9:C13)</f>
        <v>1076573</v>
      </c>
      <c r="D8" s="75">
        <f>SUM(D9:D13)</f>
        <v>102000</v>
      </c>
      <c r="E8" s="76">
        <f>SUM(E9:E13)</f>
        <v>50000</v>
      </c>
      <c r="F8" s="76">
        <f t="shared" ref="F8:K8" si="0">SUM(F9:F13)</f>
        <v>0</v>
      </c>
      <c r="G8" s="76">
        <f t="shared" si="0"/>
        <v>0</v>
      </c>
      <c r="H8" s="76">
        <f t="shared" si="0"/>
        <v>0</v>
      </c>
      <c r="I8" s="76">
        <f t="shared" si="0"/>
        <v>0</v>
      </c>
      <c r="J8" s="76">
        <f t="shared" si="0"/>
        <v>0</v>
      </c>
      <c r="K8" s="76">
        <f t="shared" si="0"/>
        <v>0</v>
      </c>
      <c r="L8" s="77">
        <f t="shared" ref="L8:L38" si="1">SUM(F8:K8)</f>
        <v>0</v>
      </c>
      <c r="M8" s="76">
        <f t="shared" ref="M8:N8" si="2">SUM(M9:M13)</f>
        <v>0</v>
      </c>
      <c r="N8" s="76">
        <f t="shared" si="2"/>
        <v>0</v>
      </c>
      <c r="O8" s="78">
        <f>SUM(M8:N8)</f>
        <v>0</v>
      </c>
      <c r="P8" s="76">
        <f t="shared" ref="P8:S8" si="3">SUM(P9:P13)</f>
        <v>20000</v>
      </c>
      <c r="Q8" s="76">
        <f t="shared" si="3"/>
        <v>0</v>
      </c>
      <c r="R8" s="76">
        <f t="shared" si="3"/>
        <v>0</v>
      </c>
      <c r="S8" s="76">
        <f t="shared" si="3"/>
        <v>0</v>
      </c>
      <c r="T8" s="157">
        <f t="shared" ref="T8:T38" si="4">SUM(P8:S8)</f>
        <v>20000</v>
      </c>
      <c r="U8" s="95">
        <f t="shared" ref="U8:X8" si="5">SUM(U9:U13)</f>
        <v>32000</v>
      </c>
      <c r="V8" s="95">
        <f t="shared" si="5"/>
        <v>0</v>
      </c>
      <c r="W8" s="95"/>
      <c r="X8" s="95">
        <f t="shared" si="5"/>
        <v>32000</v>
      </c>
      <c r="Y8" s="79">
        <f>D8-E8-L8-O8-T8-X8</f>
        <v>0</v>
      </c>
      <c r="Z8" s="168">
        <f t="shared" ref="Z8:Z50" si="6">D8-C8</f>
        <v>-974573</v>
      </c>
    </row>
    <row r="9" spans="1:26" x14ac:dyDescent="0.35">
      <c r="A9" s="80" t="s">
        <v>269</v>
      </c>
      <c r="B9" s="81"/>
      <c r="C9" s="1278">
        <v>1076573</v>
      </c>
      <c r="D9" s="82">
        <f>SUM(E9,,M9,U9,P9,Q9,R9,S9,J9,F9,N9,I9,G9,K9,H9,V9)</f>
        <v>0</v>
      </c>
      <c r="E9" s="83"/>
      <c r="F9" s="84"/>
      <c r="G9" s="85"/>
      <c r="H9" s="85"/>
      <c r="I9" s="85"/>
      <c r="J9" s="85"/>
      <c r="K9" s="85"/>
      <c r="L9" s="77">
        <f t="shared" si="1"/>
        <v>0</v>
      </c>
      <c r="M9" s="86"/>
      <c r="N9" s="85"/>
      <c r="O9" s="78">
        <f t="shared" ref="O9:O69" si="7">SUM(M9:N9)</f>
        <v>0</v>
      </c>
      <c r="P9" s="84"/>
      <c r="Q9" s="85"/>
      <c r="R9" s="85"/>
      <c r="S9" s="85"/>
      <c r="T9" s="157">
        <f t="shared" si="4"/>
        <v>0</v>
      </c>
      <c r="U9" s="85"/>
      <c r="V9" s="85"/>
      <c r="W9" s="85"/>
      <c r="X9" s="85">
        <f>SUM(U9:V9)</f>
        <v>0</v>
      </c>
      <c r="Y9" s="79">
        <f t="shared" ref="Y9:Y69" si="8">D9-E9-L9-O9-T9-X9</f>
        <v>0</v>
      </c>
      <c r="Z9" s="168">
        <f t="shared" si="6"/>
        <v>-1076573</v>
      </c>
    </row>
    <row r="10" spans="1:26" x14ac:dyDescent="0.35">
      <c r="A10" s="87" t="s">
        <v>45</v>
      </c>
      <c r="B10" s="88"/>
      <c r="C10" s="1279"/>
      <c r="D10" s="82">
        <f t="shared" ref="D10:D21" si="9">SUM(E10,,M10,U10,P10,Q10,R10,S10,J10,F10,N10,I10,G10,K10,H10,V10)</f>
        <v>0</v>
      </c>
      <c r="E10" s="89"/>
      <c r="F10" s="90"/>
      <c r="G10" s="91"/>
      <c r="H10" s="91"/>
      <c r="I10" s="91"/>
      <c r="J10" s="91"/>
      <c r="K10" s="91"/>
      <c r="L10" s="77">
        <f t="shared" si="1"/>
        <v>0</v>
      </c>
      <c r="M10" s="90"/>
      <c r="N10" s="91"/>
      <c r="O10" s="78">
        <f t="shared" si="7"/>
        <v>0</v>
      </c>
      <c r="P10" s="90"/>
      <c r="Q10" s="91"/>
      <c r="R10" s="91"/>
      <c r="S10" s="91"/>
      <c r="T10" s="157">
        <f t="shared" si="4"/>
        <v>0</v>
      </c>
      <c r="U10" s="91"/>
      <c r="V10" s="91"/>
      <c r="W10" s="91"/>
      <c r="X10" s="85">
        <f t="shared" ref="X10:X13" si="10">SUM(U10:V10)</f>
        <v>0</v>
      </c>
      <c r="Y10" s="79">
        <f t="shared" si="8"/>
        <v>0</v>
      </c>
      <c r="Z10" s="168">
        <f t="shared" si="6"/>
        <v>0</v>
      </c>
    </row>
    <row r="11" spans="1:26" x14ac:dyDescent="0.35">
      <c r="A11" s="87" t="s">
        <v>270</v>
      </c>
      <c r="B11" s="88"/>
      <c r="C11" s="1279"/>
      <c r="D11" s="82">
        <f t="shared" si="9"/>
        <v>0</v>
      </c>
      <c r="E11" s="89"/>
      <c r="F11" s="90"/>
      <c r="G11" s="91"/>
      <c r="H11" s="91"/>
      <c r="I11" s="91"/>
      <c r="J11" s="91"/>
      <c r="K11" s="91"/>
      <c r="L11" s="77">
        <f t="shared" si="1"/>
        <v>0</v>
      </c>
      <c r="M11" s="90"/>
      <c r="N11" s="91"/>
      <c r="O11" s="78">
        <f t="shared" si="7"/>
        <v>0</v>
      </c>
      <c r="P11" s="90"/>
      <c r="Q11" s="91"/>
      <c r="R11" s="91"/>
      <c r="S11" s="91"/>
      <c r="T11" s="157">
        <f t="shared" si="4"/>
        <v>0</v>
      </c>
      <c r="U11" s="91"/>
      <c r="V11" s="91"/>
      <c r="W11" s="91"/>
      <c r="X11" s="85">
        <f t="shared" si="10"/>
        <v>0</v>
      </c>
      <c r="Y11" s="79">
        <f t="shared" si="8"/>
        <v>0</v>
      </c>
      <c r="Z11" s="168">
        <f t="shared" si="6"/>
        <v>0</v>
      </c>
    </row>
    <row r="12" spans="1:26" ht="26" x14ac:dyDescent="0.35">
      <c r="A12" s="87" t="s">
        <v>271</v>
      </c>
      <c r="B12" s="88"/>
      <c r="C12" s="1279"/>
      <c r="D12" s="82">
        <f t="shared" si="9"/>
        <v>0</v>
      </c>
      <c r="E12" s="89"/>
      <c r="F12" s="90"/>
      <c r="G12" s="91"/>
      <c r="H12" s="91"/>
      <c r="I12" s="91"/>
      <c r="J12" s="91"/>
      <c r="K12" s="91"/>
      <c r="L12" s="77">
        <f t="shared" si="1"/>
        <v>0</v>
      </c>
      <c r="M12" s="90"/>
      <c r="N12" s="91"/>
      <c r="O12" s="78">
        <f t="shared" si="7"/>
        <v>0</v>
      </c>
      <c r="P12" s="90"/>
      <c r="Q12" s="91"/>
      <c r="R12" s="91"/>
      <c r="S12" s="91"/>
      <c r="T12" s="157">
        <f t="shared" si="4"/>
        <v>0</v>
      </c>
      <c r="U12" s="91"/>
      <c r="V12" s="91"/>
      <c r="W12" s="91"/>
      <c r="X12" s="85">
        <f t="shared" si="10"/>
        <v>0</v>
      </c>
      <c r="Y12" s="79">
        <f t="shared" si="8"/>
        <v>0</v>
      </c>
      <c r="Z12" s="168">
        <f t="shared" si="6"/>
        <v>0</v>
      </c>
    </row>
    <row r="13" spans="1:26" x14ac:dyDescent="0.35">
      <c r="A13" s="87" t="s">
        <v>272</v>
      </c>
      <c r="B13" s="88"/>
      <c r="C13" s="1280"/>
      <c r="D13" s="82">
        <f t="shared" si="9"/>
        <v>102000</v>
      </c>
      <c r="E13" s="89">
        <v>50000</v>
      </c>
      <c r="F13" s="90"/>
      <c r="G13" s="91"/>
      <c r="H13" s="91"/>
      <c r="I13" s="91"/>
      <c r="J13" s="91"/>
      <c r="K13" s="91"/>
      <c r="L13" s="77">
        <f t="shared" si="1"/>
        <v>0</v>
      </c>
      <c r="M13" s="90"/>
      <c r="N13" s="91"/>
      <c r="O13" s="78">
        <f t="shared" si="7"/>
        <v>0</v>
      </c>
      <c r="P13" s="90">
        <v>20000</v>
      </c>
      <c r="Q13" s="91"/>
      <c r="R13" s="91"/>
      <c r="S13" s="91"/>
      <c r="T13" s="157">
        <f t="shared" si="4"/>
        <v>20000</v>
      </c>
      <c r="U13" s="91">
        <v>32000</v>
      </c>
      <c r="V13" s="91"/>
      <c r="W13" s="91"/>
      <c r="X13" s="85">
        <f t="shared" si="10"/>
        <v>32000</v>
      </c>
      <c r="Y13" s="79">
        <f t="shared" si="8"/>
        <v>0</v>
      </c>
      <c r="Z13" s="168">
        <f t="shared" si="6"/>
        <v>102000</v>
      </c>
    </row>
    <row r="14" spans="1:26" ht="26" x14ac:dyDescent="0.35">
      <c r="A14" s="73" t="s">
        <v>273</v>
      </c>
      <c r="B14" s="74" t="s">
        <v>50</v>
      </c>
      <c r="C14" s="163">
        <f t="shared" ref="C14:E14" si="11">SUM(C15:C20)</f>
        <v>2602404</v>
      </c>
      <c r="D14" s="92">
        <f>SUM(D15:D20)</f>
        <v>941000</v>
      </c>
      <c r="E14" s="76">
        <f t="shared" si="11"/>
        <v>175000</v>
      </c>
      <c r="F14" s="93">
        <f>SUM(F15:F20)</f>
        <v>500000</v>
      </c>
      <c r="G14" s="93">
        <f t="shared" ref="G14:K14" si="12">SUM(G15:G20)</f>
        <v>0</v>
      </c>
      <c r="H14" s="93">
        <f t="shared" si="12"/>
        <v>0</v>
      </c>
      <c r="I14" s="93">
        <f t="shared" si="12"/>
        <v>0</v>
      </c>
      <c r="J14" s="93">
        <f t="shared" si="12"/>
        <v>150000</v>
      </c>
      <c r="K14" s="93">
        <f t="shared" si="12"/>
        <v>0</v>
      </c>
      <c r="L14" s="77">
        <f t="shared" si="1"/>
        <v>650000</v>
      </c>
      <c r="M14" s="93">
        <f>SUM(M15:M20)</f>
        <v>0</v>
      </c>
      <c r="N14" s="94"/>
      <c r="O14" s="78">
        <f t="shared" si="7"/>
        <v>0</v>
      </c>
      <c r="P14" s="93">
        <f>SUM(P15:P20)</f>
        <v>116000</v>
      </c>
      <c r="Q14" s="95">
        <f>SUM(Q15:Q20)</f>
        <v>0</v>
      </c>
      <c r="R14" s="95">
        <f>SUM(R15:R20)</f>
        <v>0</v>
      </c>
      <c r="S14" s="94"/>
      <c r="T14" s="157">
        <f t="shared" si="4"/>
        <v>116000</v>
      </c>
      <c r="U14" s="95">
        <f>SUM(U15:U20)</f>
        <v>0</v>
      </c>
      <c r="V14" s="95">
        <f t="shared" ref="V14:X14" si="13">SUM(V15:V20)</f>
        <v>0</v>
      </c>
      <c r="W14" s="95"/>
      <c r="X14" s="95">
        <f t="shared" si="13"/>
        <v>0</v>
      </c>
      <c r="Y14" s="79">
        <f t="shared" si="8"/>
        <v>0</v>
      </c>
      <c r="Z14" s="168">
        <f t="shared" si="6"/>
        <v>-1661404</v>
      </c>
    </row>
    <row r="15" spans="1:26" x14ac:dyDescent="0.35">
      <c r="A15" s="87" t="s">
        <v>274</v>
      </c>
      <c r="B15" s="88"/>
      <c r="C15" s="1270">
        <v>2602404</v>
      </c>
      <c r="D15" s="82">
        <f t="shared" si="9"/>
        <v>50000</v>
      </c>
      <c r="E15" s="96">
        <v>50000</v>
      </c>
      <c r="F15" s="90"/>
      <c r="G15" s="91"/>
      <c r="H15" s="91"/>
      <c r="I15" s="91"/>
      <c r="J15" s="91"/>
      <c r="K15" s="91"/>
      <c r="L15" s="77">
        <f t="shared" si="1"/>
        <v>0</v>
      </c>
      <c r="M15" s="90"/>
      <c r="N15" s="91"/>
      <c r="O15" s="78">
        <f t="shared" si="7"/>
        <v>0</v>
      </c>
      <c r="P15" s="90"/>
      <c r="Q15" s="91"/>
      <c r="R15" s="91"/>
      <c r="S15" s="91"/>
      <c r="T15" s="157">
        <f t="shared" si="4"/>
        <v>0</v>
      </c>
      <c r="U15" s="91"/>
      <c r="V15" s="91"/>
      <c r="W15" s="91"/>
      <c r="X15" s="85">
        <f t="shared" ref="X15:X20" si="14">SUM(U15:V15)</f>
        <v>0</v>
      </c>
      <c r="Y15" s="79">
        <f t="shared" si="8"/>
        <v>0</v>
      </c>
      <c r="Z15" s="168">
        <f t="shared" si="6"/>
        <v>-2552404</v>
      </c>
    </row>
    <row r="16" spans="1:26" x14ac:dyDescent="0.35">
      <c r="A16" s="87" t="s">
        <v>275</v>
      </c>
      <c r="B16" s="88"/>
      <c r="C16" s="1271"/>
      <c r="D16" s="82">
        <f t="shared" si="9"/>
        <v>0</v>
      </c>
      <c r="E16" s="96"/>
      <c r="F16" s="90"/>
      <c r="G16" s="91"/>
      <c r="H16" s="91"/>
      <c r="I16" s="91"/>
      <c r="J16" s="91"/>
      <c r="K16" s="91"/>
      <c r="L16" s="77">
        <f t="shared" si="1"/>
        <v>0</v>
      </c>
      <c r="M16" s="90"/>
      <c r="N16" s="91"/>
      <c r="O16" s="78">
        <f t="shared" si="7"/>
        <v>0</v>
      </c>
      <c r="P16" s="90"/>
      <c r="Q16" s="91"/>
      <c r="R16" s="91"/>
      <c r="S16" s="91"/>
      <c r="T16" s="157">
        <f t="shared" si="4"/>
        <v>0</v>
      </c>
      <c r="U16" s="91"/>
      <c r="V16" s="91"/>
      <c r="W16" s="91"/>
      <c r="X16" s="85">
        <f t="shared" si="14"/>
        <v>0</v>
      </c>
      <c r="Y16" s="79">
        <f t="shared" si="8"/>
        <v>0</v>
      </c>
      <c r="Z16" s="168">
        <f t="shared" si="6"/>
        <v>0</v>
      </c>
    </row>
    <row r="17" spans="1:26" ht="26" x14ac:dyDescent="0.35">
      <c r="A17" s="87" t="s">
        <v>276</v>
      </c>
      <c r="B17" s="88"/>
      <c r="C17" s="1271"/>
      <c r="D17" s="82">
        <f t="shared" si="9"/>
        <v>150000</v>
      </c>
      <c r="E17" s="96"/>
      <c r="F17" s="90"/>
      <c r="G17" s="91"/>
      <c r="H17" s="91"/>
      <c r="I17" s="91"/>
      <c r="J17" s="91">
        <v>150000</v>
      </c>
      <c r="K17" s="91"/>
      <c r="L17" s="77">
        <f t="shared" si="1"/>
        <v>150000</v>
      </c>
      <c r="M17" s="90"/>
      <c r="N17" s="91"/>
      <c r="O17" s="78">
        <f t="shared" si="7"/>
        <v>0</v>
      </c>
      <c r="P17" s="90"/>
      <c r="Q17" s="91"/>
      <c r="R17" s="91"/>
      <c r="S17" s="91"/>
      <c r="T17" s="157">
        <f t="shared" si="4"/>
        <v>0</v>
      </c>
      <c r="U17" s="91"/>
      <c r="V17" s="91"/>
      <c r="W17" s="91"/>
      <c r="X17" s="85">
        <f t="shared" si="14"/>
        <v>0</v>
      </c>
      <c r="Y17" s="79">
        <f t="shared" si="8"/>
        <v>0</v>
      </c>
      <c r="Z17" s="168">
        <f t="shared" si="6"/>
        <v>150000</v>
      </c>
    </row>
    <row r="18" spans="1:26" ht="26" x14ac:dyDescent="0.35">
      <c r="A18" s="87" t="s">
        <v>277</v>
      </c>
      <c r="B18" s="88"/>
      <c r="C18" s="1271"/>
      <c r="D18" s="82">
        <f t="shared" si="9"/>
        <v>0</v>
      </c>
      <c r="E18" s="96"/>
      <c r="F18" s="90"/>
      <c r="G18" s="91"/>
      <c r="H18" s="91"/>
      <c r="I18" s="91"/>
      <c r="J18" s="91"/>
      <c r="K18" s="91"/>
      <c r="L18" s="77">
        <f t="shared" si="1"/>
        <v>0</v>
      </c>
      <c r="M18" s="90"/>
      <c r="N18" s="91"/>
      <c r="O18" s="78">
        <f t="shared" si="7"/>
        <v>0</v>
      </c>
      <c r="P18" s="90"/>
      <c r="Q18" s="91"/>
      <c r="R18" s="91"/>
      <c r="S18" s="91"/>
      <c r="T18" s="157">
        <f t="shared" si="4"/>
        <v>0</v>
      </c>
      <c r="U18" s="91"/>
      <c r="V18" s="91"/>
      <c r="W18" s="91"/>
      <c r="X18" s="85">
        <f t="shared" si="14"/>
        <v>0</v>
      </c>
      <c r="Y18" s="79">
        <f t="shared" si="8"/>
        <v>0</v>
      </c>
      <c r="Z18" s="168">
        <f t="shared" si="6"/>
        <v>0</v>
      </c>
    </row>
    <row r="19" spans="1:26" x14ac:dyDescent="0.35">
      <c r="A19" s="87" t="s">
        <v>56</v>
      </c>
      <c r="B19" s="88"/>
      <c r="C19" s="1271"/>
      <c r="D19" s="82">
        <f t="shared" si="9"/>
        <v>0</v>
      </c>
      <c r="E19" s="96"/>
      <c r="F19" s="90"/>
      <c r="G19" s="91"/>
      <c r="H19" s="91"/>
      <c r="I19" s="91"/>
      <c r="J19" s="91"/>
      <c r="K19" s="91"/>
      <c r="L19" s="77">
        <f t="shared" si="1"/>
        <v>0</v>
      </c>
      <c r="M19" s="90"/>
      <c r="N19" s="91"/>
      <c r="O19" s="78">
        <f t="shared" si="7"/>
        <v>0</v>
      </c>
      <c r="P19" s="90"/>
      <c r="Q19" s="91"/>
      <c r="R19" s="91"/>
      <c r="S19" s="91"/>
      <c r="T19" s="157">
        <f t="shared" si="4"/>
        <v>0</v>
      </c>
      <c r="U19" s="91"/>
      <c r="V19" s="91"/>
      <c r="W19" s="91"/>
      <c r="X19" s="85">
        <f t="shared" si="14"/>
        <v>0</v>
      </c>
      <c r="Y19" s="79">
        <f t="shared" si="8"/>
        <v>0</v>
      </c>
      <c r="Z19" s="168">
        <f t="shared" si="6"/>
        <v>0</v>
      </c>
    </row>
    <row r="20" spans="1:26" x14ac:dyDescent="0.35">
      <c r="A20" s="87" t="s">
        <v>278</v>
      </c>
      <c r="B20" s="88"/>
      <c r="C20" s="1272"/>
      <c r="D20" s="82">
        <f t="shared" si="9"/>
        <v>741000</v>
      </c>
      <c r="E20" s="96">
        <v>125000</v>
      </c>
      <c r="F20" s="179">
        <v>500000</v>
      </c>
      <c r="G20" s="91"/>
      <c r="H20" s="91"/>
      <c r="I20" s="91"/>
      <c r="J20" s="91"/>
      <c r="K20" s="91"/>
      <c r="L20" s="77">
        <f t="shared" si="1"/>
        <v>500000</v>
      </c>
      <c r="M20" s="90"/>
      <c r="N20" s="91"/>
      <c r="O20" s="78">
        <f t="shared" si="7"/>
        <v>0</v>
      </c>
      <c r="P20" s="90">
        <v>116000</v>
      </c>
      <c r="Q20" s="91"/>
      <c r="R20" s="91"/>
      <c r="S20" s="91"/>
      <c r="T20" s="157">
        <f t="shared" si="4"/>
        <v>116000</v>
      </c>
      <c r="U20" s="91"/>
      <c r="V20" s="91"/>
      <c r="W20" s="91"/>
      <c r="X20" s="85">
        <f t="shared" si="14"/>
        <v>0</v>
      </c>
      <c r="Y20" s="79">
        <f t="shared" si="8"/>
        <v>0</v>
      </c>
      <c r="Z20" s="168">
        <f t="shared" si="6"/>
        <v>741000</v>
      </c>
    </row>
    <row r="21" spans="1:26" x14ac:dyDescent="0.35">
      <c r="A21" s="73" t="s">
        <v>279</v>
      </c>
      <c r="B21" s="74" t="s">
        <v>280</v>
      </c>
      <c r="C21" s="164"/>
      <c r="D21" s="82">
        <f t="shared" si="9"/>
        <v>0</v>
      </c>
      <c r="E21" s="97"/>
      <c r="F21" s="98"/>
      <c r="G21" s="94"/>
      <c r="H21" s="94"/>
      <c r="I21" s="94"/>
      <c r="J21" s="94"/>
      <c r="K21" s="94"/>
      <c r="L21" s="77">
        <f t="shared" si="1"/>
        <v>0</v>
      </c>
      <c r="M21" s="98">
        <v>0</v>
      </c>
      <c r="N21" s="94"/>
      <c r="O21" s="78">
        <f t="shared" si="7"/>
        <v>0</v>
      </c>
      <c r="P21" s="98"/>
      <c r="Q21" s="94"/>
      <c r="R21" s="94"/>
      <c r="S21" s="94"/>
      <c r="T21" s="157">
        <f t="shared" si="4"/>
        <v>0</v>
      </c>
      <c r="U21" s="94"/>
      <c r="V21" s="94"/>
      <c r="W21" s="94"/>
      <c r="X21" s="94"/>
      <c r="Y21" s="79">
        <f t="shared" si="8"/>
        <v>0</v>
      </c>
      <c r="Z21" s="168">
        <f t="shared" si="6"/>
        <v>0</v>
      </c>
    </row>
    <row r="22" spans="1:26" x14ac:dyDescent="0.35">
      <c r="A22" s="99" t="s">
        <v>281</v>
      </c>
      <c r="B22" s="100" t="s">
        <v>58</v>
      </c>
      <c r="C22" s="102">
        <f>SUM(C14,C8,C21)</f>
        <v>3678977</v>
      </c>
      <c r="D22" s="101">
        <f>SUM(D14,D8,D21)</f>
        <v>1043000</v>
      </c>
      <c r="E22" s="102">
        <f>SUM(E14,E8,E21)</f>
        <v>225000</v>
      </c>
      <c r="F22" s="102">
        <f t="shared" ref="F22:K22" si="15">SUM(F14,F8,F21)</f>
        <v>500000</v>
      </c>
      <c r="G22" s="102">
        <f t="shared" si="15"/>
        <v>0</v>
      </c>
      <c r="H22" s="102">
        <f t="shared" si="15"/>
        <v>0</v>
      </c>
      <c r="I22" s="102">
        <f t="shared" si="15"/>
        <v>0</v>
      </c>
      <c r="J22" s="102">
        <f t="shared" si="15"/>
        <v>150000</v>
      </c>
      <c r="K22" s="102">
        <f t="shared" si="15"/>
        <v>0</v>
      </c>
      <c r="L22" s="77">
        <f t="shared" si="1"/>
        <v>650000</v>
      </c>
      <c r="M22" s="102">
        <f t="shared" ref="M22:N22" si="16">SUM(M14,M8,M21)</f>
        <v>0</v>
      </c>
      <c r="N22" s="102">
        <f t="shared" si="16"/>
        <v>0</v>
      </c>
      <c r="O22" s="78">
        <f t="shared" si="7"/>
        <v>0</v>
      </c>
      <c r="P22" s="102">
        <f t="shared" ref="P22:S22" si="17">SUM(P14,P8,P21)</f>
        <v>136000</v>
      </c>
      <c r="Q22" s="102">
        <f t="shared" si="17"/>
        <v>0</v>
      </c>
      <c r="R22" s="102">
        <f t="shared" si="17"/>
        <v>0</v>
      </c>
      <c r="S22" s="102">
        <f t="shared" si="17"/>
        <v>0</v>
      </c>
      <c r="T22" s="157">
        <f t="shared" si="4"/>
        <v>136000</v>
      </c>
      <c r="U22" s="104">
        <f>SUM(U14,U8,U21)</f>
        <v>32000</v>
      </c>
      <c r="V22" s="104">
        <f t="shared" ref="V22:X22" si="18">SUM(V14,V8,V21)</f>
        <v>0</v>
      </c>
      <c r="W22" s="104"/>
      <c r="X22" s="104">
        <f t="shared" si="18"/>
        <v>32000</v>
      </c>
      <c r="Y22" s="79">
        <f t="shared" si="8"/>
        <v>0</v>
      </c>
      <c r="Z22" s="168">
        <f t="shared" si="6"/>
        <v>-2635977</v>
      </c>
    </row>
    <row r="23" spans="1:26" ht="39" x14ac:dyDescent="0.35">
      <c r="A23" s="73" t="s">
        <v>282</v>
      </c>
      <c r="B23" s="74" t="s">
        <v>60</v>
      </c>
      <c r="C23" s="97">
        <f t="shared" ref="C23:E23" si="19">SUM(C24:C27)</f>
        <v>1333858</v>
      </c>
      <c r="D23" s="92">
        <f>SUM(D24:D27)</f>
        <v>264000</v>
      </c>
      <c r="E23" s="97">
        <f t="shared" si="19"/>
        <v>240000</v>
      </c>
      <c r="F23" s="98"/>
      <c r="G23" s="94"/>
      <c r="H23" s="94"/>
      <c r="I23" s="94"/>
      <c r="J23" s="94"/>
      <c r="K23" s="94"/>
      <c r="L23" s="77">
        <f t="shared" si="1"/>
        <v>0</v>
      </c>
      <c r="M23" s="98">
        <f t="shared" ref="M23" si="20">SUM(M24:M27)</f>
        <v>0</v>
      </c>
      <c r="N23" s="94"/>
      <c r="O23" s="78">
        <f t="shared" si="7"/>
        <v>0</v>
      </c>
      <c r="P23" s="94">
        <f t="shared" ref="P23:X23" si="21">SUM(P24:P27)</f>
        <v>0</v>
      </c>
      <c r="Q23" s="94">
        <f t="shared" si="21"/>
        <v>0</v>
      </c>
      <c r="R23" s="94">
        <f t="shared" si="21"/>
        <v>0</v>
      </c>
      <c r="S23" s="94">
        <f t="shared" si="21"/>
        <v>0</v>
      </c>
      <c r="T23" s="157">
        <f t="shared" si="4"/>
        <v>0</v>
      </c>
      <c r="U23" s="94">
        <f t="shared" si="21"/>
        <v>24000</v>
      </c>
      <c r="V23" s="94">
        <f t="shared" si="21"/>
        <v>0</v>
      </c>
      <c r="W23" s="94"/>
      <c r="X23" s="94">
        <f t="shared" si="21"/>
        <v>24000</v>
      </c>
      <c r="Y23" s="79">
        <f t="shared" si="8"/>
        <v>0</v>
      </c>
      <c r="Z23" s="168">
        <f t="shared" si="6"/>
        <v>-1069858</v>
      </c>
    </row>
    <row r="24" spans="1:26" ht="26" x14ac:dyDescent="0.35">
      <c r="A24" s="87" t="s">
        <v>283</v>
      </c>
      <c r="B24" s="88"/>
      <c r="C24" s="1270">
        <v>1333858</v>
      </c>
      <c r="D24" s="82">
        <f t="shared" ref="D24:D27" si="22">SUM(E24,,M24,U24,P24,Q24,R24,S24,J24,F24,N24,I24,G24,K24,H24,V24)</f>
        <v>0</v>
      </c>
      <c r="E24" s="89"/>
      <c r="F24" s="90"/>
      <c r="G24" s="91"/>
      <c r="H24" s="91"/>
      <c r="I24" s="91"/>
      <c r="J24" s="91"/>
      <c r="K24" s="91"/>
      <c r="L24" s="77">
        <f t="shared" si="1"/>
        <v>0</v>
      </c>
      <c r="M24" s="90"/>
      <c r="N24" s="91"/>
      <c r="O24" s="78">
        <f t="shared" si="7"/>
        <v>0</v>
      </c>
      <c r="P24" s="90"/>
      <c r="Q24" s="91"/>
      <c r="R24" s="91"/>
      <c r="S24" s="91"/>
      <c r="T24" s="157">
        <f t="shared" si="4"/>
        <v>0</v>
      </c>
      <c r="U24" s="91"/>
      <c r="V24" s="91"/>
      <c r="W24" s="91"/>
      <c r="X24" s="85">
        <f t="shared" ref="X24:X30" si="23">SUM(U24:V24)</f>
        <v>0</v>
      </c>
      <c r="Y24" s="79">
        <f t="shared" si="8"/>
        <v>0</v>
      </c>
      <c r="Z24" s="168">
        <f t="shared" si="6"/>
        <v>-1333858</v>
      </c>
    </row>
    <row r="25" spans="1:26" ht="26" x14ac:dyDescent="0.35">
      <c r="A25" s="87" t="s">
        <v>284</v>
      </c>
      <c r="B25" s="88"/>
      <c r="C25" s="1271"/>
      <c r="D25" s="82">
        <f t="shared" si="22"/>
        <v>0</v>
      </c>
      <c r="E25" s="89"/>
      <c r="F25" s="90"/>
      <c r="G25" s="91"/>
      <c r="H25" s="91"/>
      <c r="I25" s="91"/>
      <c r="J25" s="91"/>
      <c r="K25" s="91"/>
      <c r="L25" s="77">
        <f t="shared" si="1"/>
        <v>0</v>
      </c>
      <c r="M25" s="90"/>
      <c r="N25" s="91"/>
      <c r="O25" s="78">
        <f t="shared" si="7"/>
        <v>0</v>
      </c>
      <c r="P25" s="90"/>
      <c r="Q25" s="91"/>
      <c r="R25" s="91"/>
      <c r="S25" s="91"/>
      <c r="T25" s="157">
        <f t="shared" si="4"/>
        <v>0</v>
      </c>
      <c r="U25" s="91"/>
      <c r="V25" s="91"/>
      <c r="W25" s="91"/>
      <c r="X25" s="85">
        <f t="shared" si="23"/>
        <v>0</v>
      </c>
      <c r="Y25" s="79">
        <f t="shared" si="8"/>
        <v>0</v>
      </c>
      <c r="Z25" s="168">
        <f t="shared" si="6"/>
        <v>0</v>
      </c>
    </row>
    <row r="26" spans="1:26" ht="26" x14ac:dyDescent="0.35">
      <c r="A26" s="87" t="s">
        <v>285</v>
      </c>
      <c r="B26" s="88"/>
      <c r="C26" s="1271"/>
      <c r="D26" s="82">
        <f t="shared" si="22"/>
        <v>0</v>
      </c>
      <c r="E26" s="89"/>
      <c r="F26" s="90"/>
      <c r="G26" s="91"/>
      <c r="H26" s="91"/>
      <c r="I26" s="91"/>
      <c r="J26" s="91"/>
      <c r="K26" s="91"/>
      <c r="L26" s="77">
        <f t="shared" si="1"/>
        <v>0</v>
      </c>
      <c r="M26" s="90"/>
      <c r="N26" s="91"/>
      <c r="O26" s="78">
        <f t="shared" si="7"/>
        <v>0</v>
      </c>
      <c r="P26" s="90"/>
      <c r="Q26" s="91"/>
      <c r="R26" s="91"/>
      <c r="S26" s="91"/>
      <c r="T26" s="157">
        <f t="shared" si="4"/>
        <v>0</v>
      </c>
      <c r="U26" s="91"/>
      <c r="V26" s="91"/>
      <c r="W26" s="91"/>
      <c r="X26" s="85">
        <f t="shared" si="23"/>
        <v>0</v>
      </c>
      <c r="Y26" s="79">
        <f t="shared" si="8"/>
        <v>0</v>
      </c>
      <c r="Z26" s="168">
        <f t="shared" si="6"/>
        <v>0</v>
      </c>
    </row>
    <row r="27" spans="1:26" ht="39" x14ac:dyDescent="0.35">
      <c r="A27" s="87" t="s">
        <v>286</v>
      </c>
      <c r="B27" s="88"/>
      <c r="C27" s="1272"/>
      <c r="D27" s="82">
        <f t="shared" si="22"/>
        <v>264000</v>
      </c>
      <c r="E27" s="89">
        <v>240000</v>
      </c>
      <c r="F27" s="90"/>
      <c r="G27" s="91"/>
      <c r="H27" s="91"/>
      <c r="I27" s="91"/>
      <c r="J27" s="91"/>
      <c r="K27" s="91"/>
      <c r="L27" s="77">
        <f t="shared" si="1"/>
        <v>0</v>
      </c>
      <c r="M27" s="90"/>
      <c r="N27" s="91"/>
      <c r="O27" s="78">
        <f t="shared" si="7"/>
        <v>0</v>
      </c>
      <c r="P27" s="90"/>
      <c r="Q27" s="91"/>
      <c r="R27" s="91"/>
      <c r="S27" s="91"/>
      <c r="T27" s="157">
        <f t="shared" si="4"/>
        <v>0</v>
      </c>
      <c r="U27" s="91">
        <v>24000</v>
      </c>
      <c r="V27" s="91"/>
      <c r="W27" s="91"/>
      <c r="X27" s="85">
        <f t="shared" si="23"/>
        <v>24000</v>
      </c>
      <c r="Y27" s="79">
        <f t="shared" si="8"/>
        <v>0</v>
      </c>
      <c r="Z27" s="168">
        <f t="shared" si="6"/>
        <v>264000</v>
      </c>
    </row>
    <row r="28" spans="1:26" ht="26" x14ac:dyDescent="0.35">
      <c r="A28" s="73" t="s">
        <v>287</v>
      </c>
      <c r="B28" s="74" t="s">
        <v>64</v>
      </c>
      <c r="C28" s="76">
        <f t="shared" ref="C28:E28" si="24">SUM(C29:C30)</f>
        <v>156442</v>
      </c>
      <c r="D28" s="75">
        <f>SUM(D29:D30)</f>
        <v>86000</v>
      </c>
      <c r="E28" s="76">
        <f t="shared" si="24"/>
        <v>22000</v>
      </c>
      <c r="F28" s="98"/>
      <c r="G28" s="94"/>
      <c r="H28" s="94"/>
      <c r="I28" s="94"/>
      <c r="J28" s="94"/>
      <c r="K28" s="94"/>
      <c r="L28" s="77">
        <f t="shared" si="1"/>
        <v>0</v>
      </c>
      <c r="M28" s="93">
        <f>SUM(M29:M30)</f>
        <v>0</v>
      </c>
      <c r="N28" s="94"/>
      <c r="O28" s="78">
        <f t="shared" si="7"/>
        <v>0</v>
      </c>
      <c r="P28" s="95">
        <f t="shared" ref="P28:X28" si="25">SUM(P29:P30)</f>
        <v>4000</v>
      </c>
      <c r="Q28" s="95">
        <f t="shared" si="25"/>
        <v>0</v>
      </c>
      <c r="R28" s="95">
        <f t="shared" si="25"/>
        <v>0</v>
      </c>
      <c r="S28" s="95">
        <f t="shared" si="25"/>
        <v>0</v>
      </c>
      <c r="T28" s="157">
        <f t="shared" si="4"/>
        <v>4000</v>
      </c>
      <c r="U28" s="95">
        <f t="shared" si="25"/>
        <v>60000</v>
      </c>
      <c r="V28" s="95">
        <f t="shared" si="25"/>
        <v>0</v>
      </c>
      <c r="W28" s="95"/>
      <c r="X28" s="95">
        <f t="shared" si="25"/>
        <v>60000</v>
      </c>
      <c r="Y28" s="79">
        <f t="shared" si="8"/>
        <v>0</v>
      </c>
      <c r="Z28" s="168">
        <f t="shared" si="6"/>
        <v>-70442</v>
      </c>
    </row>
    <row r="29" spans="1:26" ht="26" x14ac:dyDescent="0.35">
      <c r="A29" s="87" t="s">
        <v>288</v>
      </c>
      <c r="B29" s="88"/>
      <c r="C29" s="1270">
        <v>156442</v>
      </c>
      <c r="D29" s="82">
        <f t="shared" ref="D29:D30" si="26">SUM(E29,,M29,U29,P29,Q29,R29,S29,J29,F29,N29,I29,G29,K29,H29,V29)</f>
        <v>26000</v>
      </c>
      <c r="E29" s="96">
        <v>22000</v>
      </c>
      <c r="F29" s="90"/>
      <c r="G29" s="91"/>
      <c r="H29" s="91"/>
      <c r="I29" s="91"/>
      <c r="J29" s="91"/>
      <c r="K29" s="91"/>
      <c r="L29" s="77">
        <f t="shared" si="1"/>
        <v>0</v>
      </c>
      <c r="M29" s="90"/>
      <c r="N29" s="91"/>
      <c r="O29" s="78">
        <f t="shared" si="7"/>
        <v>0</v>
      </c>
      <c r="P29" s="90">
        <v>4000</v>
      </c>
      <c r="Q29" s="91"/>
      <c r="R29" s="91"/>
      <c r="S29" s="91"/>
      <c r="T29" s="157">
        <f t="shared" si="4"/>
        <v>4000</v>
      </c>
      <c r="U29" s="91"/>
      <c r="V29" s="91"/>
      <c r="W29" s="91"/>
      <c r="X29" s="85">
        <f t="shared" si="23"/>
        <v>0</v>
      </c>
      <c r="Y29" s="79">
        <f t="shared" si="8"/>
        <v>0</v>
      </c>
      <c r="Z29" s="168">
        <f t="shared" si="6"/>
        <v>-130442</v>
      </c>
    </row>
    <row r="30" spans="1:26" ht="39" x14ac:dyDescent="0.35">
      <c r="A30" s="87" t="s">
        <v>289</v>
      </c>
      <c r="B30" s="88"/>
      <c r="C30" s="1272"/>
      <c r="D30" s="82">
        <f t="shared" si="26"/>
        <v>60000</v>
      </c>
      <c r="E30" s="96"/>
      <c r="F30" s="90"/>
      <c r="G30" s="91"/>
      <c r="H30" s="91"/>
      <c r="I30" s="91"/>
      <c r="J30" s="91"/>
      <c r="K30" s="91"/>
      <c r="L30" s="77">
        <f t="shared" si="1"/>
        <v>0</v>
      </c>
      <c r="M30" s="90"/>
      <c r="N30" s="91"/>
      <c r="O30" s="78">
        <f t="shared" si="7"/>
        <v>0</v>
      </c>
      <c r="P30" s="90"/>
      <c r="Q30" s="91"/>
      <c r="R30" s="91"/>
      <c r="S30" s="91"/>
      <c r="T30" s="157">
        <f t="shared" si="4"/>
        <v>0</v>
      </c>
      <c r="U30" s="91">
        <v>60000</v>
      </c>
      <c r="V30" s="91"/>
      <c r="W30" s="91"/>
      <c r="X30" s="85">
        <f t="shared" si="23"/>
        <v>60000</v>
      </c>
      <c r="Y30" s="79">
        <f t="shared" si="8"/>
        <v>0</v>
      </c>
      <c r="Z30" s="168">
        <f t="shared" si="6"/>
        <v>60000</v>
      </c>
    </row>
    <row r="31" spans="1:26" ht="26" x14ac:dyDescent="0.35">
      <c r="A31" s="99" t="s">
        <v>68</v>
      </c>
      <c r="B31" s="100" t="s">
        <v>69</v>
      </c>
      <c r="C31" s="102">
        <f>SUM(C23,C28)</f>
        <v>1490300</v>
      </c>
      <c r="D31" s="101">
        <f t="shared" ref="D31:E31" si="27">SUM(D23,D28)</f>
        <v>350000</v>
      </c>
      <c r="E31" s="102">
        <f t="shared" si="27"/>
        <v>262000</v>
      </c>
      <c r="F31" s="103">
        <f>SUM(F23,F28)</f>
        <v>0</v>
      </c>
      <c r="G31" s="104">
        <f>SUM(G23,G28)</f>
        <v>0</v>
      </c>
      <c r="H31" s="104"/>
      <c r="I31" s="104">
        <f>SUM(I23,I28)</f>
        <v>0</v>
      </c>
      <c r="J31" s="104">
        <f>SUM(J23,J28)</f>
        <v>0</v>
      </c>
      <c r="K31" s="104">
        <f>SUM(K23,K28)</f>
        <v>0</v>
      </c>
      <c r="L31" s="77">
        <f t="shared" si="1"/>
        <v>0</v>
      </c>
      <c r="M31" s="103">
        <f>SUM(M23,M28)</f>
        <v>0</v>
      </c>
      <c r="N31" s="104">
        <f>SUM(N23,N28)</f>
        <v>0</v>
      </c>
      <c r="O31" s="78">
        <f t="shared" si="7"/>
        <v>0</v>
      </c>
      <c r="P31" s="103">
        <f>SUM(P23,P28)</f>
        <v>4000</v>
      </c>
      <c r="Q31" s="104">
        <f>SUM(Q23,Q28)</f>
        <v>0</v>
      </c>
      <c r="R31" s="104">
        <f>SUM(R23,R28)</f>
        <v>0</v>
      </c>
      <c r="S31" s="104">
        <f>SUM(S23,S28)</f>
        <v>0</v>
      </c>
      <c r="T31" s="157">
        <f t="shared" si="4"/>
        <v>4000</v>
      </c>
      <c r="U31" s="104">
        <f>SUM(U23,U28)</f>
        <v>84000</v>
      </c>
      <c r="V31" s="104">
        <f t="shared" ref="V31:X31" si="28">SUM(V23,V28)</f>
        <v>0</v>
      </c>
      <c r="W31" s="104"/>
      <c r="X31" s="104">
        <f t="shared" si="28"/>
        <v>84000</v>
      </c>
      <c r="Y31" s="79">
        <f t="shared" si="8"/>
        <v>0</v>
      </c>
      <c r="Z31" s="168">
        <f t="shared" si="6"/>
        <v>-1140300</v>
      </c>
    </row>
    <row r="32" spans="1:26" x14ac:dyDescent="0.35">
      <c r="A32" s="73" t="s">
        <v>290</v>
      </c>
      <c r="B32" s="74" t="s">
        <v>71</v>
      </c>
      <c r="C32" s="76">
        <f t="shared" ref="C32:E32" si="29">SUM(C33:C35)</f>
        <v>5592134</v>
      </c>
      <c r="D32" s="75">
        <f t="shared" si="29"/>
        <v>4872000</v>
      </c>
      <c r="E32" s="76">
        <f t="shared" si="29"/>
        <v>220000</v>
      </c>
      <c r="F32" s="93">
        <f>SUM(F33:F35)</f>
        <v>1330000</v>
      </c>
      <c r="G32" s="93">
        <f t="shared" ref="G32:K32" si="30">SUM(G33:G35)</f>
        <v>0</v>
      </c>
      <c r="H32" s="93">
        <f t="shared" si="30"/>
        <v>2200000</v>
      </c>
      <c r="I32" s="93">
        <f t="shared" si="30"/>
        <v>62000</v>
      </c>
      <c r="J32" s="93">
        <f t="shared" si="30"/>
        <v>0</v>
      </c>
      <c r="K32" s="93">
        <f t="shared" si="30"/>
        <v>0</v>
      </c>
      <c r="L32" s="77">
        <f t="shared" si="1"/>
        <v>3592000</v>
      </c>
      <c r="M32" s="98"/>
      <c r="N32" s="94"/>
      <c r="O32" s="78">
        <f t="shared" si="7"/>
        <v>0</v>
      </c>
      <c r="P32" s="93">
        <f t="shared" ref="P32:S32" si="31">SUM(P33:P35)</f>
        <v>0</v>
      </c>
      <c r="Q32" s="95">
        <f t="shared" si="31"/>
        <v>0</v>
      </c>
      <c r="R32" s="95">
        <f t="shared" si="31"/>
        <v>0</v>
      </c>
      <c r="S32" s="95">
        <f t="shared" si="31"/>
        <v>0</v>
      </c>
      <c r="T32" s="157">
        <f t="shared" si="4"/>
        <v>0</v>
      </c>
      <c r="U32" s="95">
        <f>SUM(U33:U35)</f>
        <v>1060000</v>
      </c>
      <c r="V32" s="95">
        <f t="shared" ref="V32:X32" si="32">SUM(V33:V35)</f>
        <v>0</v>
      </c>
      <c r="W32" s="95"/>
      <c r="X32" s="95">
        <f t="shared" si="32"/>
        <v>1060000</v>
      </c>
      <c r="Y32" s="79">
        <f t="shared" si="8"/>
        <v>0</v>
      </c>
      <c r="Z32" s="168">
        <f t="shared" si="6"/>
        <v>-720134</v>
      </c>
    </row>
    <row r="33" spans="1:26" x14ac:dyDescent="0.35">
      <c r="A33" s="87" t="s">
        <v>291</v>
      </c>
      <c r="B33" s="88"/>
      <c r="C33" s="1270">
        <v>5592134</v>
      </c>
      <c r="D33" s="82">
        <f t="shared" ref="D33:D39" si="33">SUM(E33,,M33,U33,P33,Q33,R33,S33,J33,F33,N33,I33,G33,K33,H33,V33)</f>
        <v>3410000</v>
      </c>
      <c r="E33" s="89"/>
      <c r="F33" s="90">
        <v>800000</v>
      </c>
      <c r="G33" s="91"/>
      <c r="H33" s="180">
        <v>2200000</v>
      </c>
      <c r="I33" s="91"/>
      <c r="J33" s="91"/>
      <c r="K33" s="91"/>
      <c r="L33" s="77">
        <f t="shared" si="1"/>
        <v>3000000</v>
      </c>
      <c r="M33" s="90"/>
      <c r="N33" s="91"/>
      <c r="O33" s="78">
        <f t="shared" si="7"/>
        <v>0</v>
      </c>
      <c r="P33" s="90"/>
      <c r="Q33" s="91"/>
      <c r="R33" s="91"/>
      <c r="S33" s="91"/>
      <c r="T33" s="157">
        <f t="shared" si="4"/>
        <v>0</v>
      </c>
      <c r="U33" s="91">
        <v>410000</v>
      </c>
      <c r="V33" s="91"/>
      <c r="W33" s="91"/>
      <c r="X33" s="85">
        <f t="shared" ref="X33:X35" si="34">SUM(U33:V33)</f>
        <v>410000</v>
      </c>
      <c r="Y33" s="79">
        <f t="shared" si="8"/>
        <v>0</v>
      </c>
      <c r="Z33" s="168">
        <f t="shared" si="6"/>
        <v>-2182134</v>
      </c>
    </row>
    <row r="34" spans="1:26" x14ac:dyDescent="0.35">
      <c r="A34" s="87" t="s">
        <v>292</v>
      </c>
      <c r="B34" s="88"/>
      <c r="C34" s="1271"/>
      <c r="D34" s="82">
        <f t="shared" si="33"/>
        <v>1195000</v>
      </c>
      <c r="E34" s="89">
        <v>220000</v>
      </c>
      <c r="F34" s="90">
        <v>475000</v>
      </c>
      <c r="G34" s="91"/>
      <c r="H34" s="91"/>
      <c r="I34" s="91"/>
      <c r="J34" s="91"/>
      <c r="K34" s="91"/>
      <c r="L34" s="77">
        <f t="shared" si="1"/>
        <v>475000</v>
      </c>
      <c r="M34" s="90"/>
      <c r="N34" s="91"/>
      <c r="O34" s="78">
        <f t="shared" si="7"/>
        <v>0</v>
      </c>
      <c r="P34" s="90"/>
      <c r="Q34" s="91"/>
      <c r="R34" s="91"/>
      <c r="S34" s="91"/>
      <c r="T34" s="157">
        <f t="shared" si="4"/>
        <v>0</v>
      </c>
      <c r="U34" s="91">
        <v>500000</v>
      </c>
      <c r="V34" s="91"/>
      <c r="W34" s="91"/>
      <c r="X34" s="85">
        <f t="shared" si="34"/>
        <v>500000</v>
      </c>
      <c r="Y34" s="79">
        <f t="shared" si="8"/>
        <v>0</v>
      </c>
      <c r="Z34" s="168">
        <f t="shared" si="6"/>
        <v>1195000</v>
      </c>
    </row>
    <row r="35" spans="1:26" x14ac:dyDescent="0.35">
      <c r="A35" s="87" t="s">
        <v>293</v>
      </c>
      <c r="B35" s="88"/>
      <c r="C35" s="1272"/>
      <c r="D35" s="82">
        <f t="shared" si="33"/>
        <v>267000</v>
      </c>
      <c r="E35" s="89"/>
      <c r="F35" s="90">
        <v>55000</v>
      </c>
      <c r="G35" s="91"/>
      <c r="H35" s="91"/>
      <c r="I35" s="91">
        <v>62000</v>
      </c>
      <c r="J35" s="91"/>
      <c r="K35" s="91"/>
      <c r="L35" s="77">
        <f t="shared" si="1"/>
        <v>117000</v>
      </c>
      <c r="M35" s="90"/>
      <c r="N35" s="91"/>
      <c r="O35" s="78">
        <f t="shared" si="7"/>
        <v>0</v>
      </c>
      <c r="P35" s="90"/>
      <c r="Q35" s="91"/>
      <c r="R35" s="91"/>
      <c r="S35" s="91"/>
      <c r="T35" s="157">
        <f t="shared" si="4"/>
        <v>0</v>
      </c>
      <c r="U35" s="91">
        <v>150000</v>
      </c>
      <c r="V35" s="91"/>
      <c r="W35" s="91"/>
      <c r="X35" s="85">
        <f t="shared" si="34"/>
        <v>150000</v>
      </c>
      <c r="Y35" s="79">
        <f t="shared" si="8"/>
        <v>0</v>
      </c>
      <c r="Z35" s="168">
        <f t="shared" si="6"/>
        <v>267000</v>
      </c>
    </row>
    <row r="36" spans="1:26" x14ac:dyDescent="0.35">
      <c r="A36" s="73" t="s">
        <v>294</v>
      </c>
      <c r="B36" s="74" t="s">
        <v>76</v>
      </c>
      <c r="C36" s="164">
        <v>22455838</v>
      </c>
      <c r="D36" s="82">
        <f t="shared" si="33"/>
        <v>20730150</v>
      </c>
      <c r="E36" s="97"/>
      <c r="F36" s="98"/>
      <c r="G36" s="94"/>
      <c r="H36" s="94"/>
      <c r="I36" s="94"/>
      <c r="J36" s="94"/>
      <c r="K36" s="94"/>
      <c r="L36" s="77">
        <f t="shared" si="1"/>
        <v>0</v>
      </c>
      <c r="M36" s="181">
        <f>17000000+3600000</f>
        <v>20600000</v>
      </c>
      <c r="N36" s="94">
        <v>130150</v>
      </c>
      <c r="O36" s="78">
        <f t="shared" si="7"/>
        <v>20730150</v>
      </c>
      <c r="P36" s="98"/>
      <c r="Q36" s="94">
        <v>0</v>
      </c>
      <c r="R36" s="94"/>
      <c r="S36" s="94"/>
      <c r="T36" s="157">
        <f t="shared" si="4"/>
        <v>0</v>
      </c>
      <c r="U36" s="94"/>
      <c r="V36" s="94"/>
      <c r="W36" s="94"/>
      <c r="X36" s="94"/>
      <c r="Y36" s="79">
        <f t="shared" si="8"/>
        <v>0</v>
      </c>
      <c r="Z36" s="168">
        <f t="shared" si="6"/>
        <v>-1725688</v>
      </c>
    </row>
    <row r="37" spans="1:26" x14ac:dyDescent="0.35">
      <c r="A37" s="73" t="s">
        <v>295</v>
      </c>
      <c r="B37" s="74" t="s">
        <v>79</v>
      </c>
      <c r="C37" s="164"/>
      <c r="D37" s="82">
        <f t="shared" si="33"/>
        <v>0</v>
      </c>
      <c r="E37" s="97"/>
      <c r="F37" s="98"/>
      <c r="G37" s="94"/>
      <c r="H37" s="94"/>
      <c r="I37" s="94"/>
      <c r="J37" s="94"/>
      <c r="K37" s="94"/>
      <c r="L37" s="77">
        <f t="shared" si="1"/>
        <v>0</v>
      </c>
      <c r="M37" s="98"/>
      <c r="N37" s="94"/>
      <c r="O37" s="78">
        <f t="shared" si="7"/>
        <v>0</v>
      </c>
      <c r="P37" s="98"/>
      <c r="Q37" s="94">
        <v>0</v>
      </c>
      <c r="R37" s="94"/>
      <c r="S37" s="94"/>
      <c r="T37" s="157">
        <f t="shared" si="4"/>
        <v>0</v>
      </c>
      <c r="U37" s="94"/>
      <c r="V37" s="94"/>
      <c r="W37" s="94"/>
      <c r="X37" s="94"/>
      <c r="Y37" s="79">
        <f t="shared" si="8"/>
        <v>0</v>
      </c>
      <c r="Z37" s="168">
        <f t="shared" si="6"/>
        <v>0</v>
      </c>
    </row>
    <row r="38" spans="1:26" ht="39" x14ac:dyDescent="0.35">
      <c r="A38" s="73" t="s">
        <v>159</v>
      </c>
      <c r="B38" s="74" t="s">
        <v>80</v>
      </c>
      <c r="C38" s="164">
        <v>1617921</v>
      </c>
      <c r="D38" s="82">
        <f t="shared" si="33"/>
        <v>842000</v>
      </c>
      <c r="E38" s="97">
        <v>120000</v>
      </c>
      <c r="F38" s="181">
        <v>700000</v>
      </c>
      <c r="G38" s="94"/>
      <c r="H38" s="94"/>
      <c r="I38" s="94"/>
      <c r="J38" s="94">
        <v>22000</v>
      </c>
      <c r="K38" s="94"/>
      <c r="L38" s="77">
        <f t="shared" si="1"/>
        <v>722000</v>
      </c>
      <c r="M38" s="98"/>
      <c r="N38" s="94"/>
      <c r="O38" s="78">
        <f t="shared" si="7"/>
        <v>0</v>
      </c>
      <c r="P38" s="98"/>
      <c r="Q38" s="94"/>
      <c r="R38" s="94"/>
      <c r="S38" s="94"/>
      <c r="T38" s="157">
        <f t="shared" si="4"/>
        <v>0</v>
      </c>
      <c r="U38" s="94"/>
      <c r="V38" s="94"/>
      <c r="W38" s="94"/>
      <c r="X38" s="94"/>
      <c r="Y38" s="79">
        <f t="shared" si="8"/>
        <v>0</v>
      </c>
      <c r="Z38" s="168">
        <f t="shared" si="6"/>
        <v>-775921</v>
      </c>
    </row>
    <row r="39" spans="1:26" ht="26" x14ac:dyDescent="0.35">
      <c r="A39" s="73" t="s">
        <v>81</v>
      </c>
      <c r="B39" s="74" t="s">
        <v>82</v>
      </c>
      <c r="C39" s="166">
        <v>6480</v>
      </c>
      <c r="D39" s="82">
        <f t="shared" si="33"/>
        <v>0</v>
      </c>
      <c r="E39" s="156"/>
      <c r="F39" s="98"/>
      <c r="G39" s="167"/>
      <c r="H39" s="167"/>
      <c r="I39" s="167"/>
      <c r="J39" s="167"/>
      <c r="K39" s="167"/>
      <c r="L39" s="77"/>
      <c r="M39" s="98"/>
      <c r="N39" s="167"/>
      <c r="O39" s="78"/>
      <c r="P39" s="98"/>
      <c r="Q39" s="167"/>
      <c r="R39" s="167"/>
      <c r="S39" s="167"/>
      <c r="T39" s="157"/>
      <c r="U39" s="94"/>
      <c r="V39" s="94"/>
      <c r="W39" s="94"/>
      <c r="X39" s="94"/>
      <c r="Y39" s="79">
        <f t="shared" si="8"/>
        <v>0</v>
      </c>
      <c r="Z39" s="168">
        <f t="shared" si="6"/>
        <v>-6480</v>
      </c>
    </row>
    <row r="40" spans="1:26" ht="26" x14ac:dyDescent="0.35">
      <c r="A40" s="73" t="s">
        <v>296</v>
      </c>
      <c r="B40" s="74" t="s">
        <v>84</v>
      </c>
      <c r="C40" s="93">
        <f>SUM(C41:C42)</f>
        <v>6074911</v>
      </c>
      <c r="D40" s="75">
        <f>SUM(D41:D43)</f>
        <v>3494000</v>
      </c>
      <c r="E40" s="93">
        <f>SUM(E41:E43)</f>
        <v>1100000</v>
      </c>
      <c r="F40" s="93">
        <f t="shared" ref="F40:K40" si="35">SUM(F41:F43)</f>
        <v>0</v>
      </c>
      <c r="G40" s="93">
        <f t="shared" si="35"/>
        <v>0</v>
      </c>
      <c r="H40" s="93">
        <f t="shared" si="35"/>
        <v>0</v>
      </c>
      <c r="I40" s="93">
        <f t="shared" si="35"/>
        <v>0</v>
      </c>
      <c r="J40" s="93">
        <f t="shared" si="35"/>
        <v>0</v>
      </c>
      <c r="K40" s="93">
        <f t="shared" si="35"/>
        <v>0</v>
      </c>
      <c r="L40" s="77">
        <f t="shared" ref="L40:L69" si="36">SUM(F40:K40)</f>
        <v>0</v>
      </c>
      <c r="M40" s="93">
        <f t="shared" ref="M40:N40" si="37">SUM(M41:M43)</f>
        <v>0</v>
      </c>
      <c r="N40" s="93">
        <f t="shared" si="37"/>
        <v>0</v>
      </c>
      <c r="O40" s="78">
        <f t="shared" si="7"/>
        <v>0</v>
      </c>
      <c r="P40" s="93">
        <f>SUM(P41:P43)</f>
        <v>72000</v>
      </c>
      <c r="Q40" s="93">
        <f>SUM(Q41:Q43)</f>
        <v>0</v>
      </c>
      <c r="R40" s="93">
        <f>SUM(R41:R43)</f>
        <v>2232000</v>
      </c>
      <c r="S40" s="93">
        <f>SUM(S41:S43)</f>
        <v>90000</v>
      </c>
      <c r="T40" s="157">
        <f t="shared" ref="T40:T69" si="38">SUM(P40:S40)</f>
        <v>2394000</v>
      </c>
      <c r="U40" s="95">
        <f t="shared" ref="U40" si="39">SUM(U41:U43)</f>
        <v>0</v>
      </c>
      <c r="V40" s="95"/>
      <c r="W40" s="95"/>
      <c r="X40" s="95"/>
      <c r="Y40" s="79">
        <f t="shared" si="8"/>
        <v>0</v>
      </c>
      <c r="Z40" s="168">
        <f t="shared" si="6"/>
        <v>-2580911</v>
      </c>
    </row>
    <row r="41" spans="1:26" x14ac:dyDescent="0.35">
      <c r="A41" s="87" t="s">
        <v>85</v>
      </c>
      <c r="B41" s="88"/>
      <c r="C41" s="1270">
        <v>6074911</v>
      </c>
      <c r="D41" s="82">
        <f t="shared" ref="D41:D43" si="40">SUM(E41,,M41,U41,P41,Q41,R41,S41,J41,F41,N41,I41,G41,K41,H41,V41)</f>
        <v>0</v>
      </c>
      <c r="E41" s="89"/>
      <c r="F41" s="90"/>
      <c r="G41" s="91"/>
      <c r="H41" s="91"/>
      <c r="I41" s="91"/>
      <c r="J41" s="91"/>
      <c r="K41" s="91"/>
      <c r="L41" s="77">
        <f t="shared" si="36"/>
        <v>0</v>
      </c>
      <c r="M41" s="90"/>
      <c r="N41" s="91"/>
      <c r="O41" s="78">
        <f t="shared" si="7"/>
        <v>0</v>
      </c>
      <c r="P41" s="90"/>
      <c r="Q41" s="91"/>
      <c r="R41" s="91"/>
      <c r="S41" s="91"/>
      <c r="T41" s="157">
        <f t="shared" si="38"/>
        <v>0</v>
      </c>
      <c r="U41" s="91"/>
      <c r="V41" s="91"/>
      <c r="W41" s="91"/>
      <c r="X41" s="85">
        <f t="shared" ref="X41:X43" si="41">SUM(U41:V41)</f>
        <v>0</v>
      </c>
      <c r="Y41" s="79">
        <f t="shared" si="8"/>
        <v>0</v>
      </c>
      <c r="Z41" s="168">
        <f t="shared" si="6"/>
        <v>-6074911</v>
      </c>
    </row>
    <row r="42" spans="1:26" ht="26" x14ac:dyDescent="0.35">
      <c r="A42" s="87" t="s">
        <v>86</v>
      </c>
      <c r="B42" s="88"/>
      <c r="C42" s="1271"/>
      <c r="D42" s="82">
        <f t="shared" si="40"/>
        <v>0</v>
      </c>
      <c r="E42" s="89"/>
      <c r="F42" s="90"/>
      <c r="G42" s="91"/>
      <c r="H42" s="91"/>
      <c r="I42" s="91"/>
      <c r="J42" s="91"/>
      <c r="K42" s="91"/>
      <c r="L42" s="77">
        <f t="shared" si="36"/>
        <v>0</v>
      </c>
      <c r="M42" s="90"/>
      <c r="N42" s="91"/>
      <c r="O42" s="78">
        <f t="shared" si="7"/>
        <v>0</v>
      </c>
      <c r="P42" s="90"/>
      <c r="Q42" s="91"/>
      <c r="R42" s="91"/>
      <c r="S42" s="91"/>
      <c r="T42" s="157">
        <f t="shared" si="38"/>
        <v>0</v>
      </c>
      <c r="U42" s="91"/>
      <c r="V42" s="91"/>
      <c r="W42" s="91"/>
      <c r="X42" s="85">
        <f t="shared" si="41"/>
        <v>0</v>
      </c>
      <c r="Y42" s="79">
        <f t="shared" si="8"/>
        <v>0</v>
      </c>
      <c r="Z42" s="168">
        <f t="shared" si="6"/>
        <v>0</v>
      </c>
    </row>
    <row r="43" spans="1:26" ht="26" x14ac:dyDescent="0.35">
      <c r="A43" s="87" t="s">
        <v>297</v>
      </c>
      <c r="B43" s="88"/>
      <c r="C43" s="1272"/>
      <c r="D43" s="82">
        <f t="shared" si="40"/>
        <v>3494000</v>
      </c>
      <c r="E43" s="89">
        <v>1100000</v>
      </c>
      <c r="F43" s="90"/>
      <c r="G43" s="91"/>
      <c r="H43" s="91"/>
      <c r="I43" s="91"/>
      <c r="J43" s="91"/>
      <c r="K43" s="91"/>
      <c r="L43" s="77">
        <f t="shared" si="36"/>
        <v>0</v>
      </c>
      <c r="M43" s="90"/>
      <c r="N43" s="91"/>
      <c r="O43" s="78">
        <f t="shared" si="7"/>
        <v>0</v>
      </c>
      <c r="P43" s="90">
        <v>72000</v>
      </c>
      <c r="Q43" s="91"/>
      <c r="R43" s="91">
        <v>2232000</v>
      </c>
      <c r="S43" s="180">
        <v>90000</v>
      </c>
      <c r="T43" s="157">
        <f t="shared" si="38"/>
        <v>2394000</v>
      </c>
      <c r="U43" s="91"/>
      <c r="V43" s="91"/>
      <c r="W43" s="91"/>
      <c r="X43" s="85">
        <f t="shared" si="41"/>
        <v>0</v>
      </c>
      <c r="Y43" s="79">
        <f t="shared" si="8"/>
        <v>0</v>
      </c>
      <c r="Z43" s="168">
        <f t="shared" si="6"/>
        <v>3494000</v>
      </c>
    </row>
    <row r="44" spans="1:26" x14ac:dyDescent="0.35">
      <c r="A44" s="73" t="s">
        <v>298</v>
      </c>
      <c r="B44" s="74" t="s">
        <v>88</v>
      </c>
      <c r="C44" s="76">
        <f>SUM(C45:C49)</f>
        <v>11647858</v>
      </c>
      <c r="D44" s="75">
        <f>SUM(D45:D54)</f>
        <v>7772000</v>
      </c>
      <c r="E44" s="76">
        <f t="shared" ref="E44:H44" si="42">SUM(E45:E50)</f>
        <v>1640000</v>
      </c>
      <c r="F44" s="93">
        <f t="shared" si="42"/>
        <v>550000</v>
      </c>
      <c r="G44" s="93">
        <f t="shared" si="42"/>
        <v>300000</v>
      </c>
      <c r="H44" s="93">
        <f t="shared" si="42"/>
        <v>0</v>
      </c>
      <c r="I44" s="95">
        <f>SUM(I45:I50)</f>
        <v>20000</v>
      </c>
      <c r="J44" s="95">
        <f t="shared" ref="J44:K44" si="43">SUM(J45:J50)</f>
        <v>50000</v>
      </c>
      <c r="K44" s="95">
        <f t="shared" si="43"/>
        <v>0</v>
      </c>
      <c r="L44" s="77">
        <f t="shared" si="36"/>
        <v>920000</v>
      </c>
      <c r="M44" s="93">
        <f>SUM(M45:M50)</f>
        <v>0</v>
      </c>
      <c r="N44" s="94"/>
      <c r="O44" s="78">
        <f t="shared" si="7"/>
        <v>0</v>
      </c>
      <c r="P44" s="93">
        <f t="shared" ref="P44" si="44">SUM(P45:P50)</f>
        <v>12000</v>
      </c>
      <c r="Q44" s="95">
        <f>SUM(Q45:Q50)</f>
        <v>0</v>
      </c>
      <c r="R44" s="95">
        <f t="shared" ref="R44:S44" si="45">SUM(R45:R50)</f>
        <v>0</v>
      </c>
      <c r="S44" s="95">
        <f t="shared" si="45"/>
        <v>0</v>
      </c>
      <c r="T44" s="157">
        <f t="shared" si="38"/>
        <v>12000</v>
      </c>
      <c r="U44" s="95">
        <f>SUM(U45:U54)</f>
        <v>2300000</v>
      </c>
      <c r="V44" s="95">
        <f t="shared" ref="V44:X44" si="46">SUM(V45:V54)</f>
        <v>2900000</v>
      </c>
      <c r="W44" s="95">
        <f t="shared" si="46"/>
        <v>0</v>
      </c>
      <c r="X44" s="95">
        <f t="shared" si="46"/>
        <v>5200000</v>
      </c>
      <c r="Y44" s="79">
        <f t="shared" si="8"/>
        <v>0</v>
      </c>
      <c r="Z44" s="168">
        <f t="shared" si="6"/>
        <v>-3875858</v>
      </c>
    </row>
    <row r="45" spans="1:26" x14ac:dyDescent="0.35">
      <c r="A45" s="87" t="s">
        <v>299</v>
      </c>
      <c r="B45" s="105"/>
      <c r="C45" s="1273">
        <v>11647858</v>
      </c>
      <c r="D45" s="82">
        <f t="shared" ref="D45:D54" si="47">SUM(E45,,M45,U45,P45,Q45,R45,S45,J45,F45,N45,I45,G45,K45,H45,V45)</f>
        <v>0</v>
      </c>
      <c r="E45" s="89"/>
      <c r="F45" s="90"/>
      <c r="G45" s="91"/>
      <c r="H45" s="91"/>
      <c r="I45" s="91"/>
      <c r="J45" s="91"/>
      <c r="K45" s="91"/>
      <c r="L45" s="77">
        <f t="shared" si="36"/>
        <v>0</v>
      </c>
      <c r="M45" s="90"/>
      <c r="N45" s="91"/>
      <c r="O45" s="78">
        <f t="shared" si="7"/>
        <v>0</v>
      </c>
      <c r="P45" s="90"/>
      <c r="Q45" s="91"/>
      <c r="R45" s="91"/>
      <c r="S45" s="91"/>
      <c r="T45" s="157">
        <f t="shared" si="38"/>
        <v>0</v>
      </c>
      <c r="U45" s="91"/>
      <c r="V45" s="91"/>
      <c r="W45" s="91"/>
      <c r="X45" s="85">
        <f t="shared" ref="X45:X54" si="48">SUM(U45:V45)</f>
        <v>0</v>
      </c>
      <c r="Y45" s="79">
        <f t="shared" si="8"/>
        <v>0</v>
      </c>
      <c r="Z45" s="168">
        <f t="shared" si="6"/>
        <v>-11647858</v>
      </c>
    </row>
    <row r="46" spans="1:26" x14ac:dyDescent="0.35">
      <c r="A46" s="87" t="s">
        <v>300</v>
      </c>
      <c r="B46" s="105"/>
      <c r="C46" s="1274"/>
      <c r="D46" s="82">
        <f t="shared" si="47"/>
        <v>1200000</v>
      </c>
      <c r="E46" s="89">
        <v>1200000</v>
      </c>
      <c r="F46" s="90"/>
      <c r="G46" s="91"/>
      <c r="H46" s="91"/>
      <c r="I46" s="91"/>
      <c r="J46" s="91"/>
      <c r="K46" s="91"/>
      <c r="L46" s="77">
        <f t="shared" si="36"/>
        <v>0</v>
      </c>
      <c r="M46" s="90"/>
      <c r="N46" s="91"/>
      <c r="O46" s="78">
        <f t="shared" si="7"/>
        <v>0</v>
      </c>
      <c r="P46" s="90"/>
      <c r="Q46" s="91"/>
      <c r="R46" s="91"/>
      <c r="S46" s="91"/>
      <c r="T46" s="157">
        <f t="shared" si="38"/>
        <v>0</v>
      </c>
      <c r="U46" s="91"/>
      <c r="V46" s="91"/>
      <c r="W46" s="91"/>
      <c r="X46" s="85">
        <f t="shared" si="48"/>
        <v>0</v>
      </c>
      <c r="Y46" s="79">
        <f t="shared" si="8"/>
        <v>0</v>
      </c>
      <c r="Z46" s="168">
        <f t="shared" si="6"/>
        <v>1200000</v>
      </c>
    </row>
    <row r="47" spans="1:26" ht="26" x14ac:dyDescent="0.35">
      <c r="A47" s="87" t="s">
        <v>301</v>
      </c>
      <c r="B47" s="105"/>
      <c r="C47" s="1274"/>
      <c r="D47" s="82">
        <f t="shared" si="47"/>
        <v>0</v>
      </c>
      <c r="E47" s="89"/>
      <c r="F47" s="90"/>
      <c r="G47" s="91"/>
      <c r="H47" s="91"/>
      <c r="I47" s="91"/>
      <c r="J47" s="91"/>
      <c r="K47" s="91"/>
      <c r="L47" s="77">
        <f t="shared" si="36"/>
        <v>0</v>
      </c>
      <c r="M47" s="90"/>
      <c r="N47" s="91"/>
      <c r="O47" s="78">
        <f t="shared" si="7"/>
        <v>0</v>
      </c>
      <c r="P47" s="90"/>
      <c r="Q47" s="91"/>
      <c r="R47" s="91"/>
      <c r="S47" s="91"/>
      <c r="T47" s="157">
        <f t="shared" si="38"/>
        <v>0</v>
      </c>
      <c r="U47" s="91"/>
      <c r="V47" s="91"/>
      <c r="W47" s="91"/>
      <c r="X47" s="85">
        <f t="shared" si="48"/>
        <v>0</v>
      </c>
      <c r="Y47" s="79">
        <f t="shared" si="8"/>
        <v>0</v>
      </c>
      <c r="Z47" s="168">
        <f t="shared" si="6"/>
        <v>0</v>
      </c>
    </row>
    <row r="48" spans="1:26" x14ac:dyDescent="0.35">
      <c r="A48" s="87" t="s">
        <v>302</v>
      </c>
      <c r="B48" s="105"/>
      <c r="C48" s="1274"/>
      <c r="D48" s="82">
        <f t="shared" si="47"/>
        <v>0</v>
      </c>
      <c r="E48" s="89"/>
      <c r="F48" s="90"/>
      <c r="G48" s="91"/>
      <c r="H48" s="91"/>
      <c r="I48" s="91"/>
      <c r="J48" s="91"/>
      <c r="K48" s="91"/>
      <c r="L48" s="77">
        <f t="shared" si="36"/>
        <v>0</v>
      </c>
      <c r="M48" s="90"/>
      <c r="N48" s="91"/>
      <c r="O48" s="78">
        <f t="shared" si="7"/>
        <v>0</v>
      </c>
      <c r="P48" s="90"/>
      <c r="Q48" s="91"/>
      <c r="R48" s="91"/>
      <c r="S48" s="91"/>
      <c r="T48" s="157">
        <f t="shared" si="38"/>
        <v>0</v>
      </c>
      <c r="U48" s="91"/>
      <c r="V48" s="91"/>
      <c r="W48" s="91"/>
      <c r="X48" s="85">
        <f t="shared" si="48"/>
        <v>0</v>
      </c>
      <c r="Y48" s="79">
        <f t="shared" si="8"/>
        <v>0</v>
      </c>
      <c r="Z48" s="168">
        <f t="shared" si="6"/>
        <v>0</v>
      </c>
    </row>
    <row r="49" spans="1:26" x14ac:dyDescent="0.35">
      <c r="A49" s="87" t="s">
        <v>303</v>
      </c>
      <c r="B49" s="105"/>
      <c r="C49" s="1274"/>
      <c r="D49" s="82">
        <f t="shared" si="47"/>
        <v>0</v>
      </c>
      <c r="E49" s="89"/>
      <c r="F49" s="90"/>
      <c r="G49" s="91"/>
      <c r="H49" s="91"/>
      <c r="I49" s="91"/>
      <c r="J49" s="91"/>
      <c r="K49" s="91"/>
      <c r="L49" s="77">
        <f t="shared" si="36"/>
        <v>0</v>
      </c>
      <c r="M49" s="90"/>
      <c r="N49" s="91"/>
      <c r="O49" s="78">
        <f t="shared" si="7"/>
        <v>0</v>
      </c>
      <c r="P49" s="90"/>
      <c r="Q49" s="91"/>
      <c r="R49" s="91"/>
      <c r="S49" s="91"/>
      <c r="T49" s="157">
        <f t="shared" si="38"/>
        <v>0</v>
      </c>
      <c r="U49" s="91"/>
      <c r="V49" s="91"/>
      <c r="W49" s="91"/>
      <c r="X49" s="85">
        <f t="shared" si="48"/>
        <v>0</v>
      </c>
      <c r="Y49" s="79">
        <f t="shared" si="8"/>
        <v>0</v>
      </c>
      <c r="Z49" s="168">
        <f t="shared" si="6"/>
        <v>0</v>
      </c>
    </row>
    <row r="50" spans="1:26" ht="26" x14ac:dyDescent="0.35">
      <c r="A50" s="87" t="s">
        <v>304</v>
      </c>
      <c r="B50" s="105"/>
      <c r="C50" s="1275"/>
      <c r="D50" s="82">
        <f t="shared" si="47"/>
        <v>3672000</v>
      </c>
      <c r="E50" s="89">
        <v>440000</v>
      </c>
      <c r="F50" s="182">
        <v>550000</v>
      </c>
      <c r="G50" s="91">
        <v>300000</v>
      </c>
      <c r="H50" s="91"/>
      <c r="I50" s="91">
        <v>20000</v>
      </c>
      <c r="J50" s="91">
        <v>50000</v>
      </c>
      <c r="K50" s="91"/>
      <c r="L50" s="77">
        <f t="shared" si="36"/>
        <v>920000</v>
      </c>
      <c r="M50" s="90"/>
      <c r="N50" s="91"/>
      <c r="O50" s="78">
        <f t="shared" si="7"/>
        <v>0</v>
      </c>
      <c r="P50" s="90">
        <v>12000</v>
      </c>
      <c r="Q50" s="91"/>
      <c r="R50" s="91"/>
      <c r="S50" s="91"/>
      <c r="T50" s="157">
        <f t="shared" si="38"/>
        <v>12000</v>
      </c>
      <c r="U50" s="91">
        <v>2300000</v>
      </c>
      <c r="V50" s="91"/>
      <c r="W50" s="91"/>
      <c r="X50" s="85">
        <f t="shared" si="48"/>
        <v>2300000</v>
      </c>
      <c r="Y50" s="79">
        <f t="shared" si="8"/>
        <v>0</v>
      </c>
      <c r="Z50" s="168">
        <f t="shared" si="6"/>
        <v>3672000</v>
      </c>
    </row>
    <row r="51" spans="1:26" x14ac:dyDescent="0.35">
      <c r="A51" s="170" t="s">
        <v>484</v>
      </c>
      <c r="B51" s="105"/>
      <c r="C51" s="169"/>
      <c r="D51" s="82">
        <f t="shared" si="47"/>
        <v>1000000</v>
      </c>
      <c r="E51" s="89"/>
      <c r="F51" s="90"/>
      <c r="G51" s="91"/>
      <c r="H51" s="91"/>
      <c r="I51" s="91"/>
      <c r="J51" s="91"/>
      <c r="K51" s="91"/>
      <c r="L51" s="77">
        <f t="shared" si="36"/>
        <v>0</v>
      </c>
      <c r="M51" s="90"/>
      <c r="N51" s="91"/>
      <c r="O51" s="78"/>
      <c r="P51" s="90"/>
      <c r="Q51" s="91"/>
      <c r="R51" s="91"/>
      <c r="S51" s="91"/>
      <c r="T51" s="157"/>
      <c r="U51" s="91"/>
      <c r="V51" s="172">
        <v>1000000</v>
      </c>
      <c r="W51" s="91"/>
      <c r="X51" s="85">
        <f t="shared" si="48"/>
        <v>1000000</v>
      </c>
      <c r="Y51" s="79">
        <f t="shared" si="8"/>
        <v>0</v>
      </c>
      <c r="Z51" s="168"/>
    </row>
    <row r="52" spans="1:26" ht="24" x14ac:dyDescent="0.35">
      <c r="A52" s="171" t="s">
        <v>485</v>
      </c>
      <c r="B52" s="105"/>
      <c r="C52" s="169"/>
      <c r="D52" s="82">
        <f t="shared" si="47"/>
        <v>1000000</v>
      </c>
      <c r="E52" s="89"/>
      <c r="F52" s="90"/>
      <c r="G52" s="91"/>
      <c r="H52" s="91"/>
      <c r="I52" s="91"/>
      <c r="J52" s="91"/>
      <c r="K52" s="91"/>
      <c r="L52" s="77">
        <f t="shared" si="36"/>
        <v>0</v>
      </c>
      <c r="M52" s="90"/>
      <c r="N52" s="91"/>
      <c r="O52" s="78"/>
      <c r="P52" s="90"/>
      <c r="Q52" s="91"/>
      <c r="R52" s="91"/>
      <c r="S52" s="91"/>
      <c r="T52" s="157"/>
      <c r="U52" s="91"/>
      <c r="V52" s="172">
        <v>1000000</v>
      </c>
      <c r="W52" s="91"/>
      <c r="X52" s="85">
        <f t="shared" si="48"/>
        <v>1000000</v>
      </c>
      <c r="Y52" s="79">
        <f t="shared" si="8"/>
        <v>0</v>
      </c>
      <c r="Z52" s="168"/>
    </row>
    <row r="53" spans="1:26" x14ac:dyDescent="0.35">
      <c r="A53" s="170" t="s">
        <v>486</v>
      </c>
      <c r="B53" s="105"/>
      <c r="C53" s="169"/>
      <c r="D53" s="82">
        <f t="shared" si="47"/>
        <v>700000</v>
      </c>
      <c r="E53" s="89"/>
      <c r="F53" s="90"/>
      <c r="G53" s="91"/>
      <c r="H53" s="91"/>
      <c r="I53" s="91"/>
      <c r="J53" s="91"/>
      <c r="K53" s="91"/>
      <c r="L53" s="77">
        <f t="shared" si="36"/>
        <v>0</v>
      </c>
      <c r="M53" s="90"/>
      <c r="N53" s="91"/>
      <c r="O53" s="78"/>
      <c r="P53" s="90"/>
      <c r="Q53" s="91"/>
      <c r="R53" s="91"/>
      <c r="S53" s="91"/>
      <c r="T53" s="157"/>
      <c r="U53" s="91"/>
      <c r="V53" s="172">
        <v>700000</v>
      </c>
      <c r="W53" s="91"/>
      <c r="X53" s="85">
        <f t="shared" si="48"/>
        <v>700000</v>
      </c>
      <c r="Y53" s="79">
        <f t="shared" si="8"/>
        <v>0</v>
      </c>
      <c r="Z53" s="168"/>
    </row>
    <row r="54" spans="1:26" ht="26" x14ac:dyDescent="0.35">
      <c r="A54" s="170" t="s">
        <v>487</v>
      </c>
      <c r="B54" s="105"/>
      <c r="C54" s="169"/>
      <c r="D54" s="82">
        <f t="shared" si="47"/>
        <v>200000</v>
      </c>
      <c r="E54" s="89"/>
      <c r="F54" s="90"/>
      <c r="G54" s="91"/>
      <c r="H54" s="91"/>
      <c r="I54" s="91"/>
      <c r="J54" s="91"/>
      <c r="K54" s="91"/>
      <c r="L54" s="77">
        <f t="shared" si="36"/>
        <v>0</v>
      </c>
      <c r="M54" s="90"/>
      <c r="N54" s="91"/>
      <c r="O54" s="78"/>
      <c r="P54" s="90"/>
      <c r="Q54" s="91"/>
      <c r="R54" s="91"/>
      <c r="S54" s="91"/>
      <c r="T54" s="157"/>
      <c r="U54" s="91"/>
      <c r="V54" s="172">
        <v>200000</v>
      </c>
      <c r="W54" s="91"/>
      <c r="X54" s="85">
        <f t="shared" si="48"/>
        <v>200000</v>
      </c>
      <c r="Y54" s="79">
        <f t="shared" si="8"/>
        <v>0</v>
      </c>
      <c r="Z54" s="168"/>
    </row>
    <row r="55" spans="1:26" x14ac:dyDescent="0.35">
      <c r="A55" s="99" t="s">
        <v>94</v>
      </c>
      <c r="B55" s="100" t="s">
        <v>95</v>
      </c>
      <c r="C55" s="102">
        <f t="shared" ref="C55:K55" si="49">SUM(C32,C36:C40,C44)</f>
        <v>47395142</v>
      </c>
      <c r="D55" s="101">
        <f t="shared" si="49"/>
        <v>37710150</v>
      </c>
      <c r="E55" s="102">
        <f t="shared" si="49"/>
        <v>3080000</v>
      </c>
      <c r="F55" s="103">
        <f t="shared" si="49"/>
        <v>2580000</v>
      </c>
      <c r="G55" s="104">
        <f t="shared" si="49"/>
        <v>300000</v>
      </c>
      <c r="H55" s="104">
        <f t="shared" si="49"/>
        <v>2200000</v>
      </c>
      <c r="I55" s="104">
        <f t="shared" si="49"/>
        <v>82000</v>
      </c>
      <c r="J55" s="104">
        <f t="shared" si="49"/>
        <v>72000</v>
      </c>
      <c r="K55" s="104">
        <f t="shared" si="49"/>
        <v>0</v>
      </c>
      <c r="L55" s="77">
        <f t="shared" si="36"/>
        <v>5234000</v>
      </c>
      <c r="M55" s="103">
        <f>SUM(M32,M36:M40,M44)</f>
        <v>20600000</v>
      </c>
      <c r="N55" s="104">
        <f>SUM(N32,N36:N40,N44)</f>
        <v>130150</v>
      </c>
      <c r="O55" s="78">
        <f t="shared" si="7"/>
        <v>20730150</v>
      </c>
      <c r="P55" s="103">
        <f>SUM(P32,P36:P40,P44)</f>
        <v>84000</v>
      </c>
      <c r="Q55" s="104">
        <f>SUM(Q32,Q36:Q40,Q44)</f>
        <v>0</v>
      </c>
      <c r="R55" s="104">
        <f>SUM(R32,R36:R40,R44)</f>
        <v>2232000</v>
      </c>
      <c r="S55" s="104">
        <f>SUM(S32,S36:S40,S44)</f>
        <v>90000</v>
      </c>
      <c r="T55" s="157">
        <f t="shared" si="38"/>
        <v>2406000</v>
      </c>
      <c r="U55" s="104">
        <f>SUM(U32,U36:U40,U44)</f>
        <v>3360000</v>
      </c>
      <c r="V55" s="104">
        <f>SUM(V32,V36:V40,V44)</f>
        <v>2900000</v>
      </c>
      <c r="W55" s="104"/>
      <c r="X55" s="104">
        <f>SUM(X32,X36:X40,X44)</f>
        <v>6260000</v>
      </c>
      <c r="Y55" s="79">
        <f t="shared" si="8"/>
        <v>0</v>
      </c>
      <c r="Z55" s="168">
        <f t="shared" ref="Z55:Z69" si="50">D55-C55</f>
        <v>-9684992</v>
      </c>
    </row>
    <row r="56" spans="1:26" x14ac:dyDescent="0.35">
      <c r="A56" s="106" t="s">
        <v>305</v>
      </c>
      <c r="B56" s="88" t="s">
        <v>97</v>
      </c>
      <c r="C56" s="165">
        <v>144840</v>
      </c>
      <c r="D56" s="82">
        <f t="shared" ref="D56:D57" si="51">SUM(E56,,M56,U56,P56,Q56,R56,S56,J56,F56,N56,I56,G56,K56,H56,V56)</f>
        <v>85000</v>
      </c>
      <c r="E56" s="89">
        <v>50000</v>
      </c>
      <c r="F56" s="90"/>
      <c r="G56" s="91"/>
      <c r="H56" s="91"/>
      <c r="I56" s="91"/>
      <c r="J56" s="91"/>
      <c r="K56" s="91"/>
      <c r="L56" s="77">
        <f t="shared" si="36"/>
        <v>0</v>
      </c>
      <c r="M56" s="90"/>
      <c r="N56" s="91"/>
      <c r="O56" s="78">
        <f t="shared" si="7"/>
        <v>0</v>
      </c>
      <c r="P56" s="90">
        <v>35000</v>
      </c>
      <c r="Q56" s="91"/>
      <c r="R56" s="91"/>
      <c r="S56" s="91"/>
      <c r="T56" s="157">
        <f t="shared" si="38"/>
        <v>35000</v>
      </c>
      <c r="U56" s="91"/>
      <c r="V56" s="91"/>
      <c r="W56" s="91"/>
      <c r="X56" s="85">
        <f t="shared" ref="X56:X57" si="52">SUM(U56:V56)</f>
        <v>0</v>
      </c>
      <c r="Y56" s="79">
        <f t="shared" si="8"/>
        <v>0</v>
      </c>
      <c r="Z56" s="168">
        <f t="shared" si="50"/>
        <v>-59840</v>
      </c>
    </row>
    <row r="57" spans="1:26" ht="26" x14ac:dyDescent="0.35">
      <c r="A57" s="106" t="s">
        <v>306</v>
      </c>
      <c r="B57" s="88" t="s">
        <v>99</v>
      </c>
      <c r="C57" s="165">
        <v>11900</v>
      </c>
      <c r="D57" s="82">
        <f t="shared" si="51"/>
        <v>2158000</v>
      </c>
      <c r="E57" s="89">
        <v>20000</v>
      </c>
      <c r="F57" s="90">
        <v>10000</v>
      </c>
      <c r="G57" s="91"/>
      <c r="H57" s="91"/>
      <c r="I57" s="91"/>
      <c r="J57" s="91"/>
      <c r="K57" s="91"/>
      <c r="L57" s="77">
        <f t="shared" si="36"/>
        <v>10000</v>
      </c>
      <c r="M57" s="90"/>
      <c r="N57" s="91"/>
      <c r="O57" s="78">
        <f t="shared" si="7"/>
        <v>0</v>
      </c>
      <c r="P57" s="90"/>
      <c r="Q57" s="91"/>
      <c r="R57" s="91"/>
      <c r="S57" s="91"/>
      <c r="T57" s="157">
        <f t="shared" si="38"/>
        <v>0</v>
      </c>
      <c r="U57" s="91">
        <v>2128000</v>
      </c>
      <c r="V57" s="91"/>
      <c r="W57" s="91"/>
      <c r="X57" s="85">
        <f t="shared" si="52"/>
        <v>2128000</v>
      </c>
      <c r="Y57" s="79">
        <f t="shared" si="8"/>
        <v>0</v>
      </c>
      <c r="Z57" s="168">
        <f t="shared" si="50"/>
        <v>2146100</v>
      </c>
    </row>
    <row r="58" spans="1:26" ht="26" x14ac:dyDescent="0.35">
      <c r="A58" s="99" t="s">
        <v>100</v>
      </c>
      <c r="B58" s="100" t="s">
        <v>101</v>
      </c>
      <c r="C58" s="102">
        <f>SUM(C56:C57)</f>
        <v>156740</v>
      </c>
      <c r="D58" s="101">
        <f t="shared" ref="D58:E58" si="53">SUM(D56:D57)</f>
        <v>2243000</v>
      </c>
      <c r="E58" s="102">
        <f t="shared" si="53"/>
        <v>70000</v>
      </c>
      <c r="F58" s="103">
        <f>SUM(F56:F57)</f>
        <v>10000</v>
      </c>
      <c r="G58" s="104">
        <f>SUM(G56:G57)</f>
        <v>0</v>
      </c>
      <c r="H58" s="104"/>
      <c r="I58" s="104">
        <f>SUM(I56:I57)</f>
        <v>0</v>
      </c>
      <c r="J58" s="104">
        <f>SUM(J56:J57)</f>
        <v>0</v>
      </c>
      <c r="K58" s="104">
        <f>SUM(K56:K57)</f>
        <v>0</v>
      </c>
      <c r="L58" s="77">
        <f t="shared" si="36"/>
        <v>10000</v>
      </c>
      <c r="M58" s="103">
        <f>SUM(M56:M57)</f>
        <v>0</v>
      </c>
      <c r="N58" s="104">
        <f>SUM(N56:N57)</f>
        <v>0</v>
      </c>
      <c r="O58" s="78">
        <f t="shared" si="7"/>
        <v>0</v>
      </c>
      <c r="P58" s="103">
        <f>SUM(P56:P57)</f>
        <v>35000</v>
      </c>
      <c r="Q58" s="104">
        <f>SUM(Q56:Q57)</f>
        <v>0</v>
      </c>
      <c r="R58" s="104">
        <f>SUM(R56:R57)</f>
        <v>0</v>
      </c>
      <c r="S58" s="104">
        <f>SUM(S56:S57)</f>
        <v>0</v>
      </c>
      <c r="T58" s="157">
        <f t="shared" si="38"/>
        <v>35000</v>
      </c>
      <c r="U58" s="104">
        <f>SUM(U56:U57)</f>
        <v>2128000</v>
      </c>
      <c r="V58" s="104">
        <f t="shared" ref="V58:X58" si="54">SUM(V56:V57)</f>
        <v>0</v>
      </c>
      <c r="W58" s="104"/>
      <c r="X58" s="104">
        <f t="shared" si="54"/>
        <v>2128000</v>
      </c>
      <c r="Y58" s="79">
        <f t="shared" si="8"/>
        <v>0</v>
      </c>
      <c r="Z58" s="168">
        <f t="shared" si="50"/>
        <v>2086260</v>
      </c>
    </row>
    <row r="59" spans="1:26" ht="39" x14ac:dyDescent="0.35">
      <c r="A59" s="73" t="s">
        <v>307</v>
      </c>
      <c r="B59" s="74" t="s">
        <v>103</v>
      </c>
      <c r="C59" s="76">
        <f>SUM(C60:C61)</f>
        <v>10868034</v>
      </c>
      <c r="D59" s="75">
        <f>SUM(D60:D61)</f>
        <v>9192395</v>
      </c>
      <c r="E59" s="76">
        <f>SUM(E60:E61)</f>
        <v>963090</v>
      </c>
      <c r="F59" s="76">
        <f t="shared" ref="F59:K59" si="55">SUM(F60:F61)</f>
        <v>831600</v>
      </c>
      <c r="G59" s="76">
        <f t="shared" si="55"/>
        <v>0</v>
      </c>
      <c r="H59" s="76">
        <f t="shared" si="55"/>
        <v>522000</v>
      </c>
      <c r="I59" s="76">
        <f t="shared" si="55"/>
        <v>25000</v>
      </c>
      <c r="J59" s="76">
        <f t="shared" si="55"/>
        <v>50000</v>
      </c>
      <c r="K59" s="76">
        <f t="shared" si="55"/>
        <v>0</v>
      </c>
      <c r="L59" s="77">
        <f t="shared" si="36"/>
        <v>1428600</v>
      </c>
      <c r="M59" s="93">
        <f>SUM(M60:M61)</f>
        <v>4590000</v>
      </c>
      <c r="N59" s="93">
        <f>SUM(N60:N61)</f>
        <v>35145</v>
      </c>
      <c r="O59" s="78">
        <f t="shared" si="7"/>
        <v>4625145</v>
      </c>
      <c r="P59" s="93">
        <f t="shared" ref="P59:Q59" si="56">SUM(P60:P61)</f>
        <v>12000</v>
      </c>
      <c r="Q59" s="95">
        <f t="shared" si="56"/>
        <v>0</v>
      </c>
      <c r="R59" s="94"/>
      <c r="S59" s="95">
        <f t="shared" ref="S59" si="57">SUM(S60:S61)</f>
        <v>0</v>
      </c>
      <c r="T59" s="157">
        <f t="shared" si="38"/>
        <v>12000</v>
      </c>
      <c r="U59" s="95">
        <f>SUM(U60:U61)</f>
        <v>1380560</v>
      </c>
      <c r="V59" s="95">
        <f t="shared" ref="V59:X59" si="58">SUM(V60:V61)</f>
        <v>783000</v>
      </c>
      <c r="W59" s="95"/>
      <c r="X59" s="95">
        <f t="shared" si="58"/>
        <v>2163560</v>
      </c>
      <c r="Y59" s="79">
        <f t="shared" si="8"/>
        <v>0</v>
      </c>
      <c r="Z59" s="168">
        <f t="shared" si="50"/>
        <v>-1675639</v>
      </c>
    </row>
    <row r="60" spans="1:26" x14ac:dyDescent="0.35">
      <c r="A60" s="87" t="s">
        <v>308</v>
      </c>
      <c r="B60" s="88"/>
      <c r="C60" s="165"/>
      <c r="D60" s="82">
        <f t="shared" ref="D60:D63" si="59">SUM(E60,,M60,U60,P60,Q60,R60,S60,J60,F60,N60,I60,G60,K60,H60,V60)</f>
        <v>4590000</v>
      </c>
      <c r="E60" s="107"/>
      <c r="F60" s="90"/>
      <c r="G60" s="91"/>
      <c r="H60" s="91"/>
      <c r="I60" s="91"/>
      <c r="J60" s="91"/>
      <c r="K60" s="91"/>
      <c r="L60" s="77">
        <f t="shared" si="36"/>
        <v>0</v>
      </c>
      <c r="M60" s="90">
        <v>4590000</v>
      </c>
      <c r="N60" s="91"/>
      <c r="O60" s="78">
        <f t="shared" si="7"/>
        <v>4590000</v>
      </c>
      <c r="P60" s="90"/>
      <c r="Q60" s="91"/>
      <c r="R60" s="91"/>
      <c r="S60" s="91"/>
      <c r="T60" s="157">
        <f t="shared" si="38"/>
        <v>0</v>
      </c>
      <c r="U60" s="91"/>
      <c r="V60" s="91"/>
      <c r="W60" s="91"/>
      <c r="X60" s="85">
        <f t="shared" ref="X60:X61" si="60">SUM(U60:V60)</f>
        <v>0</v>
      </c>
      <c r="Y60" s="79">
        <f t="shared" si="8"/>
        <v>0</v>
      </c>
      <c r="Z60" s="168">
        <f t="shared" si="50"/>
        <v>4590000</v>
      </c>
    </row>
    <row r="61" spans="1:26" x14ac:dyDescent="0.35">
      <c r="A61" s="87" t="s">
        <v>309</v>
      </c>
      <c r="B61" s="88"/>
      <c r="C61" s="165">
        <v>10868034</v>
      </c>
      <c r="D61" s="82">
        <f t="shared" si="59"/>
        <v>4602395</v>
      </c>
      <c r="E61" s="89">
        <v>963090</v>
      </c>
      <c r="F61" s="90">
        <v>831600</v>
      </c>
      <c r="G61" s="91"/>
      <c r="H61" s="91">
        <v>522000</v>
      </c>
      <c r="I61" s="91">
        <v>25000</v>
      </c>
      <c r="J61" s="91">
        <v>50000</v>
      </c>
      <c r="K61" s="91"/>
      <c r="L61" s="77">
        <f t="shared" si="36"/>
        <v>1428600</v>
      </c>
      <c r="M61" s="90"/>
      <c r="N61" s="91">
        <v>35145</v>
      </c>
      <c r="O61" s="78">
        <f t="shared" si="7"/>
        <v>35145</v>
      </c>
      <c r="P61" s="90">
        <v>12000</v>
      </c>
      <c r="Q61" s="91"/>
      <c r="R61" s="91"/>
      <c r="S61" s="91"/>
      <c r="T61" s="157">
        <f t="shared" si="38"/>
        <v>12000</v>
      </c>
      <c r="U61" s="91">
        <f>1076000+304560</f>
        <v>1380560</v>
      </c>
      <c r="V61" s="91">
        <f>V55*0.27</f>
        <v>783000</v>
      </c>
      <c r="W61" s="91"/>
      <c r="X61" s="85">
        <f t="shared" si="60"/>
        <v>2163560</v>
      </c>
      <c r="Y61" s="79">
        <f t="shared" si="8"/>
        <v>0</v>
      </c>
      <c r="Z61" s="168">
        <f t="shared" si="50"/>
        <v>-6265639</v>
      </c>
    </row>
    <row r="62" spans="1:26" ht="26" x14ac:dyDescent="0.35">
      <c r="A62" s="73" t="s">
        <v>310</v>
      </c>
      <c r="B62" s="74" t="s">
        <v>105</v>
      </c>
      <c r="C62" s="164">
        <v>77000</v>
      </c>
      <c r="D62" s="82">
        <f t="shared" si="59"/>
        <v>0</v>
      </c>
      <c r="E62" s="97">
        <v>0</v>
      </c>
      <c r="F62" s="98">
        <v>0</v>
      </c>
      <c r="G62" s="94"/>
      <c r="H62" s="94"/>
      <c r="I62" s="94"/>
      <c r="J62" s="94"/>
      <c r="K62" s="94"/>
      <c r="L62" s="77">
        <f t="shared" si="36"/>
        <v>0</v>
      </c>
      <c r="M62" s="98"/>
      <c r="N62" s="94"/>
      <c r="O62" s="78">
        <f t="shared" si="7"/>
        <v>0</v>
      </c>
      <c r="P62" s="98"/>
      <c r="Q62" s="94"/>
      <c r="R62" s="94"/>
      <c r="S62" s="94"/>
      <c r="T62" s="157">
        <f t="shared" si="38"/>
        <v>0</v>
      </c>
      <c r="U62" s="94"/>
      <c r="V62" s="94"/>
      <c r="W62" s="94"/>
      <c r="X62" s="94"/>
      <c r="Y62" s="79">
        <f t="shared" si="8"/>
        <v>0</v>
      </c>
      <c r="Z62" s="168">
        <f t="shared" si="50"/>
        <v>-77000</v>
      </c>
    </row>
    <row r="63" spans="1:26" x14ac:dyDescent="0.35">
      <c r="A63" s="73" t="s">
        <v>106</v>
      </c>
      <c r="B63" s="74" t="s">
        <v>107</v>
      </c>
      <c r="C63" s="164"/>
      <c r="D63" s="82">
        <f t="shared" si="59"/>
        <v>0</v>
      </c>
      <c r="E63" s="97">
        <v>0</v>
      </c>
      <c r="F63" s="98">
        <v>0</v>
      </c>
      <c r="G63" s="94"/>
      <c r="H63" s="94"/>
      <c r="I63" s="94"/>
      <c r="J63" s="94"/>
      <c r="K63" s="94"/>
      <c r="L63" s="77">
        <f t="shared" si="36"/>
        <v>0</v>
      </c>
      <c r="M63" s="98">
        <v>0</v>
      </c>
      <c r="N63" s="94"/>
      <c r="O63" s="78">
        <f t="shared" si="7"/>
        <v>0</v>
      </c>
      <c r="P63" s="98"/>
      <c r="Q63" s="94"/>
      <c r="R63" s="94"/>
      <c r="S63" s="94"/>
      <c r="T63" s="157">
        <f t="shared" si="38"/>
        <v>0</v>
      </c>
      <c r="U63" s="94"/>
      <c r="V63" s="94"/>
      <c r="W63" s="94"/>
      <c r="X63" s="94"/>
      <c r="Y63" s="79">
        <f t="shared" si="8"/>
        <v>0</v>
      </c>
      <c r="Z63" s="168">
        <f t="shared" si="50"/>
        <v>0</v>
      </c>
    </row>
    <row r="64" spans="1:26" x14ac:dyDescent="0.35">
      <c r="A64" s="73" t="s">
        <v>311</v>
      </c>
      <c r="B64" s="74" t="s">
        <v>111</v>
      </c>
      <c r="C64" s="76">
        <f t="shared" ref="C64:E64" si="61">SUM(C65:C67)</f>
        <v>3578751</v>
      </c>
      <c r="D64" s="75">
        <f t="shared" si="61"/>
        <v>713945</v>
      </c>
      <c r="E64" s="76">
        <f t="shared" si="61"/>
        <v>413945</v>
      </c>
      <c r="F64" s="93">
        <f t="shared" ref="F64:K64" si="62">SUM(F65:F67)</f>
        <v>0</v>
      </c>
      <c r="G64" s="95">
        <f t="shared" si="62"/>
        <v>300000</v>
      </c>
      <c r="H64" s="95">
        <f t="shared" si="62"/>
        <v>0</v>
      </c>
      <c r="I64" s="95">
        <f t="shared" si="62"/>
        <v>0</v>
      </c>
      <c r="J64" s="95">
        <f t="shared" si="62"/>
        <v>0</v>
      </c>
      <c r="K64" s="95">
        <f t="shared" si="62"/>
        <v>0</v>
      </c>
      <c r="L64" s="77">
        <f t="shared" si="36"/>
        <v>300000</v>
      </c>
      <c r="M64" s="93">
        <f>SUM(M65:M67)</f>
        <v>0</v>
      </c>
      <c r="N64" s="95">
        <f>SUM(N65:N67)</f>
        <v>0</v>
      </c>
      <c r="O64" s="78">
        <f t="shared" si="7"/>
        <v>0</v>
      </c>
      <c r="P64" s="93">
        <f>SUM(P65:P67)</f>
        <v>0</v>
      </c>
      <c r="Q64" s="95">
        <f>SUM(Q65:Q67)</f>
        <v>0</v>
      </c>
      <c r="R64" s="95">
        <f>SUM(R65:R67)</f>
        <v>0</v>
      </c>
      <c r="S64" s="95">
        <f>SUM(S65:S67)</f>
        <v>0</v>
      </c>
      <c r="T64" s="157">
        <f t="shared" si="38"/>
        <v>0</v>
      </c>
      <c r="U64" s="95">
        <f>SUM(U65:U67)</f>
        <v>0</v>
      </c>
      <c r="V64" s="95"/>
      <c r="W64" s="95"/>
      <c r="X64" s="95"/>
      <c r="Y64" s="79">
        <f t="shared" si="8"/>
        <v>0</v>
      </c>
      <c r="Z64" s="168">
        <f t="shared" si="50"/>
        <v>-2864806</v>
      </c>
    </row>
    <row r="65" spans="1:26" x14ac:dyDescent="0.35">
      <c r="A65" s="87" t="s">
        <v>312</v>
      </c>
      <c r="B65" s="88"/>
      <c r="C65" s="165"/>
      <c r="D65" s="82">
        <f t="shared" ref="D65:D67" si="63">SUM(E65,,M65,U65,P65,Q65,R65,S65,J65,F65,N65,I65,G65,K65,H65,V65)</f>
        <v>713945</v>
      </c>
      <c r="E65" s="89">
        <v>413945</v>
      </c>
      <c r="F65" s="90"/>
      <c r="G65" s="91">
        <v>300000</v>
      </c>
      <c r="H65" s="91"/>
      <c r="I65" s="91"/>
      <c r="J65" s="91"/>
      <c r="K65" s="91"/>
      <c r="L65" s="77">
        <f t="shared" si="36"/>
        <v>300000</v>
      </c>
      <c r="M65" s="90"/>
      <c r="N65" s="91"/>
      <c r="O65" s="78">
        <f t="shared" si="7"/>
        <v>0</v>
      </c>
      <c r="P65" s="90"/>
      <c r="Q65" s="91"/>
      <c r="R65" s="91"/>
      <c r="S65" s="91"/>
      <c r="T65" s="157">
        <f t="shared" si="38"/>
        <v>0</v>
      </c>
      <c r="U65" s="91"/>
      <c r="V65" s="91"/>
      <c r="W65" s="91"/>
      <c r="X65" s="91"/>
      <c r="Y65" s="79">
        <f t="shared" si="8"/>
        <v>0</v>
      </c>
      <c r="Z65" s="168">
        <f t="shared" si="50"/>
        <v>713945</v>
      </c>
    </row>
    <row r="66" spans="1:26" ht="26" x14ac:dyDescent="0.35">
      <c r="A66" s="87" t="s">
        <v>313</v>
      </c>
      <c r="B66" s="88"/>
      <c r="C66" s="165"/>
      <c r="D66" s="82">
        <f t="shared" si="63"/>
        <v>0</v>
      </c>
      <c r="E66" s="89"/>
      <c r="F66" s="90"/>
      <c r="G66" s="91"/>
      <c r="H66" s="91"/>
      <c r="I66" s="91"/>
      <c r="J66" s="91"/>
      <c r="K66" s="91"/>
      <c r="L66" s="77">
        <f t="shared" si="36"/>
        <v>0</v>
      </c>
      <c r="M66" s="90"/>
      <c r="N66" s="91"/>
      <c r="O66" s="78">
        <f t="shared" si="7"/>
        <v>0</v>
      </c>
      <c r="P66" s="90"/>
      <c r="Q66" s="91"/>
      <c r="R66" s="91"/>
      <c r="S66" s="91"/>
      <c r="T66" s="157">
        <f t="shared" si="38"/>
        <v>0</v>
      </c>
      <c r="U66" s="91"/>
      <c r="V66" s="91"/>
      <c r="W66" s="91"/>
      <c r="X66" s="91"/>
      <c r="Y66" s="79">
        <f t="shared" si="8"/>
        <v>0</v>
      </c>
      <c r="Z66" s="168">
        <f t="shared" si="50"/>
        <v>0</v>
      </c>
    </row>
    <row r="67" spans="1:26" x14ac:dyDescent="0.35">
      <c r="A67" s="87" t="s">
        <v>311</v>
      </c>
      <c r="B67" s="88"/>
      <c r="C67" s="165">
        <v>3578751</v>
      </c>
      <c r="D67" s="82">
        <f t="shared" si="63"/>
        <v>0</v>
      </c>
      <c r="E67" s="89"/>
      <c r="F67" s="90"/>
      <c r="G67" s="91"/>
      <c r="H67" s="91"/>
      <c r="I67" s="91"/>
      <c r="J67" s="91"/>
      <c r="K67" s="91"/>
      <c r="L67" s="77">
        <f t="shared" si="36"/>
        <v>0</v>
      </c>
      <c r="M67" s="90"/>
      <c r="N67" s="91"/>
      <c r="O67" s="78">
        <f t="shared" si="7"/>
        <v>0</v>
      </c>
      <c r="P67" s="90"/>
      <c r="Q67" s="91"/>
      <c r="R67" s="91"/>
      <c r="S67" s="91"/>
      <c r="T67" s="157">
        <f t="shared" si="38"/>
        <v>0</v>
      </c>
      <c r="U67" s="91"/>
      <c r="V67" s="91"/>
      <c r="W67" s="91"/>
      <c r="X67" s="91"/>
      <c r="Y67" s="79">
        <f t="shared" si="8"/>
        <v>0</v>
      </c>
      <c r="Z67" s="168">
        <f t="shared" si="50"/>
        <v>-3578751</v>
      </c>
    </row>
    <row r="68" spans="1:26" ht="26" x14ac:dyDescent="0.35">
      <c r="A68" s="99" t="s">
        <v>314</v>
      </c>
      <c r="B68" s="100" t="s">
        <v>117</v>
      </c>
      <c r="C68" s="102">
        <f>SUM(C64,C59,C62,C63)</f>
        <v>14523785</v>
      </c>
      <c r="D68" s="101">
        <f t="shared" ref="D68:K68" si="64">SUM(D64,D59,D62,D63)</f>
        <v>9906340</v>
      </c>
      <c r="E68" s="102">
        <f t="shared" si="64"/>
        <v>1377035</v>
      </c>
      <c r="F68" s="103">
        <f t="shared" si="64"/>
        <v>831600</v>
      </c>
      <c r="G68" s="104">
        <f t="shared" si="64"/>
        <v>300000</v>
      </c>
      <c r="H68" s="104">
        <f t="shared" si="64"/>
        <v>522000</v>
      </c>
      <c r="I68" s="104">
        <f t="shared" si="64"/>
        <v>25000</v>
      </c>
      <c r="J68" s="104">
        <f t="shared" si="64"/>
        <v>50000</v>
      </c>
      <c r="K68" s="104">
        <f t="shared" si="64"/>
        <v>0</v>
      </c>
      <c r="L68" s="77">
        <f t="shared" si="36"/>
        <v>1728600</v>
      </c>
      <c r="M68" s="103">
        <f>SUM(M64,M59,M62,M63)</f>
        <v>4590000</v>
      </c>
      <c r="N68" s="104">
        <f>SUM(N64,N59,N62,N63)</f>
        <v>35145</v>
      </c>
      <c r="O68" s="78">
        <f>SUM(M68:N68)</f>
        <v>4625145</v>
      </c>
      <c r="P68" s="103">
        <f>SUM(P64,P59,P62,P63)</f>
        <v>12000</v>
      </c>
      <c r="Q68" s="104">
        <f>SUM(Q64,Q59,Q62,Q63)</f>
        <v>0</v>
      </c>
      <c r="R68" s="104">
        <f>SUM(R64,R59,R62,R63)</f>
        <v>0</v>
      </c>
      <c r="S68" s="104">
        <f>SUM(S64,S59,S62,S63)</f>
        <v>0</v>
      </c>
      <c r="T68" s="157">
        <f t="shared" si="38"/>
        <v>12000</v>
      </c>
      <c r="U68" s="104">
        <f>SUM(U64,U59,U62,U63)</f>
        <v>1380560</v>
      </c>
      <c r="V68" s="104">
        <f t="shared" ref="V68:X68" si="65">SUM(V64,V59,V62,V63)</f>
        <v>783000</v>
      </c>
      <c r="W68" s="104"/>
      <c r="X68" s="104">
        <f t="shared" si="65"/>
        <v>2163560</v>
      </c>
      <c r="Y68" s="79">
        <f t="shared" si="8"/>
        <v>0</v>
      </c>
      <c r="Z68" s="168">
        <f t="shared" si="50"/>
        <v>-4617445</v>
      </c>
    </row>
    <row r="69" spans="1:26" ht="15" thickBot="1" x14ac:dyDescent="0.4">
      <c r="A69" s="108" t="s">
        <v>315</v>
      </c>
      <c r="B69" s="109" t="s">
        <v>119</v>
      </c>
      <c r="C69" s="111">
        <f t="shared" ref="C69:K69" si="66">SUM(C68,C58,C55,C31,C22)</f>
        <v>67244944</v>
      </c>
      <c r="D69" s="110">
        <f t="shared" si="66"/>
        <v>51252490</v>
      </c>
      <c r="E69" s="111">
        <f t="shared" si="66"/>
        <v>5014035</v>
      </c>
      <c r="F69" s="112">
        <f t="shared" si="66"/>
        <v>3921600</v>
      </c>
      <c r="G69" s="113">
        <f t="shared" si="66"/>
        <v>600000</v>
      </c>
      <c r="H69" s="113">
        <f t="shared" si="66"/>
        <v>2722000</v>
      </c>
      <c r="I69" s="113">
        <f t="shared" si="66"/>
        <v>107000</v>
      </c>
      <c r="J69" s="113">
        <f t="shared" si="66"/>
        <v>272000</v>
      </c>
      <c r="K69" s="113">
        <f t="shared" si="66"/>
        <v>0</v>
      </c>
      <c r="L69" s="77">
        <f t="shared" si="36"/>
        <v>7622600</v>
      </c>
      <c r="M69" s="112">
        <f>SUM(M68,M58,M55,M31,M22)</f>
        <v>25190000</v>
      </c>
      <c r="N69" s="113">
        <f>SUM(N68,N58,N55,N31,N22)</f>
        <v>165295</v>
      </c>
      <c r="O69" s="114">
        <f t="shared" si="7"/>
        <v>25355295</v>
      </c>
      <c r="P69" s="112">
        <f>SUM(P68,P58,P55,P31,P22)</f>
        <v>271000</v>
      </c>
      <c r="Q69" s="113">
        <f>SUM(Q68,Q58,Q55,Q31,Q22)</f>
        <v>0</v>
      </c>
      <c r="R69" s="113">
        <f>SUM(R68,R58,R55,R31,R22)</f>
        <v>2232000</v>
      </c>
      <c r="S69" s="113">
        <f>SUM(S68,S58,S55,S31,S22)</f>
        <v>90000</v>
      </c>
      <c r="T69" s="157">
        <f t="shared" si="38"/>
        <v>2593000</v>
      </c>
      <c r="U69" s="104">
        <f>SUM(U68,U58,U55,U31,U22)</f>
        <v>6984560</v>
      </c>
      <c r="V69" s="104">
        <f>SUM(V68,V58,V55,V31,V22)</f>
        <v>3683000</v>
      </c>
      <c r="W69" s="104"/>
      <c r="X69" s="104">
        <f>SUM(X68,X58,X55,X31,X22)</f>
        <v>10667560</v>
      </c>
      <c r="Y69" s="79">
        <f t="shared" si="8"/>
        <v>0</v>
      </c>
      <c r="Z69" s="168">
        <f t="shared" si="50"/>
        <v>-15992454</v>
      </c>
    </row>
  </sheetData>
  <mergeCells count="27">
    <mergeCell ref="P5:S5"/>
    <mergeCell ref="T5:T7"/>
    <mergeCell ref="A1:E1"/>
    <mergeCell ref="E3:K3"/>
    <mergeCell ref="R4:S4"/>
    <mergeCell ref="A5:A7"/>
    <mergeCell ref="B5:B7"/>
    <mergeCell ref="D5:D6"/>
    <mergeCell ref="E5:E6"/>
    <mergeCell ref="F5:K5"/>
    <mergeCell ref="L5:L7"/>
    <mergeCell ref="C33:C35"/>
    <mergeCell ref="C41:C43"/>
    <mergeCell ref="C45:C50"/>
    <mergeCell ref="U7:V7"/>
    <mergeCell ref="X6:X7"/>
    <mergeCell ref="C9:C13"/>
    <mergeCell ref="C15:C20"/>
    <mergeCell ref="C24:C27"/>
    <mergeCell ref="C29:C30"/>
    <mergeCell ref="C5:C7"/>
    <mergeCell ref="F7:K7"/>
    <mergeCell ref="M7:N7"/>
    <mergeCell ref="P7:S7"/>
    <mergeCell ref="U5:X5"/>
    <mergeCell ref="M5:N5"/>
    <mergeCell ref="O5:O7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  <pageSetUpPr fitToPage="1"/>
  </sheetPr>
  <dimension ref="A1:N28"/>
  <sheetViews>
    <sheetView view="pageBreakPreview" zoomScale="110" zoomScaleNormal="100" zoomScaleSheetLayoutView="110" workbookViewId="0">
      <selection sqref="A1:C1"/>
    </sheetView>
  </sheetViews>
  <sheetFormatPr defaultRowHeight="14.5" x14ac:dyDescent="0.35"/>
  <cols>
    <col min="1" max="1" width="9.1796875" customWidth="1"/>
    <col min="2" max="2" width="10.54296875" customWidth="1"/>
    <col min="3" max="3" width="35.453125" customWidth="1"/>
    <col min="4" max="5" width="26.1796875" hidden="1" customWidth="1"/>
    <col min="6" max="6" width="19.81640625" style="321" hidden="1" customWidth="1"/>
    <col min="7" max="7" width="14.453125" hidden="1" customWidth="1"/>
    <col min="8" max="8" width="25.26953125" hidden="1" customWidth="1"/>
    <col min="9" max="9" width="14.81640625" hidden="1" customWidth="1"/>
    <col min="10" max="10" width="14.81640625" style="532" hidden="1" customWidth="1"/>
    <col min="11" max="11" width="21.54296875" customWidth="1"/>
    <col min="12" max="12" width="14.7265625" hidden="1" customWidth="1"/>
    <col min="13" max="13" width="16.26953125" customWidth="1"/>
    <col min="14" max="14" width="18" customWidth="1"/>
  </cols>
  <sheetData>
    <row r="1" spans="1:14" ht="22.5" customHeight="1" x14ac:dyDescent="0.35">
      <c r="A1" s="1316" t="s">
        <v>455</v>
      </c>
      <c r="B1" s="1316"/>
      <c r="C1" s="1316"/>
      <c r="D1" s="443"/>
      <c r="E1" s="443"/>
    </row>
    <row r="2" spans="1:14" ht="22.5" customHeight="1" x14ac:dyDescent="0.35">
      <c r="A2" s="155"/>
      <c r="B2" s="1328" t="s">
        <v>1008</v>
      </c>
      <c r="C2" s="1328"/>
      <c r="D2" s="1328"/>
      <c r="E2" s="1328"/>
      <c r="F2" s="1328"/>
      <c r="G2" s="1140"/>
      <c r="H2" s="1140"/>
      <c r="I2" s="1140"/>
      <c r="J2" s="1140"/>
      <c r="K2" s="1140"/>
    </row>
    <row r="3" spans="1:14" ht="22.5" customHeight="1" x14ac:dyDescent="0.35">
      <c r="A3" s="155"/>
      <c r="B3" s="155"/>
      <c r="C3" s="155"/>
      <c r="D3" s="443"/>
      <c r="E3" s="443"/>
    </row>
    <row r="4" spans="1:14" ht="15" thickBot="1" x14ac:dyDescent="0.4">
      <c r="A4" s="115"/>
      <c r="B4" s="115"/>
      <c r="C4" s="116" t="s">
        <v>316</v>
      </c>
      <c r="D4" s="116"/>
      <c r="E4" s="116"/>
    </row>
    <row r="5" spans="1:14" x14ac:dyDescent="0.35">
      <c r="A5" s="391" t="s">
        <v>1</v>
      </c>
      <c r="B5" s="392" t="s">
        <v>317</v>
      </c>
      <c r="C5" s="1318"/>
      <c r="D5" s="1319"/>
      <c r="E5" s="1319"/>
      <c r="F5" s="1319"/>
    </row>
    <row r="6" spans="1:14" ht="39" customHeight="1" x14ac:dyDescent="0.35">
      <c r="A6" s="1320" t="s">
        <v>318</v>
      </c>
      <c r="B6" s="1322" t="s">
        <v>503</v>
      </c>
      <c r="C6" s="1323"/>
      <c r="D6" s="1329" t="s">
        <v>955</v>
      </c>
      <c r="E6" s="1329"/>
      <c r="F6" s="1329"/>
      <c r="G6" s="1329"/>
      <c r="H6" s="1329"/>
      <c r="I6" s="1329"/>
      <c r="J6" s="1329"/>
      <c r="K6" s="1329"/>
      <c r="L6" s="1329"/>
      <c r="M6" s="1329"/>
      <c r="N6" s="1329"/>
    </row>
    <row r="7" spans="1:14" ht="39" customHeight="1" x14ac:dyDescent="0.35">
      <c r="A7" s="1321"/>
      <c r="B7" s="1324"/>
      <c r="C7" s="1325"/>
      <c r="D7" s="444" t="s">
        <v>837</v>
      </c>
      <c r="E7" s="444" t="s">
        <v>838</v>
      </c>
      <c r="F7" s="885" t="s">
        <v>812</v>
      </c>
      <c r="G7" s="885" t="s">
        <v>871</v>
      </c>
      <c r="H7" s="885" t="s">
        <v>872</v>
      </c>
      <c r="I7" s="885" t="s">
        <v>870</v>
      </c>
      <c r="J7" s="885" t="s">
        <v>959</v>
      </c>
      <c r="K7" s="885" t="s">
        <v>901</v>
      </c>
      <c r="L7" s="885" t="s">
        <v>1110</v>
      </c>
      <c r="M7" s="885" t="s">
        <v>679</v>
      </c>
      <c r="N7" s="885" t="s">
        <v>673</v>
      </c>
    </row>
    <row r="8" spans="1:14" ht="43.5" customHeight="1" x14ac:dyDescent="0.35">
      <c r="A8" s="175"/>
      <c r="B8" s="1317" t="s">
        <v>489</v>
      </c>
      <c r="C8" s="1317"/>
      <c r="D8" s="450">
        <v>1450000</v>
      </c>
      <c r="E8" s="450">
        <v>1450000</v>
      </c>
      <c r="F8" s="393">
        <f>SUM(F9:F11)</f>
        <v>850000</v>
      </c>
      <c r="G8" s="393">
        <f t="shared" ref="G8:I8" si="0">SUM(G9:G11)</f>
        <v>0</v>
      </c>
      <c r="H8" s="393">
        <f t="shared" si="0"/>
        <v>850000</v>
      </c>
      <c r="I8" s="393">
        <f t="shared" si="0"/>
        <v>421140</v>
      </c>
      <c r="J8" s="393"/>
      <c r="K8" s="393">
        <f>SUM(K9:K11)</f>
        <v>750000</v>
      </c>
      <c r="L8" s="393">
        <f t="shared" ref="L8:N8" si="1">SUM(L9:L11)</f>
        <v>-248430</v>
      </c>
      <c r="M8" s="393">
        <f t="shared" si="1"/>
        <v>501570</v>
      </c>
      <c r="N8" s="393">
        <f t="shared" si="1"/>
        <v>492562</v>
      </c>
    </row>
    <row r="9" spans="1:14" ht="26" x14ac:dyDescent="0.35">
      <c r="A9" s="177" t="s">
        <v>490</v>
      </c>
      <c r="B9" s="175"/>
      <c r="C9" s="178" t="s">
        <v>491</v>
      </c>
      <c r="D9" s="451">
        <v>900000</v>
      </c>
      <c r="E9" s="451">
        <v>900000</v>
      </c>
      <c r="F9" s="394">
        <v>500000</v>
      </c>
      <c r="G9" s="891"/>
      <c r="H9" s="4">
        <f>F9+G9</f>
        <v>500000</v>
      </c>
      <c r="I9" s="891">
        <v>211300</v>
      </c>
      <c r="J9" s="891">
        <v>231400</v>
      </c>
      <c r="K9" s="508">
        <v>400000</v>
      </c>
      <c r="L9" s="508">
        <f>M9-K9</f>
        <v>-286900</v>
      </c>
      <c r="M9" s="891">
        <f>N9+9008</f>
        <v>113100</v>
      </c>
      <c r="N9" s="891">
        <f>113100-9008</f>
        <v>104092</v>
      </c>
    </row>
    <row r="10" spans="1:14" x14ac:dyDescent="0.35">
      <c r="A10" s="177" t="s">
        <v>490</v>
      </c>
      <c r="B10" s="395"/>
      <c r="C10" s="395" t="s">
        <v>492</v>
      </c>
      <c r="D10" s="451">
        <v>50000</v>
      </c>
      <c r="E10" s="451">
        <v>50000</v>
      </c>
      <c r="F10" s="394">
        <v>50000</v>
      </c>
      <c r="G10" s="891"/>
      <c r="H10" s="4">
        <f t="shared" ref="H10:H24" si="2">F10+G10</f>
        <v>50000</v>
      </c>
      <c r="I10" s="891"/>
      <c r="J10" s="891"/>
      <c r="K10" s="508">
        <v>50000</v>
      </c>
      <c r="L10" s="508">
        <f t="shared" ref="L10:L25" si="3">M10-K10</f>
        <v>-50000</v>
      </c>
      <c r="M10" s="891">
        <f t="shared" ref="M10:M25" si="4">N10</f>
        <v>0</v>
      </c>
      <c r="N10" s="891"/>
    </row>
    <row r="11" spans="1:14" ht="26" x14ac:dyDescent="0.35">
      <c r="A11" s="177" t="s">
        <v>490</v>
      </c>
      <c r="B11" s="175"/>
      <c r="C11" s="178" t="s">
        <v>493</v>
      </c>
      <c r="D11" s="451">
        <v>500000</v>
      </c>
      <c r="E11" s="451">
        <v>500000</v>
      </c>
      <c r="F11" s="394">
        <v>300000</v>
      </c>
      <c r="G11" s="891"/>
      <c r="H11" s="4">
        <f t="shared" si="2"/>
        <v>300000</v>
      </c>
      <c r="I11" s="891">
        <v>209840</v>
      </c>
      <c r="J11" s="891">
        <v>209840</v>
      </c>
      <c r="K11" s="508">
        <v>300000</v>
      </c>
      <c r="L11" s="508">
        <f t="shared" si="3"/>
        <v>88470</v>
      </c>
      <c r="M11" s="891">
        <f t="shared" si="4"/>
        <v>388470</v>
      </c>
      <c r="N11" s="891">
        <v>388470</v>
      </c>
    </row>
    <row r="12" spans="1:14" ht="33" customHeight="1" x14ac:dyDescent="0.35">
      <c r="A12" s="177" t="s">
        <v>490</v>
      </c>
      <c r="B12" s="1317" t="s">
        <v>494</v>
      </c>
      <c r="C12" s="1317"/>
      <c r="D12" s="450">
        <v>4780000</v>
      </c>
      <c r="E12" s="450">
        <v>4780000</v>
      </c>
      <c r="F12" s="396">
        <f>SUM(F13:F23)</f>
        <v>4650000</v>
      </c>
      <c r="G12" s="396">
        <f>SUM(G13:G23)</f>
        <v>0</v>
      </c>
      <c r="H12" s="396">
        <f>SUM(H13:H23)</f>
        <v>4650000</v>
      </c>
      <c r="I12" s="396">
        <f>SUM(I13:I23)</f>
        <v>2832500</v>
      </c>
      <c r="J12" s="396"/>
      <c r="K12" s="396">
        <f>SUM(K13:K23)</f>
        <v>6200000</v>
      </c>
      <c r="L12" s="396">
        <f t="shared" ref="L12:N12" si="5">SUM(L13:L23)</f>
        <v>-124470</v>
      </c>
      <c r="M12" s="396">
        <f t="shared" si="5"/>
        <v>6075530</v>
      </c>
      <c r="N12" s="396">
        <f t="shared" si="5"/>
        <v>6075530</v>
      </c>
    </row>
    <row r="13" spans="1:14" x14ac:dyDescent="0.35">
      <c r="A13" s="177" t="s">
        <v>490</v>
      </c>
      <c r="B13" s="175"/>
      <c r="C13" s="178" t="s">
        <v>495</v>
      </c>
      <c r="D13" s="451">
        <v>550000</v>
      </c>
      <c r="E13" s="451">
        <v>550000</v>
      </c>
      <c r="F13" s="394">
        <v>550000</v>
      </c>
      <c r="G13" s="891"/>
      <c r="H13" s="4">
        <f t="shared" si="2"/>
        <v>550000</v>
      </c>
      <c r="I13" s="891">
        <v>349500</v>
      </c>
      <c r="J13" s="891">
        <v>364500</v>
      </c>
      <c r="K13" s="508">
        <v>550000</v>
      </c>
      <c r="L13" s="508">
        <f t="shared" si="3"/>
        <v>-184500</v>
      </c>
      <c r="M13" s="891">
        <f t="shared" si="4"/>
        <v>365500</v>
      </c>
      <c r="N13" s="447">
        <v>365500</v>
      </c>
    </row>
    <row r="14" spans="1:14" x14ac:dyDescent="0.35">
      <c r="A14" s="177" t="s">
        <v>490</v>
      </c>
      <c r="B14" s="175"/>
      <c r="C14" s="178" t="s">
        <v>496</v>
      </c>
      <c r="D14" s="451">
        <v>180000</v>
      </c>
      <c r="E14" s="451">
        <v>180000</v>
      </c>
      <c r="F14" s="394">
        <v>300000</v>
      </c>
      <c r="G14" s="891"/>
      <c r="H14" s="4">
        <f t="shared" si="2"/>
        <v>300000</v>
      </c>
      <c r="I14" s="891">
        <v>190000</v>
      </c>
      <c r="J14" s="891">
        <v>190000</v>
      </c>
      <c r="K14" s="508">
        <v>300000</v>
      </c>
      <c r="L14" s="508">
        <f t="shared" si="3"/>
        <v>-240000</v>
      </c>
      <c r="M14" s="891">
        <f t="shared" si="4"/>
        <v>60000</v>
      </c>
      <c r="N14" s="447">
        <v>60000</v>
      </c>
    </row>
    <row r="15" spans="1:14" x14ac:dyDescent="0.35">
      <c r="A15" s="177" t="s">
        <v>497</v>
      </c>
      <c r="B15" s="175"/>
      <c r="C15" s="178" t="s">
        <v>498</v>
      </c>
      <c r="D15" s="451">
        <v>500000</v>
      </c>
      <c r="E15" s="451">
        <v>500000</v>
      </c>
      <c r="F15" s="394">
        <v>500000</v>
      </c>
      <c r="G15" s="891"/>
      <c r="H15" s="4">
        <f t="shared" si="2"/>
        <v>500000</v>
      </c>
      <c r="I15" s="891">
        <v>408000</v>
      </c>
      <c r="J15" s="891">
        <v>428000</v>
      </c>
      <c r="K15" s="508">
        <v>500000</v>
      </c>
      <c r="L15" s="508">
        <f t="shared" si="3"/>
        <v>-226000</v>
      </c>
      <c r="M15" s="891">
        <f t="shared" si="4"/>
        <v>274000</v>
      </c>
      <c r="N15" s="447">
        <v>274000</v>
      </c>
    </row>
    <row r="16" spans="1:14" x14ac:dyDescent="0.35">
      <c r="A16" s="177" t="s">
        <v>490</v>
      </c>
      <c r="B16" s="175"/>
      <c r="C16" s="178" t="s">
        <v>499</v>
      </c>
      <c r="D16" s="451">
        <v>600000</v>
      </c>
      <c r="E16" s="451">
        <v>600000</v>
      </c>
      <c r="F16" s="394">
        <v>600000</v>
      </c>
      <c r="G16" s="891"/>
      <c r="H16" s="4">
        <f t="shared" si="2"/>
        <v>600000</v>
      </c>
      <c r="I16" s="891">
        <v>660000</v>
      </c>
      <c r="J16" s="891">
        <v>690000</v>
      </c>
      <c r="K16" s="508">
        <v>800000</v>
      </c>
      <c r="L16" s="508">
        <f t="shared" si="3"/>
        <v>-170000</v>
      </c>
      <c r="M16" s="891">
        <f t="shared" si="4"/>
        <v>630000</v>
      </c>
      <c r="N16" s="447">
        <v>630000</v>
      </c>
    </row>
    <row r="17" spans="1:14" ht="26" x14ac:dyDescent="0.35">
      <c r="A17" s="177" t="s">
        <v>490</v>
      </c>
      <c r="B17" s="175"/>
      <c r="C17" s="178" t="s">
        <v>500</v>
      </c>
      <c r="D17" s="451">
        <v>350000</v>
      </c>
      <c r="E17" s="451">
        <v>350000</v>
      </c>
      <c r="F17" s="394">
        <v>200000</v>
      </c>
      <c r="G17" s="891"/>
      <c r="H17" s="4">
        <f t="shared" si="2"/>
        <v>200000</v>
      </c>
      <c r="I17" s="891"/>
      <c r="J17" s="891"/>
      <c r="K17" s="508">
        <v>200000</v>
      </c>
      <c r="L17" s="508">
        <f t="shared" si="3"/>
        <v>-79480</v>
      </c>
      <c r="M17" s="891">
        <f t="shared" si="4"/>
        <v>120520</v>
      </c>
      <c r="N17" s="447">
        <v>120520</v>
      </c>
    </row>
    <row r="18" spans="1:14" x14ac:dyDescent="0.35">
      <c r="A18" s="177" t="s">
        <v>490</v>
      </c>
      <c r="B18" s="175"/>
      <c r="C18" s="178" t="s">
        <v>501</v>
      </c>
      <c r="D18" s="451">
        <v>100000</v>
      </c>
      <c r="E18" s="451">
        <v>100000</v>
      </c>
      <c r="F18" s="394">
        <v>100000</v>
      </c>
      <c r="G18" s="891"/>
      <c r="H18" s="4">
        <f t="shared" si="2"/>
        <v>100000</v>
      </c>
      <c r="I18" s="891">
        <v>24000</v>
      </c>
      <c r="J18" s="891">
        <v>99940</v>
      </c>
      <c r="K18" s="508">
        <v>100000</v>
      </c>
      <c r="L18" s="508">
        <f t="shared" si="3"/>
        <v>24990</v>
      </c>
      <c r="M18" s="891">
        <f t="shared" si="4"/>
        <v>124990</v>
      </c>
      <c r="N18" s="447">
        <f>99402+25588</f>
        <v>124990</v>
      </c>
    </row>
    <row r="19" spans="1:14" ht="26" x14ac:dyDescent="0.35">
      <c r="A19" s="177" t="s">
        <v>490</v>
      </c>
      <c r="B19" s="175"/>
      <c r="C19" s="178" t="s">
        <v>972</v>
      </c>
      <c r="D19" s="451">
        <v>550000</v>
      </c>
      <c r="E19" s="451">
        <v>550000</v>
      </c>
      <c r="F19" s="394">
        <v>550000</v>
      </c>
      <c r="G19" s="891"/>
      <c r="H19" s="4">
        <f t="shared" si="2"/>
        <v>550000</v>
      </c>
      <c r="I19" s="891">
        <v>340000</v>
      </c>
      <c r="J19" s="891">
        <v>364000</v>
      </c>
      <c r="K19" s="508">
        <v>1100000</v>
      </c>
      <c r="L19" s="1334">
        <f>M19-K19-K20</f>
        <v>275000</v>
      </c>
      <c r="M19" s="1332">
        <f t="shared" si="4"/>
        <v>1875000</v>
      </c>
      <c r="N19" s="1330">
        <v>1875000</v>
      </c>
    </row>
    <row r="20" spans="1:14" ht="26" x14ac:dyDescent="0.35">
      <c r="A20" s="177" t="s">
        <v>490</v>
      </c>
      <c r="B20" s="175"/>
      <c r="C20" s="178" t="s">
        <v>973</v>
      </c>
      <c r="D20" s="451">
        <v>300000</v>
      </c>
      <c r="E20" s="451">
        <v>300000</v>
      </c>
      <c r="F20" s="394">
        <v>300000</v>
      </c>
      <c r="G20" s="891"/>
      <c r="H20" s="4">
        <f t="shared" si="2"/>
        <v>300000</v>
      </c>
      <c r="I20" s="891">
        <v>99000</v>
      </c>
      <c r="J20" s="891">
        <v>99000</v>
      </c>
      <c r="K20" s="508">
        <v>500000</v>
      </c>
      <c r="L20" s="1335"/>
      <c r="M20" s="1333"/>
      <c r="N20" s="1331"/>
    </row>
    <row r="21" spans="1:14" ht="26" x14ac:dyDescent="0.35">
      <c r="A21" s="177" t="s">
        <v>490</v>
      </c>
      <c r="B21" s="175"/>
      <c r="C21" s="395" t="s">
        <v>502</v>
      </c>
      <c r="D21" s="451">
        <v>260000</v>
      </c>
      <c r="E21" s="451">
        <v>260000</v>
      </c>
      <c r="F21" s="397">
        <v>260000</v>
      </c>
      <c r="G21" s="891"/>
      <c r="H21" s="4">
        <f t="shared" si="2"/>
        <v>260000</v>
      </c>
      <c r="I21" s="891"/>
      <c r="J21" s="891"/>
      <c r="K21" s="508">
        <v>260000</v>
      </c>
      <c r="L21" s="508">
        <f t="shared" si="3"/>
        <v>284520</v>
      </c>
      <c r="M21" s="891">
        <f t="shared" si="4"/>
        <v>544520</v>
      </c>
      <c r="N21" s="447">
        <v>544520</v>
      </c>
    </row>
    <row r="22" spans="1:14" ht="26" x14ac:dyDescent="0.35">
      <c r="A22" s="177" t="s">
        <v>490</v>
      </c>
      <c r="B22" s="175"/>
      <c r="C22" s="178" t="s">
        <v>974</v>
      </c>
      <c r="D22" s="451">
        <v>545000</v>
      </c>
      <c r="E22" s="451">
        <v>545000</v>
      </c>
      <c r="F22" s="394">
        <v>545000</v>
      </c>
      <c r="G22" s="891"/>
      <c r="H22" s="4">
        <f t="shared" si="2"/>
        <v>545000</v>
      </c>
      <c r="I22" s="891"/>
      <c r="J22" s="891"/>
      <c r="K22" s="508">
        <v>1090000</v>
      </c>
      <c r="L22" s="508">
        <f t="shared" si="3"/>
        <v>991000</v>
      </c>
      <c r="M22" s="891">
        <f t="shared" si="4"/>
        <v>2081000</v>
      </c>
      <c r="N22" s="447">
        <v>2081000</v>
      </c>
    </row>
    <row r="23" spans="1:14" ht="26" x14ac:dyDescent="0.35">
      <c r="A23" s="177" t="s">
        <v>490</v>
      </c>
      <c r="B23" s="177"/>
      <c r="C23" s="398" t="s">
        <v>881</v>
      </c>
      <c r="D23" s="452">
        <v>745000</v>
      </c>
      <c r="E23" s="452">
        <v>745000</v>
      </c>
      <c r="F23" s="394">
        <v>745000</v>
      </c>
      <c r="G23" s="891"/>
      <c r="H23" s="4">
        <f t="shared" si="2"/>
        <v>745000</v>
      </c>
      <c r="I23" s="891">
        <v>762000</v>
      </c>
      <c r="J23" s="891"/>
      <c r="K23" s="508">
        <v>800000</v>
      </c>
      <c r="L23" s="508">
        <f t="shared" si="3"/>
        <v>-800000</v>
      </c>
      <c r="M23" s="891">
        <f t="shared" si="4"/>
        <v>0</v>
      </c>
      <c r="N23" s="447"/>
    </row>
    <row r="24" spans="1:14" ht="41.25" customHeight="1" x14ac:dyDescent="0.35">
      <c r="A24" s="1326" t="s">
        <v>815</v>
      </c>
      <c r="B24" s="1327"/>
      <c r="C24" s="398" t="s">
        <v>880</v>
      </c>
      <c r="D24" s="452"/>
      <c r="E24" s="452"/>
      <c r="F24" s="394">
        <v>828000</v>
      </c>
      <c r="G24" s="891"/>
      <c r="H24" s="4">
        <f t="shared" si="2"/>
        <v>828000</v>
      </c>
      <c r="I24" s="891">
        <v>251999</v>
      </c>
      <c r="J24" s="891"/>
      <c r="K24" s="508">
        <v>0</v>
      </c>
      <c r="L24" s="508">
        <f t="shared" si="3"/>
        <v>0</v>
      </c>
      <c r="M24" s="891">
        <f t="shared" si="4"/>
        <v>0</v>
      </c>
      <c r="N24" s="447">
        <v>0</v>
      </c>
    </row>
    <row r="25" spans="1:14" s="532" customFormat="1" ht="41.25" customHeight="1" x14ac:dyDescent="0.35">
      <c r="A25" s="1326" t="s">
        <v>1009</v>
      </c>
      <c r="B25" s="1327"/>
      <c r="C25" s="398" t="s">
        <v>1010</v>
      </c>
      <c r="D25" s="452"/>
      <c r="E25" s="452"/>
      <c r="F25" s="394"/>
      <c r="G25" s="891"/>
      <c r="H25" s="4"/>
      <c r="I25" s="891"/>
      <c r="J25" s="891"/>
      <c r="K25" s="508">
        <v>1270000</v>
      </c>
      <c r="L25" s="508">
        <f t="shared" si="3"/>
        <v>-1270000</v>
      </c>
      <c r="M25" s="891">
        <f t="shared" si="4"/>
        <v>0</v>
      </c>
      <c r="N25" s="447">
        <v>0</v>
      </c>
    </row>
    <row r="26" spans="1:14" x14ac:dyDescent="0.35">
      <c r="A26" s="1315" t="s">
        <v>4</v>
      </c>
      <c r="B26" s="1315"/>
      <c r="C26" s="1315"/>
      <c r="D26" s="399">
        <f t="shared" ref="D26:J26" si="6">SUM(D8,D12,D24)</f>
        <v>6230000</v>
      </c>
      <c r="E26" s="399">
        <f t="shared" si="6"/>
        <v>6230000</v>
      </c>
      <c r="F26" s="399">
        <f t="shared" si="6"/>
        <v>6328000</v>
      </c>
      <c r="G26" s="399">
        <f t="shared" si="6"/>
        <v>0</v>
      </c>
      <c r="H26" s="399">
        <f t="shared" si="6"/>
        <v>6328000</v>
      </c>
      <c r="I26" s="399">
        <f t="shared" si="6"/>
        <v>3505639</v>
      </c>
      <c r="J26" s="399">
        <f t="shared" si="6"/>
        <v>0</v>
      </c>
      <c r="K26" s="399">
        <f>SUM(K8,K12,K24,K25)</f>
        <v>8220000</v>
      </c>
      <c r="L26" s="399">
        <f t="shared" ref="L26:N26" si="7">SUM(L8,L12,L24,L25)</f>
        <v>-1642900</v>
      </c>
      <c r="M26" s="399">
        <f t="shared" si="7"/>
        <v>6577100</v>
      </c>
      <c r="N26" s="399">
        <f t="shared" si="7"/>
        <v>6568092</v>
      </c>
    </row>
    <row r="27" spans="1:14" x14ac:dyDescent="0.35">
      <c r="A27" s="177" t="s">
        <v>490</v>
      </c>
      <c r="B27" s="1038"/>
      <c r="C27" s="398" t="s">
        <v>1135</v>
      </c>
      <c r="D27" s="1038"/>
      <c r="E27" s="1038"/>
      <c r="F27" s="416"/>
      <c r="G27" s="1038"/>
      <c r="H27" s="1038"/>
      <c r="I27" s="1038"/>
      <c r="J27" s="1038"/>
      <c r="K27" s="1038"/>
      <c r="L27" s="1038">
        <f>M27-K27</f>
        <v>647500</v>
      </c>
      <c r="M27" s="1038">
        <f>N27</f>
        <v>647500</v>
      </c>
      <c r="N27" s="1038">
        <v>647500</v>
      </c>
    </row>
    <row r="28" spans="1:14" x14ac:dyDescent="0.35">
      <c r="A28" s="1142" t="s">
        <v>1136</v>
      </c>
      <c r="B28" s="1142"/>
      <c r="C28" s="1142"/>
      <c r="D28" s="1038"/>
      <c r="E28" s="1038"/>
      <c r="F28" s="416"/>
      <c r="G28" s="1038"/>
      <c r="H28" s="1038"/>
      <c r="I28" s="1038"/>
      <c r="J28" s="1038"/>
      <c r="K28" s="1038"/>
      <c r="L28" s="1038">
        <f t="shared" ref="L28:M28" si="8">L27</f>
        <v>647500</v>
      </c>
      <c r="M28" s="1038">
        <f t="shared" si="8"/>
        <v>647500</v>
      </c>
      <c r="N28" s="1038">
        <f>N27</f>
        <v>647500</v>
      </c>
    </row>
  </sheetData>
  <mergeCells count="15">
    <mergeCell ref="A28:C28"/>
    <mergeCell ref="A26:C26"/>
    <mergeCell ref="A1:C1"/>
    <mergeCell ref="B8:C8"/>
    <mergeCell ref="B12:C12"/>
    <mergeCell ref="C5:F5"/>
    <mergeCell ref="A6:A7"/>
    <mergeCell ref="B6:C7"/>
    <mergeCell ref="A24:B24"/>
    <mergeCell ref="A25:B25"/>
    <mergeCell ref="B2:K2"/>
    <mergeCell ref="D6:N6"/>
    <mergeCell ref="N19:N20"/>
    <mergeCell ref="M19:M20"/>
    <mergeCell ref="L19:L20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  <pageSetUpPr fitToPage="1"/>
  </sheetPr>
  <dimension ref="A1:M45"/>
  <sheetViews>
    <sheetView view="pageBreakPreview" zoomScale="110" zoomScaleNormal="100" zoomScaleSheetLayoutView="110" workbookViewId="0"/>
  </sheetViews>
  <sheetFormatPr defaultRowHeight="14.5" x14ac:dyDescent="0.35"/>
  <cols>
    <col min="2" max="2" width="25.1796875" customWidth="1"/>
    <col min="3" max="3" width="28.453125" customWidth="1"/>
    <col min="4" max="5" width="28.453125" hidden="1" customWidth="1"/>
    <col min="6" max="6" width="19.7265625" style="36" hidden="1" customWidth="1"/>
    <col min="7" max="7" width="17.81640625" hidden="1" customWidth="1"/>
    <col min="8" max="8" width="18.26953125" hidden="1" customWidth="1"/>
    <col min="9" max="9" width="17.7265625" style="456" hidden="1" customWidth="1"/>
    <col min="10" max="10" width="25" style="740" customWidth="1"/>
    <col min="11" max="11" width="17" hidden="1" customWidth="1"/>
    <col min="12" max="12" width="16.453125" customWidth="1"/>
    <col min="13" max="13" width="18.54296875" customWidth="1"/>
  </cols>
  <sheetData>
    <row r="1" spans="1:13" x14ac:dyDescent="0.35">
      <c r="A1" t="s">
        <v>557</v>
      </c>
    </row>
    <row r="3" spans="1:13" x14ac:dyDescent="0.35">
      <c r="A3" s="1156" t="s">
        <v>958</v>
      </c>
      <c r="B3" s="1156"/>
      <c r="C3" s="1156"/>
      <c r="D3" s="1156"/>
      <c r="E3" s="1156"/>
      <c r="F3" s="1156"/>
      <c r="I3" s="613"/>
    </row>
    <row r="5" spans="1:13" x14ac:dyDescent="0.35">
      <c r="A5" s="1339" t="s">
        <v>1</v>
      </c>
      <c r="B5" s="1339" t="s">
        <v>319</v>
      </c>
      <c r="C5" s="176"/>
      <c r="D5" s="1341" t="s">
        <v>706</v>
      </c>
      <c r="E5" s="1342"/>
      <c r="F5" s="1342"/>
      <c r="G5" s="1342"/>
      <c r="H5" s="1342"/>
      <c r="I5" s="1342"/>
      <c r="J5" s="1342"/>
      <c r="K5" s="1342"/>
      <c r="L5" s="1342"/>
      <c r="M5" s="1342"/>
    </row>
    <row r="6" spans="1:13" ht="43.5" x14ac:dyDescent="0.35">
      <c r="A6" s="1340"/>
      <c r="B6" s="1340"/>
      <c r="C6" s="440"/>
      <c r="D6" s="502" t="s">
        <v>826</v>
      </c>
      <c r="E6" s="502" t="s">
        <v>827</v>
      </c>
      <c r="F6" s="446" t="s">
        <v>812</v>
      </c>
      <c r="G6" s="446" t="s">
        <v>871</v>
      </c>
      <c r="H6" s="446" t="s">
        <v>872</v>
      </c>
      <c r="I6" s="446" t="s">
        <v>870</v>
      </c>
      <c r="J6" s="1045" t="s">
        <v>901</v>
      </c>
      <c r="K6" s="1045" t="s">
        <v>1110</v>
      </c>
      <c r="L6" s="1045" t="s">
        <v>679</v>
      </c>
      <c r="M6" s="1045" t="s">
        <v>673</v>
      </c>
    </row>
    <row r="7" spans="1:13" s="532" customFormat="1" x14ac:dyDescent="0.35">
      <c r="A7" s="887"/>
      <c r="B7" s="1345" t="s">
        <v>1117</v>
      </c>
      <c r="C7" s="1346"/>
      <c r="D7" s="502"/>
      <c r="E7" s="502"/>
      <c r="F7" s="889"/>
      <c r="G7" s="889"/>
      <c r="H7" s="889"/>
      <c r="I7" s="889"/>
      <c r="J7" s="1045">
        <f>SUM(J8:J10)</f>
        <v>500000</v>
      </c>
      <c r="K7" s="1045">
        <f t="shared" ref="K7:M7" si="0">SUM(K8:K10)</f>
        <v>4026720</v>
      </c>
      <c r="L7" s="1045">
        <f t="shared" si="0"/>
        <v>4526720</v>
      </c>
      <c r="M7" s="1045">
        <f t="shared" si="0"/>
        <v>4526720</v>
      </c>
    </row>
    <row r="8" spans="1:13" s="532" customFormat="1" x14ac:dyDescent="0.35">
      <c r="A8" s="887"/>
      <c r="B8" s="1345" t="s">
        <v>1115</v>
      </c>
      <c r="C8" s="1346"/>
      <c r="D8" s="502"/>
      <c r="E8" s="502"/>
      <c r="F8" s="889"/>
      <c r="G8" s="889"/>
      <c r="H8" s="889"/>
      <c r="I8" s="889"/>
      <c r="J8" s="1045">
        <v>500000</v>
      </c>
      <c r="K8" s="519">
        <f>M8-J8</f>
        <v>-58100</v>
      </c>
      <c r="L8" s="894">
        <f>M8</f>
        <v>441900</v>
      </c>
      <c r="M8" s="1045">
        <v>441900</v>
      </c>
    </row>
    <row r="9" spans="1:13" s="532" customFormat="1" x14ac:dyDescent="0.35">
      <c r="A9" s="887"/>
      <c r="B9" s="1347" t="s">
        <v>1116</v>
      </c>
      <c r="C9" s="1348"/>
      <c r="D9" s="502"/>
      <c r="E9" s="502"/>
      <c r="F9" s="889"/>
      <c r="G9" s="889"/>
      <c r="H9" s="889"/>
      <c r="I9" s="889"/>
      <c r="J9" s="1045"/>
      <c r="K9" s="519">
        <f>M9-J9</f>
        <v>120001</v>
      </c>
      <c r="L9" s="894">
        <f>M9</f>
        <v>120001</v>
      </c>
      <c r="M9" s="1045">
        <v>120001</v>
      </c>
    </row>
    <row r="10" spans="1:13" ht="42" customHeight="1" x14ac:dyDescent="0.35">
      <c r="A10" s="427"/>
      <c r="B10" s="1343" t="s">
        <v>1114</v>
      </c>
      <c r="C10" s="1344"/>
      <c r="D10" s="497"/>
      <c r="E10" s="497"/>
      <c r="F10" s="38">
        <v>3843715</v>
      </c>
      <c r="G10" s="38">
        <v>3283719</v>
      </c>
      <c r="H10" s="38">
        <f>F10+G10</f>
        <v>7127434</v>
      </c>
      <c r="I10" s="38">
        <v>7126912</v>
      </c>
      <c r="J10" s="536"/>
      <c r="K10" s="519">
        <f>M10-J10</f>
        <v>3964819</v>
      </c>
      <c r="L10" s="894">
        <f>M10</f>
        <v>3964819</v>
      </c>
      <c r="M10" s="413">
        <f>4526720-M8-M9</f>
        <v>3964819</v>
      </c>
    </row>
    <row r="11" spans="1:13" ht="46.5" customHeight="1" x14ac:dyDescent="0.35">
      <c r="A11" s="177"/>
      <c r="B11" s="1338" t="s">
        <v>512</v>
      </c>
      <c r="C11" s="1338"/>
      <c r="D11" s="453">
        <v>1100000</v>
      </c>
      <c r="E11" s="453">
        <v>1482000</v>
      </c>
      <c r="F11" s="174">
        <f>SUM(F12:F14)</f>
        <v>1200000</v>
      </c>
      <c r="G11" s="174">
        <f>SUM(G12:G14)</f>
        <v>213000</v>
      </c>
      <c r="H11" s="174">
        <f>SUM(H12:H14)</f>
        <v>1413000</v>
      </c>
      <c r="I11" s="528">
        <f>SUM(I12:I14)</f>
        <v>1113000</v>
      </c>
      <c r="J11" s="528">
        <f>SUM(J12:J17)</f>
        <v>1200000</v>
      </c>
      <c r="K11" s="528">
        <f t="shared" ref="K11:M11" si="1">SUM(K12:K17)</f>
        <v>476240</v>
      </c>
      <c r="L11" s="528">
        <f t="shared" si="1"/>
        <v>1676240</v>
      </c>
      <c r="M11" s="528">
        <f t="shared" si="1"/>
        <v>1676240</v>
      </c>
    </row>
    <row r="12" spans="1:13" ht="26" x14ac:dyDescent="0.35">
      <c r="A12" s="175"/>
      <c r="B12" s="175"/>
      <c r="C12" s="178" t="s">
        <v>504</v>
      </c>
      <c r="D12" s="454">
        <v>500000</v>
      </c>
      <c r="E12" s="454">
        <v>574930</v>
      </c>
      <c r="F12" s="173">
        <v>500000</v>
      </c>
      <c r="G12" s="173">
        <f>I12-F12</f>
        <v>213000</v>
      </c>
      <c r="H12" s="173">
        <f t="shared" ref="H12:H42" si="2">F12+G12</f>
        <v>713000</v>
      </c>
      <c r="I12" s="173">
        <v>713000</v>
      </c>
      <c r="J12" s="774">
        <v>500000</v>
      </c>
      <c r="K12" s="400">
        <f>L12-J12</f>
        <v>100000</v>
      </c>
      <c r="L12" s="447">
        <f>M12</f>
        <v>600000</v>
      </c>
      <c r="M12" s="447">
        <v>600000</v>
      </c>
    </row>
    <row r="13" spans="1:13" x14ac:dyDescent="0.35">
      <c r="A13" s="175"/>
      <c r="B13" s="175"/>
      <c r="C13" s="178" t="s">
        <v>515</v>
      </c>
      <c r="D13" s="454">
        <v>600000</v>
      </c>
      <c r="E13" s="454">
        <v>600000</v>
      </c>
      <c r="F13" s="173">
        <v>600000</v>
      </c>
      <c r="G13" s="173"/>
      <c r="H13" s="173">
        <f t="shared" si="2"/>
        <v>600000</v>
      </c>
      <c r="I13" s="173">
        <v>400000</v>
      </c>
      <c r="J13" s="774">
        <v>600000</v>
      </c>
      <c r="K13" s="400">
        <f t="shared" ref="K13:K14" si="3">L13-J13</f>
        <v>-300000</v>
      </c>
      <c r="L13" s="447">
        <f t="shared" ref="L13:L14" si="4">M13</f>
        <v>300000</v>
      </c>
      <c r="M13" s="447">
        <v>300000</v>
      </c>
    </row>
    <row r="14" spans="1:13" ht="48.75" customHeight="1" x14ac:dyDescent="0.35">
      <c r="A14" s="175"/>
      <c r="B14" s="175"/>
      <c r="C14" s="178" t="s">
        <v>725</v>
      </c>
      <c r="D14" s="454"/>
      <c r="E14" s="454">
        <v>79070</v>
      </c>
      <c r="F14" s="173">
        <v>100000</v>
      </c>
      <c r="G14" s="173"/>
      <c r="H14" s="173">
        <f t="shared" si="2"/>
        <v>100000</v>
      </c>
      <c r="I14" s="173"/>
      <c r="J14" s="774">
        <v>100000</v>
      </c>
      <c r="K14" s="400">
        <f t="shared" si="3"/>
        <v>-100000</v>
      </c>
      <c r="L14" s="447">
        <f t="shared" si="4"/>
        <v>0</v>
      </c>
      <c r="M14" s="447"/>
    </row>
    <row r="15" spans="1:13" s="532" customFormat="1" ht="48.75" customHeight="1" x14ac:dyDescent="0.35">
      <c r="A15" s="175"/>
      <c r="B15" s="175"/>
      <c r="C15" s="178" t="s">
        <v>1111</v>
      </c>
      <c r="D15" s="454"/>
      <c r="E15" s="454"/>
      <c r="F15" s="173"/>
      <c r="G15" s="173"/>
      <c r="H15" s="173"/>
      <c r="I15" s="173"/>
      <c r="J15" s="774"/>
      <c r="K15" s="400">
        <f>L15-J15</f>
        <v>108914</v>
      </c>
      <c r="L15" s="447">
        <f>M15</f>
        <v>108914</v>
      </c>
      <c r="M15" s="447">
        <v>108914</v>
      </c>
    </row>
    <row r="16" spans="1:13" s="532" customFormat="1" ht="48.75" customHeight="1" x14ac:dyDescent="0.35">
      <c r="A16" s="175"/>
      <c r="B16" s="175"/>
      <c r="C16" s="178" t="s">
        <v>1112</v>
      </c>
      <c r="D16" s="454"/>
      <c r="E16" s="454"/>
      <c r="F16" s="173"/>
      <c r="G16" s="173"/>
      <c r="H16" s="173"/>
      <c r="I16" s="173"/>
      <c r="J16" s="774"/>
      <c r="K16" s="400">
        <f>L16-J16</f>
        <v>458826</v>
      </c>
      <c r="L16" s="447">
        <f>M16</f>
        <v>458826</v>
      </c>
      <c r="M16" s="447">
        <v>458826</v>
      </c>
    </row>
    <row r="17" spans="1:13" s="532" customFormat="1" ht="48.75" customHeight="1" x14ac:dyDescent="0.35">
      <c r="A17" s="175"/>
      <c r="B17" s="175"/>
      <c r="C17" s="178" t="s">
        <v>1113</v>
      </c>
      <c r="D17" s="454"/>
      <c r="E17" s="454"/>
      <c r="F17" s="173"/>
      <c r="G17" s="173"/>
      <c r="H17" s="173"/>
      <c r="I17" s="173"/>
      <c r="J17" s="774"/>
      <c r="K17" s="400">
        <f>L17-J17</f>
        <v>208500</v>
      </c>
      <c r="L17" s="447">
        <f>M17</f>
        <v>208500</v>
      </c>
      <c r="M17" s="447">
        <v>208500</v>
      </c>
    </row>
    <row r="18" spans="1:13" ht="49.5" customHeight="1" x14ac:dyDescent="0.35">
      <c r="A18" s="175" t="s">
        <v>505</v>
      </c>
      <c r="B18" s="1338" t="s">
        <v>513</v>
      </c>
      <c r="C18" s="1338"/>
      <c r="D18" s="453">
        <v>25670000</v>
      </c>
      <c r="E18" s="453">
        <v>25313000</v>
      </c>
      <c r="F18" s="174">
        <f>SUM(F19:F42)</f>
        <v>24470000</v>
      </c>
      <c r="G18" s="174">
        <f>SUM(G19:G23,G38:G42)</f>
        <v>-138461</v>
      </c>
      <c r="H18" s="174">
        <f>SUM(H19:H23,H38:H42)</f>
        <v>24331539</v>
      </c>
      <c r="I18" s="528">
        <f>SUM(I19:I23,I39,I41,J42,I38)</f>
        <v>24085073</v>
      </c>
      <c r="J18" s="528">
        <f>SUM(J19:J23,J39,J41,J38,J42,J40)</f>
        <v>23586774</v>
      </c>
      <c r="K18" s="528">
        <f>SUM(K19:K23,K39,K41,K38,K42,K40)</f>
        <v>-8818199</v>
      </c>
      <c r="L18" s="528">
        <f>SUM(L19:L23,L39,L41,L38,L42,L40)</f>
        <v>14768575</v>
      </c>
      <c r="M18" s="528">
        <f>SUM(M19:M23,M39,M41,M38,M42,M40)</f>
        <v>14768575</v>
      </c>
    </row>
    <row r="19" spans="1:13" ht="26" x14ac:dyDescent="0.35">
      <c r="A19" s="175" t="s">
        <v>506</v>
      </c>
      <c r="B19" s="175"/>
      <c r="C19" s="178" t="s">
        <v>976</v>
      </c>
      <c r="D19" s="454">
        <v>3490000</v>
      </c>
      <c r="E19" s="454">
        <v>3490000</v>
      </c>
      <c r="F19" s="173">
        <v>3490000</v>
      </c>
      <c r="G19" s="173">
        <v>250900</v>
      </c>
      <c r="H19" s="173">
        <f t="shared" si="2"/>
        <v>3740900</v>
      </c>
      <c r="I19" s="173">
        <f>2419900+1321000</f>
        <v>3740900</v>
      </c>
      <c r="J19" s="774">
        <f>2691750+200000-840000</f>
        <v>2051750</v>
      </c>
      <c r="K19" s="400">
        <f>L19-J19</f>
        <v>419250</v>
      </c>
      <c r="L19" s="447">
        <f>M19</f>
        <v>2471000</v>
      </c>
      <c r="M19" s="826">
        <v>2471000</v>
      </c>
    </row>
    <row r="20" spans="1:13" x14ac:dyDescent="0.35">
      <c r="A20" s="175" t="s">
        <v>507</v>
      </c>
      <c r="B20" s="175"/>
      <c r="C20" s="178" t="s">
        <v>508</v>
      </c>
      <c r="D20" s="454">
        <v>6427000</v>
      </c>
      <c r="E20" s="454">
        <v>6427000</v>
      </c>
      <c r="F20" s="173">
        <v>6427000</v>
      </c>
      <c r="G20" s="173">
        <v>-176361</v>
      </c>
      <c r="H20" s="173">
        <f t="shared" si="2"/>
        <v>6250639</v>
      </c>
      <c r="I20" s="173">
        <v>5535300</v>
      </c>
      <c r="J20" s="774">
        <v>6427000</v>
      </c>
      <c r="K20" s="400">
        <f>L20-J20</f>
        <v>0</v>
      </c>
      <c r="L20" s="447">
        <f>M20</f>
        <v>6427000</v>
      </c>
      <c r="M20" s="826">
        <v>6427000</v>
      </c>
    </row>
    <row r="21" spans="1:13" ht="26" x14ac:dyDescent="0.35">
      <c r="A21" s="175"/>
      <c r="B21" s="175"/>
      <c r="C21" s="178" t="s">
        <v>565</v>
      </c>
      <c r="D21" s="454">
        <v>1500000</v>
      </c>
      <c r="E21" s="454">
        <v>1420930</v>
      </c>
      <c r="F21" s="173">
        <v>500000</v>
      </c>
      <c r="G21" s="173"/>
      <c r="H21" s="173">
        <f t="shared" si="2"/>
        <v>500000</v>
      </c>
      <c r="I21" s="173"/>
      <c r="J21" s="774">
        <v>0</v>
      </c>
      <c r="K21" s="400">
        <f t="shared" ref="K21:K42" si="5">L21-J21</f>
        <v>0</v>
      </c>
      <c r="L21" s="447">
        <f t="shared" ref="L21:L42" si="6">M21</f>
        <v>0</v>
      </c>
      <c r="M21" s="447"/>
    </row>
    <row r="22" spans="1:13" x14ac:dyDescent="0.35">
      <c r="A22" s="175"/>
      <c r="B22" s="175"/>
      <c r="C22" s="178" t="s">
        <v>566</v>
      </c>
      <c r="D22" s="454">
        <v>500000</v>
      </c>
      <c r="E22" s="454">
        <v>500000</v>
      </c>
      <c r="F22" s="173">
        <v>500000</v>
      </c>
      <c r="G22" s="173"/>
      <c r="H22" s="173">
        <f t="shared" si="2"/>
        <v>500000</v>
      </c>
      <c r="I22" s="173"/>
      <c r="J22" s="774">
        <v>0</v>
      </c>
      <c r="K22" s="400">
        <f t="shared" si="5"/>
        <v>0</v>
      </c>
      <c r="L22" s="447">
        <f t="shared" si="6"/>
        <v>0</v>
      </c>
      <c r="M22" s="447"/>
    </row>
    <row r="23" spans="1:13" ht="26.25" customHeight="1" x14ac:dyDescent="0.35">
      <c r="A23" s="175" t="s">
        <v>505</v>
      </c>
      <c r="B23" s="1336" t="s">
        <v>509</v>
      </c>
      <c r="C23" s="1337"/>
      <c r="D23" s="454">
        <v>4500000</v>
      </c>
      <c r="E23" s="454">
        <v>4835000</v>
      </c>
      <c r="F23" s="173">
        <v>4500000</v>
      </c>
      <c r="G23" s="173">
        <f>SUM(G24:G37)</f>
        <v>5139956</v>
      </c>
      <c r="H23" s="173">
        <f>SUM(H24:H37)</f>
        <v>9639956</v>
      </c>
      <c r="I23" s="173">
        <f>SUM(I24:I37)</f>
        <v>8100849</v>
      </c>
      <c r="J23" s="774">
        <v>4500000</v>
      </c>
      <c r="K23" s="400">
        <f t="shared" si="5"/>
        <v>1370575</v>
      </c>
      <c r="L23" s="447">
        <f t="shared" si="6"/>
        <v>5870575</v>
      </c>
      <c r="M23" s="447">
        <f>SUM(M24:M37)</f>
        <v>5870575</v>
      </c>
    </row>
    <row r="24" spans="1:13" ht="28.5" customHeight="1" x14ac:dyDescent="0.35">
      <c r="A24" s="175"/>
      <c r="B24" s="175"/>
      <c r="C24" s="424" t="s">
        <v>799</v>
      </c>
      <c r="D24" s="424"/>
      <c r="E24" s="424"/>
      <c r="F24" s="173"/>
      <c r="G24" s="173">
        <v>1900000</v>
      </c>
      <c r="H24" s="173">
        <f t="shared" si="2"/>
        <v>1900000</v>
      </c>
      <c r="I24" s="173">
        <v>1310259</v>
      </c>
      <c r="J24" s="774"/>
      <c r="K24" s="400">
        <f t="shared" si="5"/>
        <v>2598388</v>
      </c>
      <c r="L24" s="447">
        <f t="shared" si="6"/>
        <v>2598388</v>
      </c>
      <c r="M24" s="447">
        <v>2598388</v>
      </c>
    </row>
    <row r="25" spans="1:13" ht="15" customHeight="1" x14ac:dyDescent="0.35">
      <c r="A25" s="175"/>
      <c r="B25" s="175"/>
      <c r="C25" s="424" t="s">
        <v>717</v>
      </c>
      <c r="D25" s="424"/>
      <c r="E25" s="424"/>
      <c r="F25" s="173"/>
      <c r="G25" s="173">
        <v>620000</v>
      </c>
      <c r="H25" s="173">
        <f t="shared" si="2"/>
        <v>620000</v>
      </c>
      <c r="I25" s="173">
        <v>516668</v>
      </c>
      <c r="J25" s="774"/>
      <c r="K25" s="400">
        <f t="shared" si="5"/>
        <v>352000</v>
      </c>
      <c r="L25" s="447">
        <f t="shared" si="6"/>
        <v>352000</v>
      </c>
      <c r="M25" s="447">
        <v>352000</v>
      </c>
    </row>
    <row r="26" spans="1:13" x14ac:dyDescent="0.35">
      <c r="A26" s="175"/>
      <c r="B26" s="175"/>
      <c r="C26" s="424" t="s">
        <v>718</v>
      </c>
      <c r="D26" s="424"/>
      <c r="E26" s="424"/>
      <c r="F26" s="173"/>
      <c r="G26" s="173">
        <v>240000</v>
      </c>
      <c r="H26" s="173">
        <f t="shared" si="2"/>
        <v>240000</v>
      </c>
      <c r="I26" s="173">
        <v>24000</v>
      </c>
      <c r="J26" s="774"/>
      <c r="K26" s="400">
        <f t="shared" si="5"/>
        <v>120000</v>
      </c>
      <c r="L26" s="447">
        <f t="shared" si="6"/>
        <v>120000</v>
      </c>
      <c r="M26" s="447">
        <v>120000</v>
      </c>
    </row>
    <row r="27" spans="1:13" x14ac:dyDescent="0.35">
      <c r="A27" s="175"/>
      <c r="B27" s="175"/>
      <c r="C27" s="424" t="s">
        <v>719</v>
      </c>
      <c r="D27" s="424"/>
      <c r="E27" s="424"/>
      <c r="F27" s="173"/>
      <c r="G27" s="173">
        <v>665000</v>
      </c>
      <c r="H27" s="173">
        <f t="shared" si="2"/>
        <v>665000</v>
      </c>
      <c r="I27" s="173">
        <v>554166</v>
      </c>
      <c r="J27" s="774"/>
      <c r="K27" s="400">
        <f t="shared" si="5"/>
        <v>340000</v>
      </c>
      <c r="L27" s="447">
        <f t="shared" si="6"/>
        <v>340000</v>
      </c>
      <c r="M27" s="447">
        <v>340000</v>
      </c>
    </row>
    <row r="28" spans="1:13" x14ac:dyDescent="0.35">
      <c r="A28" s="175"/>
      <c r="B28" s="175"/>
      <c r="C28" s="424" t="s">
        <v>720</v>
      </c>
      <c r="D28" s="424"/>
      <c r="E28" s="424"/>
      <c r="F28" s="173"/>
      <c r="G28" s="173">
        <v>550000</v>
      </c>
      <c r="H28" s="173">
        <f t="shared" si="2"/>
        <v>550000</v>
      </c>
      <c r="I28" s="173">
        <v>455000</v>
      </c>
      <c r="J28" s="774"/>
      <c r="K28" s="400">
        <f t="shared" si="5"/>
        <v>1537000</v>
      </c>
      <c r="L28" s="447">
        <f t="shared" si="6"/>
        <v>1537000</v>
      </c>
      <c r="M28" s="1046">
        <v>1537000</v>
      </c>
    </row>
    <row r="29" spans="1:13" ht="26" x14ac:dyDescent="0.35">
      <c r="A29" s="175"/>
      <c r="B29" s="175"/>
      <c r="C29" s="424" t="s">
        <v>896</v>
      </c>
      <c r="D29" s="424"/>
      <c r="E29" s="424"/>
      <c r="F29" s="173"/>
      <c r="G29" s="173">
        <v>190000</v>
      </c>
      <c r="H29" s="173">
        <f t="shared" si="2"/>
        <v>190000</v>
      </c>
      <c r="I29" s="173">
        <v>190000</v>
      </c>
      <c r="J29" s="774"/>
      <c r="K29" s="400">
        <f t="shared" si="5"/>
        <v>0</v>
      </c>
      <c r="L29" s="447">
        <f t="shared" si="6"/>
        <v>0</v>
      </c>
      <c r="M29" s="447"/>
    </row>
    <row r="30" spans="1:13" x14ac:dyDescent="0.35">
      <c r="A30" s="175"/>
      <c r="B30" s="175"/>
      <c r="C30" s="424" t="s">
        <v>721</v>
      </c>
      <c r="D30" s="424"/>
      <c r="E30" s="424"/>
      <c r="F30" s="173"/>
      <c r="G30" s="173">
        <v>140000</v>
      </c>
      <c r="H30" s="173">
        <f t="shared" si="2"/>
        <v>140000</v>
      </c>
      <c r="I30" s="173">
        <v>140000</v>
      </c>
      <c r="J30" s="774"/>
      <c r="K30" s="400">
        <f t="shared" si="5"/>
        <v>250000</v>
      </c>
      <c r="L30" s="447">
        <f t="shared" si="6"/>
        <v>250000</v>
      </c>
      <c r="M30" s="1046">
        <v>250000</v>
      </c>
    </row>
    <row r="31" spans="1:13" x14ac:dyDescent="0.35">
      <c r="A31" s="175"/>
      <c r="B31" s="175"/>
      <c r="C31" s="424" t="s">
        <v>722</v>
      </c>
      <c r="D31" s="424"/>
      <c r="E31" s="424"/>
      <c r="F31" s="173"/>
      <c r="G31" s="173">
        <v>50000</v>
      </c>
      <c r="H31" s="173">
        <f t="shared" si="2"/>
        <v>50000</v>
      </c>
      <c r="I31" s="173">
        <v>50000</v>
      </c>
      <c r="J31" s="774"/>
      <c r="K31" s="400">
        <f t="shared" si="5"/>
        <v>160100</v>
      </c>
      <c r="L31" s="447">
        <f t="shared" si="6"/>
        <v>160100</v>
      </c>
      <c r="M31" s="447">
        <v>160100</v>
      </c>
    </row>
    <row r="32" spans="1:13" ht="26" x14ac:dyDescent="0.35">
      <c r="A32" s="175"/>
      <c r="B32" s="175"/>
      <c r="C32" s="425" t="s">
        <v>723</v>
      </c>
      <c r="D32" s="425"/>
      <c r="E32" s="425"/>
      <c r="F32" s="173"/>
      <c r="G32" s="173">
        <v>20000</v>
      </c>
      <c r="H32" s="173">
        <f t="shared" si="2"/>
        <v>20000</v>
      </c>
      <c r="I32" s="173">
        <v>20000</v>
      </c>
      <c r="J32" s="774"/>
      <c r="K32" s="400">
        <f t="shared" si="5"/>
        <v>20000</v>
      </c>
      <c r="L32" s="447">
        <f t="shared" si="6"/>
        <v>20000</v>
      </c>
      <c r="M32" s="1046">
        <v>20000</v>
      </c>
    </row>
    <row r="33" spans="1:13" x14ac:dyDescent="0.35">
      <c r="A33" s="175"/>
      <c r="B33" s="175"/>
      <c r="C33" s="178" t="s">
        <v>857</v>
      </c>
      <c r="D33" s="178"/>
      <c r="E33" s="178"/>
      <c r="F33" s="173"/>
      <c r="G33" s="173">
        <v>14375</v>
      </c>
      <c r="H33" s="173">
        <f t="shared" si="2"/>
        <v>14375</v>
      </c>
      <c r="I33" s="173">
        <v>14375</v>
      </c>
      <c r="J33" s="774"/>
      <c r="K33" s="400">
        <f t="shared" si="5"/>
        <v>0</v>
      </c>
      <c r="L33" s="447">
        <f t="shared" si="6"/>
        <v>0</v>
      </c>
      <c r="M33" s="447"/>
    </row>
    <row r="34" spans="1:13" ht="26" x14ac:dyDescent="0.35">
      <c r="A34" s="175"/>
      <c r="B34" s="439"/>
      <c r="C34" s="501" t="s">
        <v>856</v>
      </c>
      <c r="D34" s="178"/>
      <c r="E34" s="178"/>
      <c r="F34" s="173"/>
      <c r="G34" s="173">
        <v>100000</v>
      </c>
      <c r="H34" s="173">
        <f t="shared" si="2"/>
        <v>100000</v>
      </c>
      <c r="I34" s="173">
        <v>451600</v>
      </c>
      <c r="J34" s="774"/>
      <c r="K34" s="400">
        <f t="shared" si="5"/>
        <v>50000</v>
      </c>
      <c r="L34" s="447">
        <f t="shared" si="6"/>
        <v>50000</v>
      </c>
      <c r="M34" s="447">
        <v>50000</v>
      </c>
    </row>
    <row r="35" spans="1:13" x14ac:dyDescent="0.35">
      <c r="A35" s="175"/>
      <c r="B35" s="439"/>
      <c r="C35" s="526" t="s">
        <v>882</v>
      </c>
      <c r="D35" s="178"/>
      <c r="E35" s="178"/>
      <c r="F35" s="173"/>
      <c r="G35" s="173">
        <v>983200</v>
      </c>
      <c r="H35" s="173">
        <f t="shared" si="2"/>
        <v>983200</v>
      </c>
      <c r="I35" s="173">
        <v>983200</v>
      </c>
      <c r="J35" s="774"/>
      <c r="K35" s="400">
        <f t="shared" si="5"/>
        <v>0</v>
      </c>
      <c r="L35" s="447">
        <f t="shared" si="6"/>
        <v>0</v>
      </c>
      <c r="M35" s="447"/>
    </row>
    <row r="36" spans="1:13" s="532" customFormat="1" ht="26" x14ac:dyDescent="0.35">
      <c r="A36" s="175"/>
      <c r="B36" s="439"/>
      <c r="C36" s="886" t="s">
        <v>1118</v>
      </c>
      <c r="D36" s="178"/>
      <c r="E36" s="178"/>
      <c r="F36" s="173"/>
      <c r="G36" s="173"/>
      <c r="H36" s="173"/>
      <c r="I36" s="173"/>
      <c r="J36" s="774"/>
      <c r="K36" s="400"/>
      <c r="L36" s="447"/>
      <c r="M36" s="447">
        <v>443087</v>
      </c>
    </row>
    <row r="37" spans="1:13" s="532" customFormat="1" ht="26" x14ac:dyDescent="0.35">
      <c r="A37" s="175"/>
      <c r="B37" s="439"/>
      <c r="C37" s="533" t="s">
        <v>895</v>
      </c>
      <c r="D37" s="178"/>
      <c r="E37" s="178"/>
      <c r="F37" s="173"/>
      <c r="G37" s="173">
        <f>+-3600849+639956+2628274</f>
        <v>-332619</v>
      </c>
      <c r="H37" s="173">
        <f>1539107+2628274</f>
        <v>4167381</v>
      </c>
      <c r="I37" s="173">
        <v>3391581</v>
      </c>
      <c r="J37" s="774"/>
      <c r="K37" s="400">
        <f t="shared" si="5"/>
        <v>0</v>
      </c>
      <c r="L37" s="447">
        <f t="shared" si="6"/>
        <v>0</v>
      </c>
      <c r="M37" s="447"/>
    </row>
    <row r="38" spans="1:13" x14ac:dyDescent="0.35">
      <c r="A38" s="175"/>
      <c r="B38" s="439" t="s">
        <v>462</v>
      </c>
      <c r="C38" s="430"/>
      <c r="D38" s="178"/>
      <c r="E38" s="178"/>
      <c r="F38" s="173">
        <v>1200000</v>
      </c>
      <c r="G38" s="173"/>
      <c r="H38" s="173">
        <f t="shared" si="2"/>
        <v>1200000</v>
      </c>
      <c r="I38" s="173">
        <v>1200000</v>
      </c>
      <c r="J38" s="774">
        <v>1200000</v>
      </c>
      <c r="K38" s="400">
        <f t="shared" si="5"/>
        <v>-1200000</v>
      </c>
      <c r="L38" s="447">
        <f t="shared" si="6"/>
        <v>0</v>
      </c>
      <c r="M38" s="447"/>
    </row>
    <row r="39" spans="1:13" ht="26.25" customHeight="1" x14ac:dyDescent="0.35">
      <c r="A39" s="177" t="s">
        <v>505</v>
      </c>
      <c r="B39" s="1336" t="s">
        <v>510</v>
      </c>
      <c r="C39" s="1337"/>
      <c r="D39" s="509">
        <v>2500000</v>
      </c>
      <c r="E39" s="509">
        <v>2500000</v>
      </c>
      <c r="F39" s="173">
        <v>2500000</v>
      </c>
      <c r="G39" s="173"/>
      <c r="H39" s="173">
        <f t="shared" si="2"/>
        <v>2500000</v>
      </c>
      <c r="I39" s="173"/>
      <c r="J39" s="774">
        <v>2500000</v>
      </c>
      <c r="K39" s="400">
        <f t="shared" si="5"/>
        <v>-2500000</v>
      </c>
      <c r="L39" s="447">
        <f t="shared" si="6"/>
        <v>0</v>
      </c>
      <c r="M39" s="447"/>
    </row>
    <row r="40" spans="1:13" s="532" customFormat="1" ht="26.25" customHeight="1" x14ac:dyDescent="0.35">
      <c r="A40" s="177"/>
      <c r="B40" s="738" t="s">
        <v>992</v>
      </c>
      <c r="C40" s="739"/>
      <c r="D40" s="509"/>
      <c r="E40" s="509"/>
      <c r="F40" s="173"/>
      <c r="G40" s="173"/>
      <c r="H40" s="173"/>
      <c r="I40" s="173"/>
      <c r="J40" s="774">
        <v>400000</v>
      </c>
      <c r="K40" s="400">
        <f t="shared" si="5"/>
        <v>-400000</v>
      </c>
      <c r="L40" s="447">
        <f t="shared" si="6"/>
        <v>0</v>
      </c>
      <c r="M40" s="447"/>
    </row>
    <row r="41" spans="1:13" ht="28.5" customHeight="1" x14ac:dyDescent="0.35">
      <c r="A41" s="177" t="s">
        <v>505</v>
      </c>
      <c r="B41" s="1336" t="s">
        <v>897</v>
      </c>
      <c r="C41" s="1337"/>
      <c r="D41" s="509">
        <v>1500000</v>
      </c>
      <c r="E41" s="509">
        <v>887070</v>
      </c>
      <c r="F41" s="173">
        <v>100000</v>
      </c>
      <c r="G41" s="173">
        <v>-100000</v>
      </c>
      <c r="H41" s="173">
        <f t="shared" si="2"/>
        <v>0</v>
      </c>
      <c r="I41" s="173"/>
      <c r="J41" s="774">
        <v>1000000</v>
      </c>
      <c r="K41" s="400">
        <f t="shared" si="5"/>
        <v>-1000000</v>
      </c>
      <c r="L41" s="447">
        <f t="shared" si="6"/>
        <v>0</v>
      </c>
      <c r="M41" s="447"/>
    </row>
    <row r="42" spans="1:13" x14ac:dyDescent="0.35">
      <c r="A42" s="175" t="s">
        <v>505</v>
      </c>
      <c r="B42" s="1336" t="s">
        <v>511</v>
      </c>
      <c r="C42" s="1337"/>
      <c r="D42" s="509">
        <v>5253000</v>
      </c>
      <c r="E42" s="509">
        <v>5253000</v>
      </c>
      <c r="F42" s="173">
        <v>5253000</v>
      </c>
      <c r="G42" s="173">
        <v>-5252956</v>
      </c>
      <c r="H42" s="173">
        <f t="shared" si="2"/>
        <v>44</v>
      </c>
      <c r="J42" s="774">
        <v>5508024</v>
      </c>
      <c r="K42" s="400">
        <f t="shared" si="5"/>
        <v>-5508024</v>
      </c>
      <c r="L42" s="447">
        <f t="shared" si="6"/>
        <v>0</v>
      </c>
      <c r="M42" s="447"/>
    </row>
    <row r="43" spans="1:13" s="530" customFormat="1" x14ac:dyDescent="0.35">
      <c r="A43" s="1266" t="s">
        <v>514</v>
      </c>
      <c r="B43" s="1266"/>
      <c r="C43" s="1266"/>
      <c r="D43" s="616">
        <f t="shared" ref="D43:I43" si="7">D18+D11+D10</f>
        <v>26770000</v>
      </c>
      <c r="E43" s="616">
        <f t="shared" si="7"/>
        <v>26795000</v>
      </c>
      <c r="F43" s="617">
        <f t="shared" si="7"/>
        <v>29513715</v>
      </c>
      <c r="G43" s="617">
        <f t="shared" si="7"/>
        <v>3358258</v>
      </c>
      <c r="H43" s="617">
        <f t="shared" si="7"/>
        <v>32871973</v>
      </c>
      <c r="I43" s="617">
        <f t="shared" si="7"/>
        <v>32324985</v>
      </c>
      <c r="J43" s="775">
        <f>SUM(J7,J11,J18)</f>
        <v>25286774</v>
      </c>
      <c r="K43" s="775">
        <f>SUM(K7,K11,K18)</f>
        <v>-4315239</v>
      </c>
      <c r="L43" s="775">
        <f>SUM(L7,L11,L18)</f>
        <v>20971535</v>
      </c>
      <c r="M43" s="1047">
        <f>SUM(M7,M11,M18)</f>
        <v>20971535</v>
      </c>
    </row>
    <row r="44" spans="1:13" x14ac:dyDescent="0.35">
      <c r="G44">
        <v>3358258</v>
      </c>
      <c r="H44">
        <v>32871973</v>
      </c>
      <c r="I44" s="456">
        <v>26816961</v>
      </c>
      <c r="J44" s="772"/>
    </row>
    <row r="45" spans="1:13" x14ac:dyDescent="0.35">
      <c r="G45" s="184">
        <f>G44-G43</f>
        <v>0</v>
      </c>
      <c r="H45" s="184">
        <f t="shared" ref="H45:I45" si="8">H44-H43</f>
        <v>0</v>
      </c>
      <c r="I45" s="184">
        <f t="shared" si="8"/>
        <v>-5508024</v>
      </c>
      <c r="J45" s="773"/>
    </row>
  </sheetData>
  <mergeCells count="15">
    <mergeCell ref="A3:F3"/>
    <mergeCell ref="A43:C43"/>
    <mergeCell ref="B23:C23"/>
    <mergeCell ref="B39:C39"/>
    <mergeCell ref="B41:C41"/>
    <mergeCell ref="B42:C42"/>
    <mergeCell ref="B11:C11"/>
    <mergeCell ref="B18:C18"/>
    <mergeCell ref="A5:A6"/>
    <mergeCell ref="B5:B6"/>
    <mergeCell ref="D5:M5"/>
    <mergeCell ref="B10:C10"/>
    <mergeCell ref="B8:C8"/>
    <mergeCell ref="B9:C9"/>
    <mergeCell ref="B7:C7"/>
  </mergeCells>
  <pageMargins left="0.70866141732283472" right="0.70866141732283472" top="0.74803149606299213" bottom="0.74803149606299213" header="0.31496062992125984" footer="0.31496062992125984"/>
  <pageSetup paperSize="8" scale="4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39997558519241921"/>
    <pageSetUpPr fitToPage="1"/>
  </sheetPr>
  <dimension ref="A1:P80"/>
  <sheetViews>
    <sheetView view="pageBreakPreview" zoomScale="90" zoomScaleNormal="100" zoomScaleSheetLayoutView="90" workbookViewId="0">
      <selection sqref="A1:E1"/>
    </sheetView>
  </sheetViews>
  <sheetFormatPr defaultRowHeight="14.5" x14ac:dyDescent="0.35"/>
  <cols>
    <col min="1" max="1" width="57.7265625" customWidth="1"/>
    <col min="2" max="2" width="8" customWidth="1"/>
    <col min="3" max="3" width="27.7265625" style="456" hidden="1" customWidth="1"/>
    <col min="4" max="4" width="19.26953125" style="456" hidden="1" customWidth="1"/>
    <col min="5" max="5" width="16.81640625" style="512" hidden="1" customWidth="1"/>
    <col min="6" max="7" width="16.7265625" style="456" hidden="1" customWidth="1"/>
    <col min="8" max="8" width="15" style="456" hidden="1" customWidth="1"/>
    <col min="9" max="9" width="15.453125" style="269" customWidth="1"/>
    <col min="10" max="10" width="17.26953125" hidden="1" customWidth="1"/>
    <col min="11" max="11" width="16.1796875" bestFit="1" customWidth="1"/>
    <col min="12" max="12" width="15.54296875" customWidth="1"/>
    <col min="14" max="14" width="10.453125" bestFit="1" customWidth="1"/>
    <col min="15" max="15" width="17.1796875" customWidth="1"/>
    <col min="16" max="16" width="11.54296875" bestFit="1" customWidth="1"/>
  </cols>
  <sheetData>
    <row r="1" spans="1:12" x14ac:dyDescent="0.35">
      <c r="A1" s="1268" t="s">
        <v>558</v>
      </c>
      <c r="B1" s="1268"/>
      <c r="C1" s="1268"/>
      <c r="D1" s="1268"/>
      <c r="E1" s="1268"/>
    </row>
    <row r="2" spans="1:12" x14ac:dyDescent="0.35">
      <c r="A2" s="15"/>
      <c r="B2" s="15"/>
      <c r="C2" s="455"/>
      <c r="D2" s="455"/>
    </row>
    <row r="3" spans="1:12" ht="15" customHeight="1" x14ac:dyDescent="0.35">
      <c r="A3" s="1269" t="s">
        <v>517</v>
      </c>
      <c r="B3" s="1269"/>
      <c r="C3" s="1269"/>
      <c r="D3" s="1269"/>
      <c r="E3" s="1269"/>
      <c r="F3" s="1269"/>
      <c r="G3" s="1269"/>
      <c r="H3" s="1269"/>
      <c r="I3" s="1269"/>
      <c r="J3" s="1269"/>
    </row>
    <row r="4" spans="1:12" x14ac:dyDescent="0.35">
      <c r="A4" s="1269"/>
      <c r="B4" s="1269"/>
      <c r="C4" s="1269"/>
      <c r="D4" s="1269"/>
      <c r="E4" s="1269"/>
      <c r="F4" s="1269"/>
      <c r="G4" s="1269"/>
      <c r="H4" s="1269"/>
      <c r="I4" s="1269"/>
      <c r="J4" s="1269"/>
    </row>
    <row r="6" spans="1:12" ht="43.5" x14ac:dyDescent="0.35">
      <c r="A6" s="510" t="s">
        <v>2</v>
      </c>
      <c r="B6" s="510" t="s">
        <v>3</v>
      </c>
      <c r="C6" s="511" t="s">
        <v>839</v>
      </c>
      <c r="D6" s="511" t="s">
        <v>687</v>
      </c>
      <c r="E6" s="511" t="s">
        <v>800</v>
      </c>
      <c r="F6" s="527" t="s">
        <v>871</v>
      </c>
      <c r="G6" s="527" t="s">
        <v>872</v>
      </c>
      <c r="H6" s="527" t="s">
        <v>870</v>
      </c>
      <c r="I6" s="1045" t="s">
        <v>901</v>
      </c>
      <c r="J6" s="1045" t="s">
        <v>1110</v>
      </c>
      <c r="K6" s="1045" t="s">
        <v>679</v>
      </c>
      <c r="L6" s="1045" t="s">
        <v>673</v>
      </c>
    </row>
    <row r="7" spans="1:12" ht="41.25" hidden="1" customHeight="1" x14ac:dyDescent="0.35">
      <c r="A7" s="333" t="s">
        <v>120</v>
      </c>
      <c r="B7" s="117" t="s">
        <v>121</v>
      </c>
      <c r="C7" s="457">
        <v>0</v>
      </c>
      <c r="D7" s="457">
        <v>0</v>
      </c>
      <c r="E7" s="513">
        <f>SUM(E8:E8)</f>
        <v>0</v>
      </c>
      <c r="F7" s="447"/>
      <c r="G7" s="447"/>
      <c r="H7" s="447"/>
      <c r="I7" s="447"/>
      <c r="J7" s="1038"/>
      <c r="K7" s="1038"/>
      <c r="L7" s="1038"/>
    </row>
    <row r="8" spans="1:12" ht="65.25" hidden="1" customHeight="1" x14ac:dyDescent="0.35">
      <c r="A8" s="329" t="s">
        <v>320</v>
      </c>
      <c r="B8" s="81"/>
      <c r="C8" s="458"/>
      <c r="D8" s="458">
        <v>0</v>
      </c>
      <c r="E8" s="514"/>
      <c r="F8" s="447"/>
      <c r="G8" s="447"/>
      <c r="H8" s="447"/>
      <c r="I8" s="447"/>
      <c r="J8" s="1038"/>
      <c r="K8" s="1038"/>
      <c r="L8" s="1038"/>
    </row>
    <row r="9" spans="1:12" s="532" customFormat="1" ht="26" x14ac:dyDescent="0.35">
      <c r="A9" s="329" t="s">
        <v>977</v>
      </c>
      <c r="B9" s="81"/>
      <c r="C9" s="458"/>
      <c r="D9" s="458"/>
      <c r="E9" s="514"/>
      <c r="F9" s="518"/>
      <c r="G9" s="518"/>
      <c r="H9" s="518"/>
      <c r="I9" s="518">
        <v>11266299</v>
      </c>
      <c r="J9" s="890">
        <f>K9-I9</f>
        <v>890776</v>
      </c>
      <c r="K9" s="447">
        <f>L9</f>
        <v>12157075</v>
      </c>
      <c r="L9" s="447">
        <f>9947275+2209800</f>
        <v>12157075</v>
      </c>
    </row>
    <row r="10" spans="1:12" s="532" customFormat="1" x14ac:dyDescent="0.35">
      <c r="A10" s="329" t="s">
        <v>905</v>
      </c>
      <c r="B10" s="81"/>
      <c r="C10" s="458"/>
      <c r="D10" s="458"/>
      <c r="E10" s="514"/>
      <c r="F10" s="518"/>
      <c r="G10" s="518"/>
      <c r="H10" s="518"/>
      <c r="I10" s="518">
        <v>23907114</v>
      </c>
      <c r="J10" s="890">
        <f t="shared" ref="J10:J77" si="0">K10-I10</f>
        <v>-23907114</v>
      </c>
      <c r="K10" s="447">
        <f t="shared" ref="K10:K77" si="1">L10</f>
        <v>0</v>
      </c>
      <c r="L10" s="447"/>
    </row>
    <row r="11" spans="1:12" s="532" customFormat="1" x14ac:dyDescent="0.35">
      <c r="A11" s="329" t="s">
        <v>980</v>
      </c>
      <c r="B11" s="81"/>
      <c r="C11" s="458"/>
      <c r="D11" s="458"/>
      <c r="E11" s="514"/>
      <c r="F11" s="518"/>
      <c r="G11" s="518"/>
      <c r="H11" s="518"/>
      <c r="I11" s="518">
        <v>2000000</v>
      </c>
      <c r="J11" s="890">
        <f t="shared" si="0"/>
        <v>-2000000</v>
      </c>
      <c r="K11" s="447">
        <f t="shared" si="1"/>
        <v>0</v>
      </c>
      <c r="L11" s="447"/>
    </row>
    <row r="12" spans="1:12" s="532" customFormat="1" x14ac:dyDescent="0.35">
      <c r="A12" s="329" t="s">
        <v>978</v>
      </c>
      <c r="B12" s="81"/>
      <c r="C12" s="458"/>
      <c r="D12" s="458"/>
      <c r="E12" s="514"/>
      <c r="F12" s="518"/>
      <c r="G12" s="518"/>
      <c r="H12" s="518"/>
      <c r="I12" s="518">
        <v>1037906</v>
      </c>
      <c r="J12" s="890">
        <f t="shared" si="0"/>
        <v>-1037906</v>
      </c>
      <c r="K12" s="447">
        <f t="shared" si="1"/>
        <v>0</v>
      </c>
      <c r="L12" s="447"/>
    </row>
    <row r="13" spans="1:12" s="532" customFormat="1" x14ac:dyDescent="0.35">
      <c r="A13" s="329" t="s">
        <v>903</v>
      </c>
      <c r="B13" s="81"/>
      <c r="C13" s="458"/>
      <c r="D13" s="458"/>
      <c r="E13" s="514"/>
      <c r="F13" s="518"/>
      <c r="G13" s="518"/>
      <c r="H13" s="518"/>
      <c r="I13" s="518">
        <v>0</v>
      </c>
      <c r="J13" s="890">
        <f t="shared" si="0"/>
        <v>0</v>
      </c>
      <c r="K13" s="447">
        <f t="shared" si="1"/>
        <v>0</v>
      </c>
      <c r="L13" s="447"/>
    </row>
    <row r="14" spans="1:12" s="532" customFormat="1" x14ac:dyDescent="0.35">
      <c r="A14" s="329" t="s">
        <v>906</v>
      </c>
      <c r="B14" s="81"/>
      <c r="C14" s="458"/>
      <c r="D14" s="458"/>
      <c r="E14" s="514"/>
      <c r="F14" s="518"/>
      <c r="G14" s="518"/>
      <c r="H14" s="518"/>
      <c r="I14" s="518">
        <v>0</v>
      </c>
      <c r="J14" s="890">
        <f t="shared" si="0"/>
        <v>0</v>
      </c>
      <c r="K14" s="447">
        <f t="shared" si="1"/>
        <v>0</v>
      </c>
      <c r="L14" s="447"/>
    </row>
    <row r="15" spans="1:12" s="532" customFormat="1" x14ac:dyDescent="0.35">
      <c r="A15" s="329" t="s">
        <v>979</v>
      </c>
      <c r="B15" s="81"/>
      <c r="C15" s="458"/>
      <c r="D15" s="458"/>
      <c r="E15" s="514"/>
      <c r="F15" s="518"/>
      <c r="G15" s="518"/>
      <c r="H15" s="518"/>
      <c r="I15" s="518">
        <v>900000</v>
      </c>
      <c r="J15" s="890">
        <f t="shared" si="0"/>
        <v>-900000</v>
      </c>
      <c r="K15" s="447">
        <f t="shared" si="1"/>
        <v>0</v>
      </c>
      <c r="L15" s="447"/>
    </row>
    <row r="16" spans="1:12" s="532" customFormat="1" x14ac:dyDescent="0.35">
      <c r="A16" s="329" t="s">
        <v>907</v>
      </c>
      <c r="B16" s="81"/>
      <c r="C16" s="458"/>
      <c r="D16" s="458"/>
      <c r="E16" s="514"/>
      <c r="F16" s="518"/>
      <c r="G16" s="518"/>
      <c r="H16" s="518"/>
      <c r="I16" s="518">
        <v>2200000</v>
      </c>
      <c r="J16" s="890">
        <f t="shared" si="0"/>
        <v>-2200000</v>
      </c>
      <c r="K16" s="447">
        <f t="shared" si="1"/>
        <v>0</v>
      </c>
      <c r="L16" s="447"/>
    </row>
    <row r="17" spans="1:12" s="532" customFormat="1" x14ac:dyDescent="0.35">
      <c r="A17" s="329"/>
      <c r="B17" s="81"/>
      <c r="C17" s="458"/>
      <c r="D17" s="458"/>
      <c r="E17" s="514"/>
      <c r="F17" s="518"/>
      <c r="G17" s="518"/>
      <c r="H17" s="518"/>
      <c r="I17" s="518">
        <f>SUM(I9:I16)</f>
        <v>41311319</v>
      </c>
      <c r="J17" s="890">
        <f t="shared" si="0"/>
        <v>-41311319</v>
      </c>
      <c r="K17" s="447">
        <f t="shared" si="1"/>
        <v>0</v>
      </c>
      <c r="L17" s="447"/>
    </row>
    <row r="18" spans="1:12" x14ac:dyDescent="0.35">
      <c r="A18" s="333" t="s">
        <v>321</v>
      </c>
      <c r="B18" s="117" t="s">
        <v>123</v>
      </c>
      <c r="C18" s="457">
        <v>601273228</v>
      </c>
      <c r="D18" s="457">
        <v>615153300</v>
      </c>
      <c r="E18" s="513">
        <f>SUM(E19:E30,E31)</f>
        <v>486686336</v>
      </c>
      <c r="F18" s="513">
        <f t="shared" ref="F18:G18" si="2">SUM(F19:F30,F31)</f>
        <v>-106674028</v>
      </c>
      <c r="G18" s="513">
        <f t="shared" si="2"/>
        <v>380012308</v>
      </c>
      <c r="H18" s="513">
        <f>SUM(H19:H31)</f>
        <v>328335338</v>
      </c>
      <c r="I18" s="513">
        <f>SUM(I19:I31)</f>
        <v>24116649</v>
      </c>
      <c r="J18" s="890">
        <f t="shared" si="0"/>
        <v>-21621613</v>
      </c>
      <c r="K18" s="447">
        <f t="shared" si="1"/>
        <v>2495036</v>
      </c>
      <c r="L18" s="513">
        <f>SUM(L19:L31)</f>
        <v>2495036</v>
      </c>
    </row>
    <row r="19" spans="1:12" x14ac:dyDescent="0.35">
      <c r="A19" s="376" t="s">
        <v>1120</v>
      </c>
      <c r="B19" s="376"/>
      <c r="C19" s="459">
        <v>500000</v>
      </c>
      <c r="D19" s="459">
        <v>500000</v>
      </c>
      <c r="E19" s="515">
        <v>500000</v>
      </c>
      <c r="F19" s="447"/>
      <c r="G19" s="447">
        <f t="shared" ref="G19:G43" si="3">E19+F19</f>
        <v>500000</v>
      </c>
      <c r="H19" s="447"/>
      <c r="I19" s="447">
        <v>0</v>
      </c>
      <c r="J19" s="890">
        <f t="shared" si="0"/>
        <v>1270000</v>
      </c>
      <c r="K19" s="447">
        <f t="shared" si="1"/>
        <v>1270000</v>
      </c>
      <c r="L19" s="1049">
        <v>1270000</v>
      </c>
    </row>
    <row r="20" spans="1:12" s="532" customFormat="1" x14ac:dyDescent="0.35">
      <c r="A20" s="466" t="s">
        <v>1119</v>
      </c>
      <c r="B20" s="376"/>
      <c r="C20" s="459"/>
      <c r="D20" s="459"/>
      <c r="E20" s="515"/>
      <c r="F20" s="447"/>
      <c r="G20" s="447"/>
      <c r="H20" s="447"/>
      <c r="I20" s="447"/>
      <c r="J20" s="890">
        <f t="shared" si="0"/>
        <v>1225036</v>
      </c>
      <c r="K20" s="447">
        <f t="shared" si="1"/>
        <v>1225036</v>
      </c>
      <c r="L20" s="447">
        <f>798636+426400</f>
        <v>1225036</v>
      </c>
    </row>
    <row r="21" spans="1:12" x14ac:dyDescent="0.35">
      <c r="A21" s="460" t="s">
        <v>808</v>
      </c>
      <c r="B21" s="376"/>
      <c r="C21" s="459">
        <v>3500000</v>
      </c>
      <c r="D21" s="459">
        <v>17380072</v>
      </c>
      <c r="E21" s="515">
        <v>16560649</v>
      </c>
      <c r="F21" s="447"/>
      <c r="G21" s="447">
        <f t="shared" si="3"/>
        <v>16560649</v>
      </c>
      <c r="H21" s="447"/>
      <c r="I21" s="447">
        <v>16560649</v>
      </c>
      <c r="J21" s="890">
        <f t="shared" si="0"/>
        <v>-16560649</v>
      </c>
      <c r="K21" s="447">
        <f t="shared" si="1"/>
        <v>0</v>
      </c>
      <c r="L21" s="447"/>
    </row>
    <row r="22" spans="1:12" ht="26.5" x14ac:dyDescent="0.35">
      <c r="A22" s="376" t="s">
        <v>807</v>
      </c>
      <c r="B22" s="376"/>
      <c r="C22" s="459">
        <v>0</v>
      </c>
      <c r="D22" s="459">
        <v>0</v>
      </c>
      <c r="E22" s="515">
        <v>0</v>
      </c>
      <c r="F22" s="447"/>
      <c r="G22" s="447">
        <f t="shared" si="3"/>
        <v>0</v>
      </c>
      <c r="H22" s="447"/>
      <c r="I22" s="447">
        <v>0</v>
      </c>
      <c r="J22" s="890">
        <f t="shared" si="0"/>
        <v>0</v>
      </c>
      <c r="K22" s="447">
        <f t="shared" si="1"/>
        <v>0</v>
      </c>
      <c r="L22" s="447"/>
    </row>
    <row r="23" spans="1:12" x14ac:dyDescent="0.35">
      <c r="A23" s="376" t="s">
        <v>809</v>
      </c>
      <c r="B23" s="376"/>
      <c r="C23" s="447"/>
      <c r="D23" s="447"/>
      <c r="E23" s="515">
        <v>0</v>
      </c>
      <c r="F23" s="447"/>
      <c r="G23" s="447">
        <f t="shared" si="3"/>
        <v>0</v>
      </c>
      <c r="H23" s="447"/>
      <c r="I23" s="447">
        <v>0</v>
      </c>
      <c r="J23" s="890">
        <f t="shared" si="0"/>
        <v>0</v>
      </c>
      <c r="K23" s="447">
        <f t="shared" si="1"/>
        <v>0</v>
      </c>
      <c r="L23" s="447"/>
    </row>
    <row r="24" spans="1:12" x14ac:dyDescent="0.35">
      <c r="A24" s="376" t="s">
        <v>810</v>
      </c>
      <c r="B24" s="376"/>
      <c r="C24" s="447"/>
      <c r="D24" s="447"/>
      <c r="E24" s="515">
        <v>0</v>
      </c>
      <c r="F24" s="447"/>
      <c r="G24" s="447">
        <f t="shared" si="3"/>
        <v>0</v>
      </c>
      <c r="H24" s="447"/>
      <c r="I24" s="447">
        <v>0</v>
      </c>
      <c r="J24" s="890">
        <f t="shared" si="0"/>
        <v>0</v>
      </c>
      <c r="K24" s="447">
        <f t="shared" si="1"/>
        <v>0</v>
      </c>
      <c r="L24" s="447"/>
    </row>
    <row r="25" spans="1:12" x14ac:dyDescent="0.35">
      <c r="A25" s="376" t="s">
        <v>844</v>
      </c>
      <c r="B25" s="376"/>
      <c r="C25" s="459">
        <v>5000000</v>
      </c>
      <c r="D25" s="459">
        <v>5000000</v>
      </c>
      <c r="E25" s="515">
        <f>3800000*1.27</f>
        <v>4826000</v>
      </c>
      <c r="F25" s="447"/>
      <c r="G25" s="447">
        <f t="shared" si="3"/>
        <v>4826000</v>
      </c>
      <c r="H25" s="447"/>
      <c r="I25" s="447">
        <v>3556000</v>
      </c>
      <c r="J25" s="890">
        <f t="shared" si="0"/>
        <v>-3556000</v>
      </c>
      <c r="K25" s="447">
        <f t="shared" si="1"/>
        <v>0</v>
      </c>
      <c r="L25" s="447"/>
    </row>
    <row r="26" spans="1:12" x14ac:dyDescent="0.35">
      <c r="A26" s="461" t="s">
        <v>516</v>
      </c>
      <c r="B26" s="461"/>
      <c r="C26" s="459">
        <v>0</v>
      </c>
      <c r="D26" s="459">
        <v>0</v>
      </c>
      <c r="E26" s="515">
        <v>0</v>
      </c>
      <c r="F26" s="447"/>
      <c r="G26" s="447">
        <f t="shared" si="3"/>
        <v>0</v>
      </c>
      <c r="H26" s="447"/>
      <c r="I26" s="447">
        <v>4000000</v>
      </c>
      <c r="J26" s="890">
        <f t="shared" si="0"/>
        <v>-4000000</v>
      </c>
      <c r="K26" s="447">
        <f t="shared" si="1"/>
        <v>0</v>
      </c>
      <c r="L26" s="447"/>
    </row>
    <row r="27" spans="1:12" x14ac:dyDescent="0.35">
      <c r="A27" s="461" t="s">
        <v>806</v>
      </c>
      <c r="B27" s="461"/>
      <c r="C27" s="459">
        <v>700000</v>
      </c>
      <c r="D27" s="459">
        <v>700000</v>
      </c>
      <c r="E27" s="515">
        <v>0</v>
      </c>
      <c r="F27" s="447"/>
      <c r="G27" s="447">
        <f t="shared" si="3"/>
        <v>0</v>
      </c>
      <c r="H27" s="447"/>
      <c r="I27" s="447"/>
      <c r="J27" s="890">
        <f t="shared" si="0"/>
        <v>0</v>
      </c>
      <c r="K27" s="447">
        <f t="shared" si="1"/>
        <v>0</v>
      </c>
      <c r="L27" s="447"/>
    </row>
    <row r="28" spans="1:12" x14ac:dyDescent="0.35">
      <c r="A28" s="461" t="s">
        <v>892</v>
      </c>
      <c r="B28" s="461"/>
      <c r="C28" s="462">
        <v>0</v>
      </c>
      <c r="D28" s="462">
        <v>0</v>
      </c>
      <c r="E28" s="515">
        <f>267159599+112882553-17271058</f>
        <v>362771094</v>
      </c>
      <c r="F28" s="447">
        <f>-86068201+42068756+26770116</f>
        <v>-17229329</v>
      </c>
      <c r="G28" s="447">
        <f t="shared" si="3"/>
        <v>345541765</v>
      </c>
      <c r="H28" s="447">
        <v>318771649</v>
      </c>
      <c r="I28" s="447">
        <v>0</v>
      </c>
      <c r="J28" s="890">
        <f t="shared" si="0"/>
        <v>0</v>
      </c>
      <c r="K28" s="447">
        <f t="shared" si="1"/>
        <v>0</v>
      </c>
      <c r="L28" s="447"/>
    </row>
    <row r="29" spans="1:12" x14ac:dyDescent="0.35">
      <c r="A29" s="461" t="s">
        <v>805</v>
      </c>
      <c r="B29" s="461"/>
      <c r="C29" s="462">
        <v>460929436</v>
      </c>
      <c r="D29" s="462">
        <v>460929436</v>
      </c>
      <c r="E29" s="515">
        <f>11353927+8876535-6657405</f>
        <v>13573057</v>
      </c>
      <c r="F29" s="447">
        <f>-3000000+1110837</f>
        <v>-1889163</v>
      </c>
      <c r="G29" s="447">
        <f t="shared" si="3"/>
        <v>11683894</v>
      </c>
      <c r="H29" s="447">
        <v>9563689</v>
      </c>
      <c r="I29" s="447">
        <v>0</v>
      </c>
      <c r="J29" s="890">
        <f t="shared" si="0"/>
        <v>0</v>
      </c>
      <c r="K29" s="447">
        <f t="shared" si="1"/>
        <v>0</v>
      </c>
      <c r="L29" s="447"/>
    </row>
    <row r="30" spans="1:12" x14ac:dyDescent="0.35">
      <c r="A30" s="461" t="s">
        <v>804</v>
      </c>
      <c r="B30" s="461"/>
      <c r="C30" s="462">
        <v>49643792</v>
      </c>
      <c r="D30" s="462">
        <v>49643792</v>
      </c>
      <c r="E30" s="515">
        <v>88455536</v>
      </c>
      <c r="F30" s="447">
        <v>-88455536</v>
      </c>
      <c r="G30" s="447">
        <f t="shared" si="3"/>
        <v>0</v>
      </c>
      <c r="H30" s="447"/>
      <c r="I30" s="447">
        <v>0</v>
      </c>
      <c r="J30" s="890">
        <f t="shared" si="0"/>
        <v>0</v>
      </c>
      <c r="K30" s="447">
        <f t="shared" si="1"/>
        <v>0</v>
      </c>
      <c r="L30" s="447"/>
    </row>
    <row r="31" spans="1:12" x14ac:dyDescent="0.35">
      <c r="A31" s="461" t="s">
        <v>898</v>
      </c>
      <c r="B31" s="461"/>
      <c r="C31" s="462">
        <v>81000000</v>
      </c>
      <c r="D31" s="462">
        <v>81000000</v>
      </c>
      <c r="E31" s="515">
        <v>0</v>
      </c>
      <c r="F31" s="447">
        <v>900000</v>
      </c>
      <c r="G31" s="447">
        <f t="shared" si="3"/>
        <v>900000</v>
      </c>
      <c r="H31" s="447"/>
      <c r="I31" s="447">
        <v>0</v>
      </c>
      <c r="J31" s="890">
        <f t="shared" si="0"/>
        <v>0</v>
      </c>
      <c r="K31" s="447">
        <f t="shared" si="1"/>
        <v>0</v>
      </c>
      <c r="L31" s="447"/>
    </row>
    <row r="32" spans="1:12" x14ac:dyDescent="0.35">
      <c r="A32" s="333" t="s">
        <v>322</v>
      </c>
      <c r="B32" s="117" t="s">
        <v>125</v>
      </c>
      <c r="C32" s="462"/>
      <c r="D32" s="462">
        <v>0</v>
      </c>
      <c r="E32" s="513">
        <v>0</v>
      </c>
      <c r="F32" s="447"/>
      <c r="G32" s="447">
        <f t="shared" si="3"/>
        <v>0</v>
      </c>
      <c r="H32" s="447">
        <v>23291</v>
      </c>
      <c r="I32" s="447">
        <v>0</v>
      </c>
      <c r="J32" s="890">
        <f t="shared" si="0"/>
        <v>0</v>
      </c>
      <c r="K32" s="447">
        <f t="shared" si="1"/>
        <v>0</v>
      </c>
      <c r="L32" s="447">
        <v>0</v>
      </c>
    </row>
    <row r="33" spans="1:16" x14ac:dyDescent="0.35">
      <c r="A33" s="333" t="s">
        <v>126</v>
      </c>
      <c r="B33" s="117" t="s">
        <v>127</v>
      </c>
      <c r="C33" s="462">
        <v>0</v>
      </c>
      <c r="D33" s="462">
        <v>306480</v>
      </c>
      <c r="E33" s="513">
        <f>E34</f>
        <v>248819</v>
      </c>
      <c r="F33" s="513">
        <f>SUM(F34:F38)</f>
        <v>1250000</v>
      </c>
      <c r="G33" s="513">
        <f>SUM(G34:G38)</f>
        <v>1498819</v>
      </c>
      <c r="H33" s="513">
        <f>SUM(H34:H38)</f>
        <v>2143715</v>
      </c>
      <c r="I33" s="513">
        <f>SUM(I34:I39)</f>
        <v>220000</v>
      </c>
      <c r="J33" s="513">
        <f>SUM(J34:J42)</f>
        <v>6387850</v>
      </c>
      <c r="K33" s="513">
        <f t="shared" ref="K33" si="4">SUM(K34:K42)</f>
        <v>6607850</v>
      </c>
      <c r="L33" s="513">
        <f>SUM(L34:L42)</f>
        <v>6607850</v>
      </c>
    </row>
    <row r="34" spans="1:16" x14ac:dyDescent="0.35">
      <c r="A34" s="463" t="s">
        <v>1122</v>
      </c>
      <c r="B34" s="117"/>
      <c r="C34" s="457"/>
      <c r="D34" s="457">
        <v>206480</v>
      </c>
      <c r="E34" s="516">
        <v>248819</v>
      </c>
      <c r="F34" s="447"/>
      <c r="G34" s="447">
        <f t="shared" si="3"/>
        <v>248819</v>
      </c>
      <c r="H34" s="447">
        <v>0</v>
      </c>
      <c r="I34" s="447"/>
      <c r="J34" s="890">
        <f t="shared" si="0"/>
        <v>120000</v>
      </c>
      <c r="K34" s="447">
        <f t="shared" si="1"/>
        <v>120000</v>
      </c>
      <c r="L34" s="447">
        <v>120000</v>
      </c>
    </row>
    <row r="35" spans="1:16" x14ac:dyDescent="0.35">
      <c r="A35" s="333" t="s">
        <v>1121</v>
      </c>
      <c r="B35" s="117"/>
      <c r="C35" s="457"/>
      <c r="D35" s="457">
        <v>100000</v>
      </c>
      <c r="E35" s="513"/>
      <c r="F35" s="447"/>
      <c r="G35" s="447">
        <f t="shared" si="3"/>
        <v>0</v>
      </c>
      <c r="H35" s="447"/>
      <c r="I35" s="447"/>
      <c r="J35" s="890">
        <f t="shared" si="0"/>
        <v>535338</v>
      </c>
      <c r="K35" s="447">
        <f t="shared" si="1"/>
        <v>535338</v>
      </c>
      <c r="L35" s="1049">
        <v>535338</v>
      </c>
    </row>
    <row r="36" spans="1:16" s="532" customFormat="1" x14ac:dyDescent="0.35">
      <c r="A36" s="126" t="s">
        <v>962</v>
      </c>
      <c r="B36" s="81" t="s">
        <v>127</v>
      </c>
      <c r="C36" s="458"/>
      <c r="D36" s="458"/>
      <c r="E36" s="514"/>
      <c r="F36" s="447"/>
      <c r="G36" s="447"/>
      <c r="H36" s="447"/>
      <c r="I36" s="447">
        <v>100000</v>
      </c>
      <c r="J36" s="890">
        <f t="shared" si="0"/>
        <v>0</v>
      </c>
      <c r="K36" s="447">
        <f t="shared" si="1"/>
        <v>100000</v>
      </c>
      <c r="L36" s="447">
        <v>100000</v>
      </c>
    </row>
    <row r="37" spans="1:16" s="532" customFormat="1" x14ac:dyDescent="0.35">
      <c r="A37" s="126" t="s">
        <v>963</v>
      </c>
      <c r="B37" s="81" t="s">
        <v>127</v>
      </c>
      <c r="C37" s="458"/>
      <c r="D37" s="458"/>
      <c r="E37" s="514"/>
      <c r="F37" s="447"/>
      <c r="G37" s="447"/>
      <c r="H37" s="447"/>
      <c r="I37" s="447">
        <v>120000</v>
      </c>
      <c r="J37" s="890">
        <f t="shared" si="0"/>
        <v>0</v>
      </c>
      <c r="K37" s="447">
        <f t="shared" si="1"/>
        <v>120000</v>
      </c>
      <c r="L37" s="447">
        <v>120000</v>
      </c>
    </row>
    <row r="38" spans="1:16" x14ac:dyDescent="0.35">
      <c r="A38" s="333" t="s">
        <v>1123</v>
      </c>
      <c r="B38" s="117"/>
      <c r="C38" s="457"/>
      <c r="D38" s="457"/>
      <c r="E38" s="513"/>
      <c r="F38" s="447">
        <f>2150000-900000</f>
        <v>1250000</v>
      </c>
      <c r="G38" s="447">
        <f t="shared" si="3"/>
        <v>1250000</v>
      </c>
      <c r="H38" s="447">
        <v>2143715</v>
      </c>
      <c r="I38" s="447">
        <v>0</v>
      </c>
      <c r="J38" s="890">
        <f t="shared" si="0"/>
        <v>3317200</v>
      </c>
      <c r="K38" s="447">
        <f t="shared" si="1"/>
        <v>3317200</v>
      </c>
      <c r="L38" s="447">
        <v>3317200</v>
      </c>
    </row>
    <row r="39" spans="1:16" s="532" customFormat="1" x14ac:dyDescent="0.35">
      <c r="A39" s="333" t="s">
        <v>1124</v>
      </c>
      <c r="B39" s="117"/>
      <c r="C39" s="457"/>
      <c r="D39" s="457"/>
      <c r="E39" s="513"/>
      <c r="F39" s="447"/>
      <c r="G39" s="447"/>
      <c r="H39" s="447"/>
      <c r="I39" s="447"/>
      <c r="J39" s="890">
        <f t="shared" si="0"/>
        <v>100000</v>
      </c>
      <c r="K39" s="447">
        <f t="shared" si="1"/>
        <v>100000</v>
      </c>
      <c r="L39" s="447">
        <v>100000</v>
      </c>
    </row>
    <row r="40" spans="1:16" s="532" customFormat="1" x14ac:dyDescent="0.35">
      <c r="A40" s="333" t="s">
        <v>1125</v>
      </c>
      <c r="B40" s="117"/>
      <c r="C40" s="457"/>
      <c r="D40" s="457"/>
      <c r="E40" s="513"/>
      <c r="F40" s="447"/>
      <c r="G40" s="447"/>
      <c r="H40" s="447"/>
      <c r="I40" s="447"/>
      <c r="J40" s="890">
        <f t="shared" si="0"/>
        <v>364585</v>
      </c>
      <c r="K40" s="447">
        <f t="shared" si="1"/>
        <v>364585</v>
      </c>
      <c r="L40" s="447">
        <f>184785+179800</f>
        <v>364585</v>
      </c>
    </row>
    <row r="41" spans="1:16" s="532" customFormat="1" x14ac:dyDescent="0.35">
      <c r="A41" s="333" t="s">
        <v>1127</v>
      </c>
      <c r="B41" s="117"/>
      <c r="C41" s="457"/>
      <c r="D41" s="457"/>
      <c r="E41" s="513"/>
      <c r="F41" s="447"/>
      <c r="G41" s="447"/>
      <c r="H41" s="447"/>
      <c r="I41" s="447"/>
      <c r="J41" s="890">
        <f t="shared" si="0"/>
        <v>723900</v>
      </c>
      <c r="K41" s="447">
        <f t="shared" si="1"/>
        <v>723900</v>
      </c>
      <c r="L41" s="447">
        <v>723900</v>
      </c>
    </row>
    <row r="42" spans="1:16" s="532" customFormat="1" x14ac:dyDescent="0.35">
      <c r="A42" s="333" t="s">
        <v>1126</v>
      </c>
      <c r="B42" s="117"/>
      <c r="C42" s="457"/>
      <c r="D42" s="457"/>
      <c r="E42" s="513"/>
      <c r="F42" s="447"/>
      <c r="G42" s="447"/>
      <c r="H42" s="447"/>
      <c r="I42" s="447"/>
      <c r="J42" s="890">
        <f t="shared" si="0"/>
        <v>1226827</v>
      </c>
      <c r="K42" s="447">
        <f t="shared" si="1"/>
        <v>1226827</v>
      </c>
      <c r="L42" s="447">
        <f>669722+983505-426400</f>
        <v>1226827</v>
      </c>
    </row>
    <row r="43" spans="1:16" ht="60" customHeight="1" x14ac:dyDescent="0.35">
      <c r="A43" s="333" t="s">
        <v>801</v>
      </c>
      <c r="B43" s="117" t="s">
        <v>133</v>
      </c>
      <c r="C43" s="457">
        <v>211950</v>
      </c>
      <c r="D43" s="457">
        <v>211950</v>
      </c>
      <c r="E43" s="513">
        <v>67181</v>
      </c>
      <c r="F43" s="447">
        <f>3004393+299927</f>
        <v>3304320</v>
      </c>
      <c r="G43" s="447">
        <f t="shared" si="3"/>
        <v>3371501</v>
      </c>
      <c r="H43" s="447">
        <v>3071574</v>
      </c>
      <c r="I43" s="1349" t="s">
        <v>981</v>
      </c>
      <c r="J43" s="1349"/>
      <c r="K43" s="1349"/>
      <c r="L43" s="1349"/>
    </row>
    <row r="44" spans="1:16" ht="23" x14ac:dyDescent="0.5">
      <c r="A44" s="464" t="s">
        <v>134</v>
      </c>
      <c r="B44" s="377" t="s">
        <v>135</v>
      </c>
      <c r="C44" s="457">
        <v>601485178</v>
      </c>
      <c r="D44" s="457">
        <v>615671730</v>
      </c>
      <c r="E44" s="517">
        <f>SUM(E43,E33,E32,E18,E7)</f>
        <v>487002336</v>
      </c>
      <c r="F44" s="517">
        <f>SUM(F43,F33,F32,F18,F7)</f>
        <v>-102119708</v>
      </c>
      <c r="G44" s="517">
        <f>SUM(G43,G33,G32,G18,G7)</f>
        <v>384882628</v>
      </c>
      <c r="H44" s="517">
        <f>SUM(H43,H33,H32,H18,H7)</f>
        <v>333573918</v>
      </c>
      <c r="I44" s="517">
        <f>SUM(I33,I32,I18,I7,I17)</f>
        <v>65647968</v>
      </c>
      <c r="J44" s="890">
        <f t="shared" si="0"/>
        <v>-44388007</v>
      </c>
      <c r="K44" s="890">
        <f>L44</f>
        <v>21259961</v>
      </c>
      <c r="L44" s="517">
        <f>SUM(L33,L32,L18,L7,L17,L9:L16)</f>
        <v>21259961</v>
      </c>
      <c r="O44" s="593"/>
      <c r="P44" s="593"/>
    </row>
    <row r="45" spans="1:16" x14ac:dyDescent="0.35">
      <c r="A45" s="333" t="s">
        <v>136</v>
      </c>
      <c r="B45" s="117" t="s">
        <v>137</v>
      </c>
      <c r="C45" s="457">
        <v>72700000</v>
      </c>
      <c r="D45" s="457">
        <v>72700000</v>
      </c>
      <c r="E45" s="513">
        <f>SUM(E46:E53,E54,E57,E67,E75,E72)</f>
        <v>3511024.472440945</v>
      </c>
      <c r="F45" s="513">
        <f>SUM(F46:F53,F54,F57,F67,F75,F72,)</f>
        <v>82428850</v>
      </c>
      <c r="G45" s="513">
        <f>SUM(G46:G53,G54,G57,G67,G75,G72,)</f>
        <v>85939874.472440943</v>
      </c>
      <c r="H45" s="513">
        <f>SUM(H46:H53,H54,H57,H67,H75,H72)</f>
        <v>52842572</v>
      </c>
      <c r="I45" s="513">
        <f>SUM(I46:I70)</f>
        <v>11650000</v>
      </c>
      <c r="J45" s="513">
        <f>SUM(J46:J70)</f>
        <v>42142815</v>
      </c>
      <c r="K45" s="513">
        <f>SUM(K46:K70)</f>
        <v>42743815</v>
      </c>
      <c r="L45" s="513">
        <f t="shared" ref="L45" si="5">SUM(L46:L70)</f>
        <v>31694815</v>
      </c>
    </row>
    <row r="46" spans="1:16" ht="23" x14ac:dyDescent="0.5">
      <c r="A46" s="460" t="s">
        <v>982</v>
      </c>
      <c r="B46" s="81"/>
      <c r="C46" s="465">
        <v>0</v>
      </c>
      <c r="D46" s="465">
        <v>0</v>
      </c>
      <c r="E46" s="515">
        <v>0</v>
      </c>
      <c r="F46" s="447"/>
      <c r="G46" s="447"/>
      <c r="H46" s="447"/>
      <c r="I46" s="447">
        <v>1000000</v>
      </c>
      <c r="J46" s="890">
        <f t="shared" si="0"/>
        <v>-1000000</v>
      </c>
      <c r="K46" s="1038">
        <f t="shared" si="1"/>
        <v>0</v>
      </c>
      <c r="L46" s="1038"/>
    </row>
    <row r="47" spans="1:16" x14ac:dyDescent="0.35">
      <c r="A47" s="460" t="s">
        <v>983</v>
      </c>
      <c r="B47" s="81"/>
      <c r="C47" s="457">
        <v>1500000</v>
      </c>
      <c r="D47" s="457">
        <v>1500000</v>
      </c>
      <c r="E47" s="515"/>
      <c r="F47" s="447"/>
      <c r="G47" s="447"/>
      <c r="H47" s="447"/>
      <c r="I47" s="447">
        <v>250000</v>
      </c>
      <c r="J47" s="890">
        <f t="shared" si="0"/>
        <v>-250000</v>
      </c>
      <c r="K47" s="1038">
        <f t="shared" si="1"/>
        <v>0</v>
      </c>
      <c r="L47" s="1038"/>
    </row>
    <row r="48" spans="1:16" x14ac:dyDescent="0.35">
      <c r="A48" s="466" t="s">
        <v>984</v>
      </c>
      <c r="B48" s="81"/>
      <c r="C48" s="458">
        <v>5000000</v>
      </c>
      <c r="D48" s="458">
        <v>5000000</v>
      </c>
      <c r="E48" s="515">
        <v>0</v>
      </c>
      <c r="F48" s="447"/>
      <c r="G48" s="447"/>
      <c r="H48" s="447"/>
      <c r="I48" s="792">
        <v>200000</v>
      </c>
      <c r="J48" s="890">
        <f t="shared" si="0"/>
        <v>-200000</v>
      </c>
      <c r="K48" s="1038">
        <f t="shared" si="1"/>
        <v>0</v>
      </c>
      <c r="L48" s="1038"/>
    </row>
    <row r="49" spans="1:12" x14ac:dyDescent="0.35">
      <c r="A49" s="335" t="s">
        <v>985</v>
      </c>
      <c r="B49" s="81"/>
      <c r="C49" s="458">
        <v>65700000</v>
      </c>
      <c r="D49" s="458">
        <v>65700000</v>
      </c>
      <c r="E49" s="515"/>
      <c r="F49" s="447"/>
      <c r="G49" s="447"/>
      <c r="H49" s="447"/>
      <c r="I49" s="447">
        <v>500000</v>
      </c>
      <c r="J49" s="890">
        <f t="shared" si="0"/>
        <v>-500000</v>
      </c>
      <c r="K49" s="1038">
        <f t="shared" si="1"/>
        <v>0</v>
      </c>
      <c r="L49" s="1038"/>
    </row>
    <row r="50" spans="1:12" x14ac:dyDescent="0.35">
      <c r="A50" s="461" t="s">
        <v>960</v>
      </c>
      <c r="B50" s="461"/>
      <c r="C50" s="458">
        <v>0</v>
      </c>
      <c r="D50" s="458">
        <v>0</v>
      </c>
      <c r="E50" s="515">
        <v>0</v>
      </c>
      <c r="F50" s="447"/>
      <c r="G50" s="447"/>
      <c r="H50" s="447"/>
      <c r="I50" s="447" t="s">
        <v>1006</v>
      </c>
      <c r="J50" s="890">
        <v>0</v>
      </c>
      <c r="K50" s="1038">
        <f t="shared" si="1"/>
        <v>0</v>
      </c>
      <c r="L50" s="1038"/>
    </row>
    <row r="51" spans="1:12" x14ac:dyDescent="0.35">
      <c r="A51" s="461" t="s">
        <v>803</v>
      </c>
      <c r="B51" s="461"/>
      <c r="C51" s="458">
        <v>500000</v>
      </c>
      <c r="D51" s="458">
        <v>500000</v>
      </c>
      <c r="E51" s="515">
        <v>1700000</v>
      </c>
      <c r="F51" s="447">
        <v>-351960</v>
      </c>
      <c r="G51" s="447">
        <f>E51+F51</f>
        <v>1348040</v>
      </c>
      <c r="H51" s="447"/>
      <c r="I51" s="447">
        <v>0</v>
      </c>
      <c r="J51" s="890">
        <f t="shared" si="0"/>
        <v>0</v>
      </c>
      <c r="K51" s="1038">
        <f t="shared" si="1"/>
        <v>0</v>
      </c>
      <c r="L51" s="1038"/>
    </row>
    <row r="52" spans="1:12" x14ac:dyDescent="0.35">
      <c r="A52" s="461" t="s">
        <v>802</v>
      </c>
      <c r="B52" s="461"/>
      <c r="C52" s="462"/>
      <c r="D52" s="462">
        <v>0</v>
      </c>
      <c r="E52" s="515">
        <v>0</v>
      </c>
      <c r="F52" s="447"/>
      <c r="G52" s="447">
        <f t="shared" ref="G52:G77" si="6">E52+F52</f>
        <v>0</v>
      </c>
      <c r="H52" s="447"/>
      <c r="I52" s="447"/>
      <c r="J52" s="890">
        <f t="shared" si="0"/>
        <v>0</v>
      </c>
      <c r="K52" s="1038">
        <f t="shared" si="1"/>
        <v>0</v>
      </c>
      <c r="L52" s="1038"/>
    </row>
    <row r="53" spans="1:12" x14ac:dyDescent="0.35">
      <c r="A53" s="461" t="s">
        <v>986</v>
      </c>
      <c r="B53" s="461"/>
      <c r="C53" s="462"/>
      <c r="D53" s="462">
        <v>0</v>
      </c>
      <c r="E53" s="515">
        <v>0</v>
      </c>
      <c r="F53" s="447"/>
      <c r="G53" s="447">
        <f t="shared" si="6"/>
        <v>0</v>
      </c>
      <c r="H53" s="447"/>
      <c r="I53" s="447">
        <v>2000000</v>
      </c>
      <c r="J53" s="890">
        <f t="shared" si="0"/>
        <v>-2000000</v>
      </c>
      <c r="K53" s="1038">
        <f t="shared" si="1"/>
        <v>0</v>
      </c>
      <c r="L53" s="1038"/>
    </row>
    <row r="54" spans="1:12" x14ac:dyDescent="0.35">
      <c r="A54" s="333" t="s">
        <v>1018</v>
      </c>
      <c r="B54" s="117"/>
      <c r="C54" s="447"/>
      <c r="D54" s="447"/>
      <c r="E54" s="513">
        <f>300000/1.27</f>
        <v>236220.47244094487</v>
      </c>
      <c r="F54" s="447"/>
      <c r="G54" s="447">
        <f t="shared" si="6"/>
        <v>236220.47244094487</v>
      </c>
      <c r="H54" s="447"/>
      <c r="I54" s="447">
        <v>500000</v>
      </c>
      <c r="J54" s="890">
        <f t="shared" si="0"/>
        <v>-500000</v>
      </c>
      <c r="K54" s="1038">
        <f t="shared" si="1"/>
        <v>0</v>
      </c>
      <c r="L54" s="1038"/>
    </row>
    <row r="55" spans="1:12" s="532" customFormat="1" x14ac:dyDescent="0.35">
      <c r="A55" s="333" t="s">
        <v>1019</v>
      </c>
      <c r="B55" s="117"/>
      <c r="C55" s="447"/>
      <c r="D55" s="447"/>
      <c r="E55" s="513"/>
      <c r="F55" s="447"/>
      <c r="G55" s="447"/>
      <c r="H55" s="447"/>
      <c r="I55" s="447">
        <v>500000</v>
      </c>
      <c r="J55" s="890">
        <f t="shared" si="0"/>
        <v>-500000</v>
      </c>
      <c r="K55" s="1038">
        <f t="shared" si="1"/>
        <v>0</v>
      </c>
      <c r="L55" s="1038"/>
    </row>
    <row r="56" spans="1:12" x14ac:dyDescent="0.35">
      <c r="A56" s="333" t="s">
        <v>987</v>
      </c>
      <c r="B56" s="117"/>
      <c r="C56" s="447"/>
      <c r="D56" s="447"/>
      <c r="E56" s="513">
        <v>0</v>
      </c>
      <c r="F56" s="447"/>
      <c r="G56" s="447">
        <f t="shared" si="6"/>
        <v>0</v>
      </c>
      <c r="H56" s="447"/>
      <c r="I56" s="447"/>
      <c r="J56" s="890">
        <f t="shared" si="0"/>
        <v>0</v>
      </c>
      <c r="K56" s="1038">
        <f t="shared" si="1"/>
        <v>0</v>
      </c>
      <c r="L56" s="1038"/>
    </row>
    <row r="57" spans="1:12" x14ac:dyDescent="0.35">
      <c r="A57" s="333" t="s">
        <v>822</v>
      </c>
      <c r="B57" s="117"/>
      <c r="C57" s="457"/>
      <c r="D57" s="457"/>
      <c r="E57" s="513">
        <v>1574804</v>
      </c>
      <c r="F57" s="447"/>
      <c r="G57" s="447">
        <f t="shared" si="6"/>
        <v>1574804</v>
      </c>
      <c r="H57" s="447"/>
      <c r="I57" s="447">
        <v>0</v>
      </c>
      <c r="J57" s="890">
        <f t="shared" si="0"/>
        <v>0</v>
      </c>
      <c r="K57" s="1038">
        <f t="shared" si="1"/>
        <v>0</v>
      </c>
      <c r="L57" s="1038"/>
    </row>
    <row r="58" spans="1:12" s="532" customFormat="1" x14ac:dyDescent="0.35">
      <c r="A58" s="333" t="s">
        <v>1007</v>
      </c>
      <c r="B58" s="117"/>
      <c r="C58" s="457"/>
      <c r="D58" s="457"/>
      <c r="E58" s="513"/>
      <c r="F58" s="447"/>
      <c r="G58" s="447"/>
      <c r="H58" s="447"/>
      <c r="I58" s="447">
        <v>1700000</v>
      </c>
      <c r="J58" s="890">
        <f t="shared" si="0"/>
        <v>-1700000</v>
      </c>
      <c r="K58" s="1038">
        <f t="shared" si="1"/>
        <v>0</v>
      </c>
      <c r="L58" s="1038"/>
    </row>
    <row r="59" spans="1:12" s="532" customFormat="1" x14ac:dyDescent="0.35">
      <c r="A59" s="333" t="s">
        <v>988</v>
      </c>
      <c r="B59" s="117"/>
      <c r="C59" s="457"/>
      <c r="D59" s="457"/>
      <c r="E59" s="513"/>
      <c r="F59" s="447"/>
      <c r="G59" s="447"/>
      <c r="H59" s="447"/>
      <c r="I59" s="447">
        <v>500000</v>
      </c>
      <c r="J59" s="890">
        <f t="shared" si="0"/>
        <v>-500000</v>
      </c>
      <c r="K59" s="1038">
        <f t="shared" si="1"/>
        <v>0</v>
      </c>
      <c r="L59" s="1038"/>
    </row>
    <row r="60" spans="1:12" s="532" customFormat="1" x14ac:dyDescent="0.35">
      <c r="A60" s="333" t="s">
        <v>989</v>
      </c>
      <c r="B60" s="117"/>
      <c r="C60" s="457"/>
      <c r="D60" s="457"/>
      <c r="E60" s="513"/>
      <c r="F60" s="447"/>
      <c r="G60" s="447"/>
      <c r="H60" s="447"/>
      <c r="I60" s="447"/>
      <c r="J60" s="890">
        <f t="shared" si="0"/>
        <v>0</v>
      </c>
      <c r="K60" s="1038">
        <f t="shared" si="1"/>
        <v>0</v>
      </c>
      <c r="L60" s="1038"/>
    </row>
    <row r="61" spans="1:12" s="532" customFormat="1" x14ac:dyDescent="0.35">
      <c r="A61" s="333" t="s">
        <v>990</v>
      </c>
      <c r="B61" s="117"/>
      <c r="C61" s="457"/>
      <c r="D61" s="457"/>
      <c r="E61" s="513"/>
      <c r="F61" s="447"/>
      <c r="G61" s="447"/>
      <c r="H61" s="447"/>
      <c r="I61" s="447">
        <v>500000</v>
      </c>
      <c r="J61" s="890">
        <f t="shared" si="0"/>
        <v>-500000</v>
      </c>
      <c r="K61" s="1038">
        <f t="shared" si="1"/>
        <v>0</v>
      </c>
      <c r="L61" s="1038"/>
    </row>
    <row r="62" spans="1:12" s="532" customFormat="1" x14ac:dyDescent="0.35">
      <c r="A62" s="333" t="s">
        <v>1128</v>
      </c>
      <c r="B62" s="117"/>
      <c r="C62" s="457"/>
      <c r="D62" s="457"/>
      <c r="E62" s="513"/>
      <c r="F62" s="447"/>
      <c r="G62" s="447"/>
      <c r="H62" s="447"/>
      <c r="I62" s="447">
        <v>0</v>
      </c>
      <c r="J62" s="890">
        <f t="shared" si="0"/>
        <v>360000</v>
      </c>
      <c r="K62" s="1038">
        <f t="shared" si="1"/>
        <v>360000</v>
      </c>
      <c r="L62" s="1038">
        <v>360000</v>
      </c>
    </row>
    <row r="63" spans="1:12" s="532" customFormat="1" x14ac:dyDescent="0.35">
      <c r="A63" s="333" t="s">
        <v>991</v>
      </c>
      <c r="B63" s="117"/>
      <c r="C63" s="457"/>
      <c r="D63" s="457"/>
      <c r="E63" s="513"/>
      <c r="F63" s="447"/>
      <c r="G63" s="447"/>
      <c r="H63" s="447"/>
      <c r="I63" s="447">
        <v>2000000</v>
      </c>
      <c r="J63" s="890">
        <f t="shared" si="0"/>
        <v>-2000000</v>
      </c>
      <c r="K63" s="1038">
        <f t="shared" si="1"/>
        <v>0</v>
      </c>
      <c r="L63" s="1038"/>
    </row>
    <row r="64" spans="1:12" s="532" customFormat="1" x14ac:dyDescent="0.35">
      <c r="A64" s="333" t="s">
        <v>993</v>
      </c>
      <c r="B64" s="117"/>
      <c r="C64" s="457"/>
      <c r="D64" s="457"/>
      <c r="E64" s="513"/>
      <c r="F64" s="447"/>
      <c r="G64" s="447"/>
      <c r="H64" s="447"/>
      <c r="I64" s="792">
        <v>500000</v>
      </c>
      <c r="J64" s="890">
        <f t="shared" si="0"/>
        <v>-500000</v>
      </c>
      <c r="K64" s="1038">
        <f t="shared" si="1"/>
        <v>0</v>
      </c>
      <c r="L64" s="1038"/>
    </row>
    <row r="65" spans="1:12" s="532" customFormat="1" x14ac:dyDescent="0.35">
      <c r="A65" s="333" t="s">
        <v>994</v>
      </c>
      <c r="B65" s="117"/>
      <c r="C65" s="457"/>
      <c r="D65" s="457"/>
      <c r="E65" s="513"/>
      <c r="F65" s="447"/>
      <c r="G65" s="447"/>
      <c r="H65" s="447"/>
      <c r="I65" s="447">
        <v>500000</v>
      </c>
      <c r="J65" s="890">
        <f t="shared" si="0"/>
        <v>-500000</v>
      </c>
      <c r="K65" s="1038">
        <f t="shared" si="1"/>
        <v>0</v>
      </c>
      <c r="L65" s="1038"/>
    </row>
    <row r="66" spans="1:12" s="532" customFormat="1" x14ac:dyDescent="0.35">
      <c r="A66" s="333" t="s">
        <v>998</v>
      </c>
      <c r="B66" s="117"/>
      <c r="C66" s="457"/>
      <c r="D66" s="457"/>
      <c r="E66" s="513"/>
      <c r="F66" s="447"/>
      <c r="G66" s="447"/>
      <c r="H66" s="447"/>
      <c r="I66" s="447"/>
      <c r="J66" s="890">
        <f t="shared" si="0"/>
        <v>0</v>
      </c>
      <c r="K66" s="1038">
        <f t="shared" si="1"/>
        <v>0</v>
      </c>
      <c r="L66" s="1038"/>
    </row>
    <row r="67" spans="1:12" x14ac:dyDescent="0.35">
      <c r="A67" s="333" t="s">
        <v>823</v>
      </c>
      <c r="B67" s="117"/>
      <c r="C67" s="457"/>
      <c r="D67" s="457"/>
      <c r="E67" s="513">
        <v>0</v>
      </c>
      <c r="F67" s="447"/>
      <c r="G67" s="447">
        <f t="shared" si="6"/>
        <v>0</v>
      </c>
      <c r="H67" s="447"/>
      <c r="I67" s="447">
        <v>1000000</v>
      </c>
      <c r="J67" s="890">
        <f t="shared" si="0"/>
        <v>-1000000</v>
      </c>
      <c r="K67" s="1038">
        <f t="shared" si="1"/>
        <v>0</v>
      </c>
      <c r="L67" s="1038"/>
    </row>
    <row r="68" spans="1:12" s="532" customFormat="1" x14ac:dyDescent="0.35">
      <c r="A68" s="460" t="s">
        <v>808</v>
      </c>
      <c r="B68" s="117"/>
      <c r="C68" s="457"/>
      <c r="D68" s="457"/>
      <c r="E68" s="513"/>
      <c r="F68" s="447"/>
      <c r="G68" s="447"/>
      <c r="H68" s="447"/>
      <c r="I68" s="447"/>
      <c r="J68" s="890">
        <f t="shared" si="0"/>
        <v>16332710</v>
      </c>
      <c r="K68" s="1038">
        <f t="shared" si="1"/>
        <v>16332710</v>
      </c>
      <c r="L68" s="1038">
        <f>8166355+8166355</f>
        <v>16332710</v>
      </c>
    </row>
    <row r="69" spans="1:12" s="532" customFormat="1" x14ac:dyDescent="0.35">
      <c r="A69" s="460" t="s">
        <v>1129</v>
      </c>
      <c r="B69" s="117"/>
      <c r="C69" s="457"/>
      <c r="D69" s="457"/>
      <c r="E69" s="513"/>
      <c r="F69" s="447"/>
      <c r="G69" s="447"/>
      <c r="H69" s="447"/>
      <c r="I69" s="447"/>
      <c r="J69" s="890">
        <f>K69-I69+11049000</f>
        <v>33847000</v>
      </c>
      <c r="K69" s="1038">
        <f>L69+11049000</f>
        <v>22798000</v>
      </c>
      <c r="L69" s="1038">
        <f>11049000+700000</f>
        <v>11749000</v>
      </c>
    </row>
    <row r="70" spans="1:12" s="532" customFormat="1" x14ac:dyDescent="0.35">
      <c r="A70" s="460" t="s">
        <v>1130</v>
      </c>
      <c r="B70" s="117"/>
      <c r="C70" s="457"/>
      <c r="D70" s="457"/>
      <c r="E70" s="513"/>
      <c r="F70" s="447"/>
      <c r="G70" s="447"/>
      <c r="H70" s="447"/>
      <c r="I70" s="447"/>
      <c r="J70" s="890">
        <f t="shared" si="0"/>
        <v>3253105</v>
      </c>
      <c r="K70" s="1038">
        <f t="shared" si="1"/>
        <v>3253105</v>
      </c>
      <c r="L70" s="1038">
        <f>3138805+114300</f>
        <v>3253105</v>
      </c>
    </row>
    <row r="71" spans="1:12" s="530" customFormat="1" x14ac:dyDescent="0.35">
      <c r="A71" s="467" t="s">
        <v>140</v>
      </c>
      <c r="B71" s="117" t="s">
        <v>141</v>
      </c>
      <c r="C71" s="457"/>
      <c r="D71" s="457"/>
      <c r="E71" s="517">
        <v>0</v>
      </c>
      <c r="F71" s="468"/>
      <c r="G71" s="468">
        <f t="shared" si="6"/>
        <v>0</v>
      </c>
      <c r="H71" s="468"/>
      <c r="I71" s="468">
        <f>SUM(I72:I75)</f>
        <v>24495294</v>
      </c>
      <c r="J71" s="890">
        <f t="shared" si="0"/>
        <v>-4584648</v>
      </c>
      <c r="K71" s="1038">
        <f t="shared" si="1"/>
        <v>19910646</v>
      </c>
      <c r="L71" s="468">
        <f>SUM(L72:L75)</f>
        <v>19910646</v>
      </c>
    </row>
    <row r="72" spans="1:12" s="708" customFormat="1" x14ac:dyDescent="0.35">
      <c r="A72" s="329" t="s">
        <v>893</v>
      </c>
      <c r="B72" s="81"/>
      <c r="C72" s="458"/>
      <c r="D72" s="458"/>
      <c r="E72" s="765"/>
      <c r="F72" s="762">
        <f>69650028+11170824</f>
        <v>80820852</v>
      </c>
      <c r="G72" s="762">
        <f t="shared" si="6"/>
        <v>80820852</v>
      </c>
      <c r="H72" s="762">
        <v>50882614</v>
      </c>
      <c r="I72" s="762"/>
      <c r="J72" s="890">
        <f t="shared" si="0"/>
        <v>0</v>
      </c>
      <c r="K72" s="1038">
        <f t="shared" si="1"/>
        <v>0</v>
      </c>
      <c r="L72" s="722"/>
    </row>
    <row r="73" spans="1:12" s="708" customFormat="1" x14ac:dyDescent="0.35">
      <c r="A73" s="329" t="s">
        <v>908</v>
      </c>
      <c r="B73" s="81"/>
      <c r="C73" s="458"/>
      <c r="D73" s="458"/>
      <c r="E73" s="765"/>
      <c r="F73" s="762"/>
      <c r="G73" s="762"/>
      <c r="H73" s="762"/>
      <c r="I73" s="791">
        <v>22000000</v>
      </c>
      <c r="J73" s="890">
        <f t="shared" si="0"/>
        <v>-2089354</v>
      </c>
      <c r="K73" s="1038">
        <f t="shared" si="1"/>
        <v>19910646</v>
      </c>
      <c r="L73" s="447">
        <f>18005646+1905000</f>
        <v>19910646</v>
      </c>
    </row>
    <row r="74" spans="1:12" s="532" customFormat="1" x14ac:dyDescent="0.35">
      <c r="A74" s="126" t="s">
        <v>961</v>
      </c>
      <c r="B74" s="81" t="s">
        <v>141</v>
      </c>
      <c r="C74" s="458"/>
      <c r="D74" s="458"/>
      <c r="E74" s="514"/>
      <c r="F74" s="447"/>
      <c r="G74" s="447"/>
      <c r="H74" s="447"/>
      <c r="I74" s="792">
        <v>535336</v>
      </c>
      <c r="J74" s="890">
        <f t="shared" si="0"/>
        <v>-535336</v>
      </c>
      <c r="K74" s="1038">
        <f t="shared" si="1"/>
        <v>0</v>
      </c>
      <c r="L74" s="1038"/>
    </row>
    <row r="75" spans="1:12" s="708" customFormat="1" x14ac:dyDescent="0.35">
      <c r="A75" s="329" t="s">
        <v>859</v>
      </c>
      <c r="B75" s="81"/>
      <c r="C75" s="458"/>
      <c r="D75" s="458"/>
      <c r="E75" s="765"/>
      <c r="F75" s="762">
        <v>1959958</v>
      </c>
      <c r="G75" s="762">
        <f t="shared" si="6"/>
        <v>1959958</v>
      </c>
      <c r="H75" s="762">
        <v>1959958</v>
      </c>
      <c r="I75" s="791">
        <v>1959958</v>
      </c>
      <c r="J75" s="890">
        <f t="shared" si="0"/>
        <v>-1959958</v>
      </c>
      <c r="K75" s="1038">
        <f t="shared" si="1"/>
        <v>0</v>
      </c>
      <c r="L75" s="722"/>
    </row>
    <row r="76" spans="1:12" s="708" customFormat="1" x14ac:dyDescent="0.35">
      <c r="A76" s="329"/>
      <c r="B76" s="81"/>
      <c r="C76" s="458"/>
      <c r="D76" s="458"/>
      <c r="E76" s="765"/>
      <c r="F76" s="762"/>
      <c r="G76" s="762"/>
      <c r="H76" s="762"/>
      <c r="I76" s="791"/>
      <c r="J76" s="890"/>
      <c r="K76" s="1038"/>
      <c r="L76" s="722"/>
    </row>
    <row r="77" spans="1:12" x14ac:dyDescent="0.35">
      <c r="A77" s="333" t="s">
        <v>323</v>
      </c>
      <c r="B77" s="117" t="s">
        <v>143</v>
      </c>
      <c r="C77" s="462">
        <v>19629000</v>
      </c>
      <c r="D77" s="462">
        <v>19629000</v>
      </c>
      <c r="E77" s="513">
        <v>947976</v>
      </c>
      <c r="F77" s="447">
        <f>18805508+3016123</f>
        <v>21821631</v>
      </c>
      <c r="G77" s="447">
        <f t="shared" si="6"/>
        <v>22769607</v>
      </c>
      <c r="H77" s="447">
        <f>529189+13738306</f>
        <v>14267495</v>
      </c>
      <c r="I77" s="447"/>
      <c r="J77" s="890">
        <f t="shared" si="0"/>
        <v>0</v>
      </c>
      <c r="K77" s="1038">
        <f t="shared" si="1"/>
        <v>0</v>
      </c>
      <c r="L77" s="1038"/>
    </row>
    <row r="78" spans="1:12" x14ac:dyDescent="0.35">
      <c r="A78" s="333" t="s">
        <v>324</v>
      </c>
      <c r="B78" s="81" t="s">
        <v>145</v>
      </c>
      <c r="C78" s="462">
        <v>92329000</v>
      </c>
      <c r="D78" s="462">
        <v>92329000</v>
      </c>
      <c r="E78" s="517">
        <f>SUM(E45,E77,E71)</f>
        <v>4459000.472440945</v>
      </c>
      <c r="F78" s="517">
        <f>SUM(F45,F77,F71)</f>
        <v>104250481</v>
      </c>
      <c r="G78" s="517">
        <f>SUM(G45,G77,G71)</f>
        <v>108709481.47244094</v>
      </c>
      <c r="H78" s="517">
        <f>SUM(H45,H77,H71)</f>
        <v>67110067</v>
      </c>
      <c r="I78" s="517">
        <f>SUM(I45,I77,I71)</f>
        <v>36145294</v>
      </c>
      <c r="J78" s="517">
        <f t="shared" ref="J78:K78" si="7">SUM(J45,J77,J71)</f>
        <v>37558167</v>
      </c>
      <c r="K78" s="517">
        <f t="shared" si="7"/>
        <v>62654461</v>
      </c>
      <c r="L78" s="517">
        <f>SUM(L45,L77,L71)</f>
        <v>51605461</v>
      </c>
    </row>
    <row r="79" spans="1:12" x14ac:dyDescent="0.35">
      <c r="I79" s="456"/>
    </row>
    <row r="80" spans="1:12" x14ac:dyDescent="0.35">
      <c r="I80" s="456"/>
    </row>
  </sheetData>
  <mergeCells count="3">
    <mergeCell ref="A1:E1"/>
    <mergeCell ref="A3:J4"/>
    <mergeCell ref="I43:L43"/>
  </mergeCells>
  <pageMargins left="0.70866141732283472" right="0.70866141732283472" top="0.74803149606299213" bottom="0.74803149606299213" header="0.31496062992125984" footer="0.31496062992125984"/>
  <pageSetup paperSize="8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X30"/>
  <sheetViews>
    <sheetView view="pageBreakPreview" topLeftCell="M6" zoomScale="90" zoomScaleNormal="100" zoomScaleSheetLayoutView="90" workbookViewId="0">
      <selection activeCell="V7" sqref="V1:V1048576"/>
    </sheetView>
  </sheetViews>
  <sheetFormatPr defaultRowHeight="14.5" x14ac:dyDescent="0.35"/>
  <cols>
    <col min="1" max="1" width="47.54296875" customWidth="1"/>
    <col min="3" max="8" width="23.1796875" style="13" hidden="1" customWidth="1"/>
    <col min="9" max="9" width="23.1796875" style="269" customWidth="1"/>
    <col min="10" max="10" width="23.1796875" style="269" hidden="1" customWidth="1"/>
    <col min="11" max="12" width="23.1796875" style="269" customWidth="1"/>
    <col min="13" max="13" width="45" customWidth="1"/>
    <col min="15" max="16" width="22.7265625" style="13" hidden="1" customWidth="1"/>
    <col min="17" max="17" width="26.1796875" style="13" hidden="1" customWidth="1"/>
    <col min="18" max="18" width="21.26953125" hidden="1" customWidth="1"/>
    <col min="19" max="19" width="24.453125" style="13" hidden="1" customWidth="1"/>
    <col min="20" max="20" width="24.54296875" style="13" hidden="1" customWidth="1"/>
    <col min="21" max="21" width="22.54296875" customWidth="1"/>
    <col min="22" max="22" width="22.26953125" hidden="1" customWidth="1"/>
    <col min="23" max="23" width="25.1796875" customWidth="1"/>
    <col min="24" max="24" width="23.54296875" customWidth="1"/>
  </cols>
  <sheetData>
    <row r="1" spans="1:24" x14ac:dyDescent="0.35">
      <c r="A1" t="s">
        <v>449</v>
      </c>
    </row>
    <row r="3" spans="1:24" x14ac:dyDescent="0.35">
      <c r="A3" s="1128" t="s">
        <v>937</v>
      </c>
      <c r="B3" s="1128"/>
      <c r="C3" s="1128"/>
      <c r="D3" s="1128"/>
      <c r="E3" s="1128"/>
      <c r="F3" s="1128"/>
      <c r="G3" s="1128"/>
      <c r="H3" s="1128"/>
      <c r="I3" s="1128"/>
      <c r="J3" s="1128"/>
      <c r="K3" s="1128"/>
      <c r="L3" s="1128"/>
      <c r="M3" s="1128"/>
      <c r="N3" s="1128"/>
      <c r="O3" s="1128"/>
      <c r="P3" s="1140"/>
      <c r="Q3" s="1140"/>
      <c r="R3" s="1140"/>
      <c r="S3" s="1140"/>
      <c r="T3" s="1140"/>
      <c r="U3" s="1140"/>
    </row>
    <row r="4" spans="1:24" x14ac:dyDescent="0.35">
      <c r="A4" s="1128"/>
      <c r="B4" s="1128"/>
      <c r="C4" s="1128"/>
      <c r="D4" s="1128"/>
      <c r="E4" s="1128"/>
      <c r="F4" s="1128"/>
      <c r="G4" s="1128"/>
      <c r="H4" s="1128"/>
      <c r="I4" s="1128"/>
      <c r="J4" s="1128"/>
      <c r="K4" s="1128"/>
      <c r="L4" s="1128"/>
      <c r="M4" s="1128"/>
      <c r="N4" s="1128"/>
      <c r="O4" s="1128"/>
      <c r="P4" s="1140"/>
      <c r="Q4" s="1140"/>
      <c r="R4" s="1140"/>
      <c r="S4" s="1140"/>
      <c r="T4" s="1140"/>
      <c r="U4" s="1140"/>
    </row>
    <row r="6" spans="1:24" ht="17.5" x14ac:dyDescent="0.35">
      <c r="A6" s="1135" t="s">
        <v>341</v>
      </c>
      <c r="B6" s="1136"/>
      <c r="C6" s="1136"/>
      <c r="D6" s="1136"/>
      <c r="E6" s="1136"/>
      <c r="F6" s="1136"/>
      <c r="G6" s="1136"/>
      <c r="H6" s="1136"/>
      <c r="I6" s="1136"/>
      <c r="J6" s="1136"/>
      <c r="K6" s="1136"/>
      <c r="L6" s="1137"/>
      <c r="M6" s="1141" t="s">
        <v>342</v>
      </c>
      <c r="N6" s="1141"/>
      <c r="O6" s="1141"/>
      <c r="P6" s="1141"/>
      <c r="Q6" s="1141"/>
      <c r="R6" s="1141"/>
      <c r="S6" s="1141"/>
      <c r="T6" s="1141"/>
      <c r="U6" s="1141"/>
      <c r="V6" s="1141"/>
      <c r="W6" s="1141"/>
      <c r="X6" s="1141"/>
    </row>
    <row r="7" spans="1:24" ht="26" x14ac:dyDescent="0.35">
      <c r="A7" s="151" t="s">
        <v>343</v>
      </c>
      <c r="B7" s="124" t="s">
        <v>3</v>
      </c>
      <c r="C7" s="414" t="s">
        <v>839</v>
      </c>
      <c r="D7" s="414" t="s">
        <v>687</v>
      </c>
      <c r="E7" s="414" t="s">
        <v>811</v>
      </c>
      <c r="F7" s="125" t="s">
        <v>868</v>
      </c>
      <c r="G7" s="125" t="s">
        <v>869</v>
      </c>
      <c r="H7" s="125" t="s">
        <v>867</v>
      </c>
      <c r="I7" s="414" t="s">
        <v>968</v>
      </c>
      <c r="J7" s="414" t="s">
        <v>1022</v>
      </c>
      <c r="K7" s="414" t="s">
        <v>679</v>
      </c>
      <c r="L7" s="414" t="s">
        <v>673</v>
      </c>
      <c r="M7" s="874" t="s">
        <v>2</v>
      </c>
      <c r="N7" s="874" t="s">
        <v>3</v>
      </c>
      <c r="O7" s="414" t="s">
        <v>839</v>
      </c>
      <c r="P7" s="414" t="s">
        <v>687</v>
      </c>
      <c r="Q7" s="414" t="s">
        <v>811</v>
      </c>
      <c r="R7" s="874" t="s">
        <v>868</v>
      </c>
      <c r="S7" s="874" t="s">
        <v>869</v>
      </c>
      <c r="T7" s="874" t="s">
        <v>867</v>
      </c>
      <c r="U7" s="414" t="s">
        <v>901</v>
      </c>
      <c r="V7" s="414" t="s">
        <v>1022</v>
      </c>
      <c r="W7" s="414" t="s">
        <v>679</v>
      </c>
      <c r="X7" s="414" t="s">
        <v>673</v>
      </c>
    </row>
    <row r="8" spans="1:24" ht="27.75" customHeight="1" x14ac:dyDescent="0.35">
      <c r="A8" s="126" t="s">
        <v>345</v>
      </c>
      <c r="B8" s="127" t="s">
        <v>346</v>
      </c>
      <c r="C8" s="421">
        <v>115421018</v>
      </c>
      <c r="D8" s="421">
        <v>116663817</v>
      </c>
      <c r="E8" s="421">
        <f>'Normatíva 2020'!G52</f>
        <v>111050028</v>
      </c>
      <c r="F8" s="421">
        <f>'Normatíva 2020'!I52</f>
        <v>5970250</v>
      </c>
      <c r="G8" s="421">
        <f>E8+F8</f>
        <v>117020278</v>
      </c>
      <c r="H8" s="421">
        <f>'Normatíva 2020'!K52</f>
        <v>104281315</v>
      </c>
      <c r="I8" s="766">
        <f>'Normatíva 2020'!H52</f>
        <v>124480067</v>
      </c>
      <c r="J8" s="766">
        <f>'Normatíva 2020'!M52</f>
        <v>11957259</v>
      </c>
      <c r="K8" s="766">
        <f>'Normatíva 2020'!N52</f>
        <v>136437326</v>
      </c>
      <c r="L8" s="766">
        <f>'Normatíva 2020'!O52</f>
        <v>136437326</v>
      </c>
      <c r="M8" s="152" t="s">
        <v>347</v>
      </c>
      <c r="N8" s="129" t="s">
        <v>39</v>
      </c>
      <c r="O8" s="481">
        <v>12411118</v>
      </c>
      <c r="P8" s="4">
        <v>15864479</v>
      </c>
      <c r="Q8" s="4">
        <f>'Kiadások összesen'!C50</f>
        <v>16878220</v>
      </c>
      <c r="R8" s="594">
        <f>'Kiadások összesen'!C51</f>
        <v>3025503</v>
      </c>
      <c r="S8" s="4">
        <f>'Kiadások összesen'!C52</f>
        <v>19903723</v>
      </c>
      <c r="T8" s="4">
        <f>'Kiadások összesen'!C53</f>
        <v>19903723</v>
      </c>
      <c r="U8" s="668">
        <f>'Kiadások összesen'!C50</f>
        <v>16878220</v>
      </c>
      <c r="V8" s="4">
        <f>W8-U8</f>
        <v>3025503</v>
      </c>
      <c r="W8" s="1">
        <f>'Kiadások összesen'!C52</f>
        <v>19903723</v>
      </c>
      <c r="X8" s="1">
        <f>'Kiadások összesen'!C53</f>
        <v>19903723</v>
      </c>
    </row>
    <row r="9" spans="1:24" ht="38.25" customHeight="1" x14ac:dyDescent="0.35">
      <c r="A9" s="126" t="s">
        <v>348</v>
      </c>
      <c r="B9" s="127" t="s">
        <v>227</v>
      </c>
      <c r="C9" s="421">
        <v>6165726</v>
      </c>
      <c r="D9" s="421">
        <v>9903506</v>
      </c>
      <c r="E9" s="421">
        <f>'Normatíva 2020'!G53+'Normatíva 2020'!G57</f>
        <v>6725904</v>
      </c>
      <c r="F9" s="421">
        <f>'Normatíva 2020'!I61</f>
        <v>12773276</v>
      </c>
      <c r="G9" s="421">
        <f t="shared" ref="G9:G16" si="0">E9+F9</f>
        <v>19499180</v>
      </c>
      <c r="H9" s="421">
        <f>'Normatíva 2020'!K61</f>
        <v>19599180</v>
      </c>
      <c r="I9" s="766">
        <f>'Normatíva 2020'!H61</f>
        <v>9950550</v>
      </c>
      <c r="J9" s="766">
        <f>'Normatíva 2020'!M61</f>
        <v>8143341</v>
      </c>
      <c r="K9" s="766">
        <f>'Normatíva 2020'!N61</f>
        <v>18093891</v>
      </c>
      <c r="L9" s="766">
        <f>'Normatíva 2020'!O61</f>
        <v>18093891</v>
      </c>
      <c r="M9" s="152" t="s">
        <v>349</v>
      </c>
      <c r="N9" s="130" t="s">
        <v>41</v>
      </c>
      <c r="O9" s="481">
        <v>2316809</v>
      </c>
      <c r="P9" s="4">
        <v>2750847</v>
      </c>
      <c r="Q9" s="4">
        <f>'Kiadások összesen'!D50</f>
        <v>3058086.875</v>
      </c>
      <c r="R9" s="594">
        <f>'Kiadások összesen'!D51</f>
        <v>63844.125000000058</v>
      </c>
      <c r="S9" s="4">
        <f>'Kiadások összesen'!D52</f>
        <v>3121931</v>
      </c>
      <c r="T9" s="4">
        <f>'Kiadások összesen'!D53</f>
        <v>3121931</v>
      </c>
      <c r="U9" s="668">
        <f>'Kiadások összesen'!D50</f>
        <v>3058086.875</v>
      </c>
      <c r="V9" s="4">
        <f t="shared" ref="V9:V15" si="1">W9-U9</f>
        <v>63844.125</v>
      </c>
      <c r="W9" s="1">
        <f>'Kiadások összesen'!D52</f>
        <v>3121931</v>
      </c>
      <c r="X9" s="1">
        <f>'Kiadások összesen'!D53</f>
        <v>3121931</v>
      </c>
    </row>
    <row r="10" spans="1:24" ht="27.75" customHeight="1" x14ac:dyDescent="0.35">
      <c r="A10" s="333" t="s">
        <v>350</v>
      </c>
      <c r="B10" s="358" t="s">
        <v>351</v>
      </c>
      <c r="C10" s="662">
        <v>121586744</v>
      </c>
      <c r="D10" s="662">
        <v>126567323</v>
      </c>
      <c r="E10" s="662">
        <f>SUM(E8:E9)</f>
        <v>117775932</v>
      </c>
      <c r="F10" s="662">
        <f t="shared" ref="F10:G10" si="2">SUM(F8:F9)</f>
        <v>18743526</v>
      </c>
      <c r="G10" s="662">
        <f t="shared" si="2"/>
        <v>136519458</v>
      </c>
      <c r="H10" s="662">
        <f>SUM(H8:H9)</f>
        <v>123880495</v>
      </c>
      <c r="I10" s="662">
        <f t="shared" ref="I10:L10" si="3">SUM(I8:I9)</f>
        <v>134430617</v>
      </c>
      <c r="J10" s="662">
        <f t="shared" si="3"/>
        <v>20100600</v>
      </c>
      <c r="K10" s="662">
        <f t="shared" si="3"/>
        <v>154531217</v>
      </c>
      <c r="L10" s="662">
        <f t="shared" si="3"/>
        <v>154531217</v>
      </c>
      <c r="M10" s="152" t="s">
        <v>352</v>
      </c>
      <c r="N10" s="129" t="s">
        <v>119</v>
      </c>
      <c r="O10" s="481">
        <v>51252490</v>
      </c>
      <c r="P10" s="4">
        <v>54532600</v>
      </c>
      <c r="Q10" s="4">
        <f>'Kiadások összesen'!E50</f>
        <v>65023699.039999999</v>
      </c>
      <c r="R10" s="594">
        <f>'Kiadások összesen'!E51</f>
        <v>-4815258.0399999991</v>
      </c>
      <c r="S10" s="4">
        <f>'Kiadások összesen'!E52</f>
        <v>59947941</v>
      </c>
      <c r="T10" s="4">
        <f>'Kiadások összesen'!E53</f>
        <v>59687441</v>
      </c>
      <c r="U10" s="668">
        <f>'Kiadások összesen'!E50</f>
        <v>65023699.039999999</v>
      </c>
      <c r="V10" s="4">
        <f>W10-U10-92261</f>
        <v>-5168018.0399999991</v>
      </c>
      <c r="W10" s="1">
        <f>'Kiadások összesen'!E52+1</f>
        <v>59947942</v>
      </c>
      <c r="X10" s="1">
        <f>'Kiadások összesen'!E53</f>
        <v>59687441</v>
      </c>
    </row>
    <row r="11" spans="1:24" ht="27.75" customHeight="1" x14ac:dyDescent="0.35">
      <c r="A11" s="126" t="s">
        <v>353</v>
      </c>
      <c r="B11" s="127" t="s">
        <v>354</v>
      </c>
      <c r="C11" s="422"/>
      <c r="D11" s="422">
        <v>14186552</v>
      </c>
      <c r="E11" s="422">
        <f>'Normatíva 2020'!G67</f>
        <v>0</v>
      </c>
      <c r="F11" s="422">
        <f>'Normatíva 2020'!I67</f>
        <v>26770116</v>
      </c>
      <c r="G11" s="422">
        <f t="shared" si="0"/>
        <v>26770116</v>
      </c>
      <c r="H11" s="422">
        <f>'Normatíva 2020'!K67</f>
        <v>26770116</v>
      </c>
      <c r="I11" s="770">
        <f>'Normatíva 2020'!H67</f>
        <v>28832000</v>
      </c>
      <c r="J11" s="770">
        <f>'Normatíva 2020'!M67</f>
        <v>137914193</v>
      </c>
      <c r="K11" s="770">
        <f>'Normatíva 2020'!N67</f>
        <v>166746193</v>
      </c>
      <c r="L11" s="770">
        <f>'Normatíva 2020'!O67</f>
        <v>166746193</v>
      </c>
      <c r="M11" s="132" t="s">
        <v>355</v>
      </c>
      <c r="N11" s="127" t="s">
        <v>356</v>
      </c>
      <c r="O11" s="481">
        <v>6230000</v>
      </c>
      <c r="P11" s="4">
        <v>6230000</v>
      </c>
      <c r="Q11" s="4">
        <f>'Kiadások összesen'!F50</f>
        <v>8220000</v>
      </c>
      <c r="R11" s="594">
        <f>'Kiadások összesen'!F51</f>
        <v>-1642900</v>
      </c>
      <c r="S11" s="4">
        <f>'Kiadások összesen'!F52</f>
        <v>6577100</v>
      </c>
      <c r="T11" s="4">
        <f>'Kiadások összesen'!F53</f>
        <v>6568092</v>
      </c>
      <c r="U11" s="668">
        <f>'Kiadások összesen'!F50</f>
        <v>8220000</v>
      </c>
      <c r="V11" s="4">
        <f t="shared" si="1"/>
        <v>-1642900</v>
      </c>
      <c r="W11" s="1">
        <f>'Kiadások összesen'!F52</f>
        <v>6577100</v>
      </c>
      <c r="X11" s="1">
        <f>'Kiadások összesen'!F53</f>
        <v>6568092</v>
      </c>
    </row>
    <row r="12" spans="1:24" ht="27.75" customHeight="1" x14ac:dyDescent="0.35">
      <c r="A12" s="126" t="s">
        <v>357</v>
      </c>
      <c r="B12" s="127" t="s">
        <v>358</v>
      </c>
      <c r="C12" s="422">
        <v>61599700</v>
      </c>
      <c r="D12" s="422">
        <v>61599700</v>
      </c>
      <c r="E12" s="422">
        <f>'Közhatalmi bevétel'!E21</f>
        <v>65100000</v>
      </c>
      <c r="F12" s="422">
        <f>'Közhatalmi bevétel'!F21</f>
        <v>230954</v>
      </c>
      <c r="G12" s="421">
        <f t="shared" si="0"/>
        <v>65330954</v>
      </c>
      <c r="H12" s="422">
        <f>'Közhatalmi bevétel'!H21</f>
        <v>52218721</v>
      </c>
      <c r="I12" s="422">
        <f>'Közhatalmi bevétel'!J21</f>
        <v>60000000</v>
      </c>
      <c r="J12" s="422">
        <f>'Közhatalmi bevétel'!K21</f>
        <v>-3375973</v>
      </c>
      <c r="K12" s="422">
        <f>'Közhatalmi bevétel'!L21</f>
        <v>56624027</v>
      </c>
      <c r="L12" s="422">
        <f>'Közhatalmi bevétel'!M21</f>
        <v>56624027</v>
      </c>
      <c r="M12" s="126" t="s">
        <v>965</v>
      </c>
      <c r="N12" s="127" t="s">
        <v>359</v>
      </c>
      <c r="O12" s="415">
        <v>26770000</v>
      </c>
      <c r="P12" s="413">
        <v>26795000</v>
      </c>
      <c r="Q12" s="413">
        <f>'Kiadások összesen'!G50</f>
        <v>25286774</v>
      </c>
      <c r="R12" s="595">
        <f>'Kiadások összesen'!G51</f>
        <v>-4315239</v>
      </c>
      <c r="S12" s="4">
        <f>'Kiadások összesen'!G52</f>
        <v>20971535</v>
      </c>
      <c r="T12" s="4">
        <f>'Kiadások összesen'!G53</f>
        <v>20971535</v>
      </c>
      <c r="U12" s="668">
        <f>'Kiadások összesen'!G50</f>
        <v>25286774</v>
      </c>
      <c r="V12" s="4">
        <f t="shared" si="1"/>
        <v>-4315239</v>
      </c>
      <c r="W12" s="1">
        <f>'Kiadások összesen'!G52</f>
        <v>20971535</v>
      </c>
      <c r="X12" s="1">
        <f>'Kiadások összesen'!G53</f>
        <v>20971535</v>
      </c>
    </row>
    <row r="13" spans="1:24" ht="27.75" customHeight="1" x14ac:dyDescent="0.35">
      <c r="A13" s="126"/>
      <c r="B13" s="127"/>
      <c r="C13" s="422"/>
      <c r="D13" s="422"/>
      <c r="E13" s="422"/>
      <c r="F13" s="422"/>
      <c r="G13" s="421"/>
      <c r="H13" s="422"/>
      <c r="I13" s="422"/>
      <c r="J13" s="422"/>
      <c r="K13" s="422"/>
      <c r="L13" s="422"/>
      <c r="M13" s="126" t="s">
        <v>552</v>
      </c>
      <c r="N13" s="127" t="s">
        <v>553</v>
      </c>
      <c r="O13" s="415">
        <v>21605181</v>
      </c>
      <c r="P13" s="4">
        <v>33922614</v>
      </c>
      <c r="Q13" s="4">
        <f>'Kiadások összesen'!K50</f>
        <v>40736929</v>
      </c>
      <c r="R13" s="594">
        <f>'Kiadások összesen'!K51</f>
        <v>170320002</v>
      </c>
      <c r="S13" s="4">
        <f>Q13+R13-1</f>
        <v>211056930</v>
      </c>
      <c r="T13" s="4">
        <f>'Kiadások összesen'!K53</f>
        <v>0</v>
      </c>
      <c r="U13" s="668">
        <f>'Kiadások összesen'!K50</f>
        <v>40736929</v>
      </c>
      <c r="V13" s="4">
        <f t="shared" si="1"/>
        <v>170320002</v>
      </c>
      <c r="W13" s="1">
        <f>'Kiadások összesen'!K52</f>
        <v>211056931</v>
      </c>
      <c r="X13" s="1">
        <f>'Kiadások összesen'!K53</f>
        <v>0</v>
      </c>
    </row>
    <row r="14" spans="1:24" ht="27.75" customHeight="1" x14ac:dyDescent="0.35">
      <c r="A14" s="126" t="s">
        <v>360</v>
      </c>
      <c r="B14" s="127" t="s">
        <v>361</v>
      </c>
      <c r="C14" s="421">
        <v>13264434</v>
      </c>
      <c r="D14" s="421">
        <v>28073164</v>
      </c>
      <c r="E14" s="421">
        <f>'Saját bevételek'!G24</f>
        <v>20874330.760000002</v>
      </c>
      <c r="F14" s="421">
        <f>'Saját bevételek'!H24</f>
        <v>15684945</v>
      </c>
      <c r="G14" s="421">
        <f t="shared" si="0"/>
        <v>36559275.760000005</v>
      </c>
      <c r="H14" s="421">
        <f>'Saját bevételek'!J24</f>
        <v>33328111</v>
      </c>
      <c r="I14" s="421">
        <f>'Saját bevételek'!L24</f>
        <v>23833460.68</v>
      </c>
      <c r="J14" s="421">
        <f>'Saját bevételek'!M24</f>
        <v>-2111947.1900000004</v>
      </c>
      <c r="K14" s="421">
        <f>'Saját bevételek'!N24</f>
        <v>21813775</v>
      </c>
      <c r="L14" s="421">
        <f>'Saját bevételek'!O24</f>
        <v>21813775</v>
      </c>
      <c r="M14" s="126" t="s">
        <v>134</v>
      </c>
      <c r="N14" s="127" t="s">
        <v>135</v>
      </c>
      <c r="O14" s="481">
        <v>601485178</v>
      </c>
      <c r="P14" s="4">
        <v>615671730</v>
      </c>
      <c r="Q14" s="4">
        <f>'Kiadások összesen'!H50</f>
        <v>65647968</v>
      </c>
      <c r="R14" s="594">
        <f>'Kiadások összesen'!H51</f>
        <v>-44388007</v>
      </c>
      <c r="S14" s="4">
        <f>'Kiadások összesen'!H52</f>
        <v>21259961</v>
      </c>
      <c r="T14" s="4">
        <f>'Kiadások összesen'!H53</f>
        <v>21259961</v>
      </c>
      <c r="U14" s="668">
        <f>'Kiadások összesen'!H50</f>
        <v>65647968</v>
      </c>
      <c r="V14" s="4">
        <f t="shared" si="1"/>
        <v>-44388007</v>
      </c>
      <c r="W14" s="1">
        <f>'Kiadások összesen'!H52</f>
        <v>21259961</v>
      </c>
      <c r="X14" s="1">
        <f>'Kiadások összesen'!H53</f>
        <v>21259961</v>
      </c>
    </row>
    <row r="15" spans="1:24" ht="27.75" customHeight="1" x14ac:dyDescent="0.35">
      <c r="A15" s="126" t="s">
        <v>1083</v>
      </c>
      <c r="B15" s="127" t="s">
        <v>1078</v>
      </c>
      <c r="C15" s="422"/>
      <c r="D15" s="422"/>
      <c r="E15" s="422"/>
      <c r="F15" s="422"/>
      <c r="G15" s="421">
        <f t="shared" si="0"/>
        <v>0</v>
      </c>
      <c r="H15" s="422"/>
      <c r="I15" s="422"/>
      <c r="J15" s="422">
        <f>'Saját bevételek'!M27</f>
        <v>734346</v>
      </c>
      <c r="K15" s="422">
        <f>'Saját bevételek'!N27</f>
        <v>734346</v>
      </c>
      <c r="L15" s="422">
        <f>'Saját bevételek'!O27</f>
        <v>734346</v>
      </c>
      <c r="M15" s="126" t="s">
        <v>324</v>
      </c>
      <c r="N15" s="127" t="s">
        <v>145</v>
      </c>
      <c r="O15" s="481">
        <v>92329000</v>
      </c>
      <c r="P15" s="4">
        <v>92329000</v>
      </c>
      <c r="Q15" s="4">
        <v>4459000</v>
      </c>
      <c r="R15" s="594">
        <f>'Kiadások összesen'!I51</f>
        <v>37558167</v>
      </c>
      <c r="S15" s="4">
        <f>'Kiadások összesen'!I52</f>
        <v>62654461</v>
      </c>
      <c r="T15" s="4">
        <f>'Kiadások összesen'!I53</f>
        <v>51605461</v>
      </c>
      <c r="U15" s="668">
        <f>'Kiadások összesen'!I50</f>
        <v>36145294</v>
      </c>
      <c r="V15" s="4">
        <f t="shared" si="1"/>
        <v>26509167</v>
      </c>
      <c r="W15" s="1">
        <f>'Kiadások összesen'!I52</f>
        <v>62654461</v>
      </c>
      <c r="X15" s="1">
        <f>'Kiadások összesen'!I53</f>
        <v>51605461</v>
      </c>
    </row>
    <row r="16" spans="1:24" ht="27.75" customHeight="1" x14ac:dyDescent="0.35">
      <c r="A16" s="126" t="s">
        <v>362</v>
      </c>
      <c r="B16" s="127" t="s">
        <v>363</v>
      </c>
      <c r="C16" s="422"/>
      <c r="D16" s="422"/>
      <c r="E16" s="422"/>
      <c r="F16" s="422"/>
      <c r="G16" s="421">
        <f t="shared" si="0"/>
        <v>0</v>
      </c>
      <c r="H16" s="422"/>
      <c r="I16" s="422"/>
      <c r="J16" s="422"/>
      <c r="K16" s="422"/>
      <c r="L16" s="422"/>
      <c r="M16" s="3" t="s">
        <v>551</v>
      </c>
      <c r="N16" s="1"/>
      <c r="O16" s="416">
        <v>1200000</v>
      </c>
      <c r="P16" s="4">
        <v>1200000</v>
      </c>
      <c r="Q16" s="4">
        <f>'Kiadások összesen'!J50</f>
        <v>0</v>
      </c>
      <c r="R16" s="594">
        <f>'Kiadások összesen'!J51</f>
        <v>0</v>
      </c>
      <c r="S16" s="4">
        <f>'Kiadások összesen'!J48</f>
        <v>0</v>
      </c>
      <c r="T16" s="4">
        <v>0</v>
      </c>
      <c r="U16" s="668"/>
      <c r="V16" s="4"/>
      <c r="W16" s="1"/>
      <c r="X16" s="1"/>
    </row>
    <row r="17" spans="1:24" ht="27.75" customHeight="1" x14ac:dyDescent="0.35">
      <c r="A17" s="134" t="s">
        <v>364</v>
      </c>
      <c r="B17" s="135" t="s">
        <v>365</v>
      </c>
      <c r="C17" s="417">
        <v>196450878</v>
      </c>
      <c r="D17" s="417">
        <v>230426739</v>
      </c>
      <c r="E17" s="417">
        <f>SUM(E10:E16)</f>
        <v>203750262.75999999</v>
      </c>
      <c r="F17" s="417">
        <f t="shared" ref="F17:H17" si="4">SUM(F10:F16)</f>
        <v>61429541</v>
      </c>
      <c r="G17" s="417">
        <f t="shared" si="4"/>
        <v>265179803.75999999</v>
      </c>
      <c r="H17" s="417">
        <f t="shared" si="4"/>
        <v>236197443</v>
      </c>
      <c r="I17" s="417">
        <f>SUM(I10:I16)</f>
        <v>247096077.68000001</v>
      </c>
      <c r="J17" s="417">
        <f t="shared" ref="J17:L17" si="5">SUM(J10:J16)</f>
        <v>153261218.81</v>
      </c>
      <c r="K17" s="417">
        <f t="shared" si="5"/>
        <v>400449558</v>
      </c>
      <c r="L17" s="417">
        <f t="shared" si="5"/>
        <v>400449558</v>
      </c>
      <c r="M17" s="134" t="s">
        <v>366</v>
      </c>
      <c r="N17" s="141"/>
      <c r="O17" s="417">
        <v>815599776</v>
      </c>
      <c r="P17" s="417">
        <v>849296270</v>
      </c>
      <c r="Q17" s="417">
        <f t="shared" ref="Q17:T17" si="6">SUM(Q8:Q16)</f>
        <v>229310676.91499999</v>
      </c>
      <c r="R17" s="417">
        <f t="shared" si="6"/>
        <v>155806112.08500001</v>
      </c>
      <c r="S17" s="417">
        <f t="shared" si="6"/>
        <v>405493582</v>
      </c>
      <c r="T17" s="417">
        <f t="shared" si="6"/>
        <v>183118144</v>
      </c>
      <c r="U17" s="417">
        <f>SUM(U8:U16)</f>
        <v>260996970.91499999</v>
      </c>
      <c r="V17" s="417">
        <f t="shared" ref="V17:X17" si="7">SUM(V8:V16)</f>
        <v>144404352.08500001</v>
      </c>
      <c r="W17" s="417">
        <f>SUM(W8:W16)</f>
        <v>405493584</v>
      </c>
      <c r="X17" s="417">
        <f t="shared" si="7"/>
        <v>183118144</v>
      </c>
    </row>
    <row r="18" spans="1:24" ht="27.75" customHeight="1" x14ac:dyDescent="0.35">
      <c r="A18" s="126" t="s">
        <v>367</v>
      </c>
      <c r="B18" s="127" t="s">
        <v>368</v>
      </c>
      <c r="C18" s="422">
        <v>718200409</v>
      </c>
      <c r="D18" s="422">
        <v>718200409</v>
      </c>
      <c r="E18" s="422">
        <f>E19</f>
        <v>582673489</v>
      </c>
      <c r="F18" s="422"/>
      <c r="G18" s="422">
        <f>E18+F18</f>
        <v>582673489</v>
      </c>
      <c r="H18" s="422">
        <v>530674445</v>
      </c>
      <c r="I18" s="591">
        <v>116648252</v>
      </c>
      <c r="J18" s="871">
        <f>K18-I18</f>
        <v>-14813485</v>
      </c>
      <c r="K18" s="591">
        <v>101834767</v>
      </c>
      <c r="L18" s="591">
        <v>101834767</v>
      </c>
      <c r="M18" s="1"/>
      <c r="N18" s="1"/>
      <c r="O18" s="4"/>
      <c r="P18" s="4"/>
      <c r="Q18" s="4"/>
      <c r="R18" s="1"/>
      <c r="S18" s="4"/>
      <c r="T18" s="4"/>
      <c r="U18" s="668"/>
      <c r="V18" s="4"/>
      <c r="W18" s="1"/>
      <c r="X18" s="1"/>
    </row>
    <row r="19" spans="1:24" ht="27.75" customHeight="1" x14ac:dyDescent="0.35">
      <c r="A19" s="663" t="s">
        <v>369</v>
      </c>
      <c r="B19" s="664" t="s">
        <v>370</v>
      </c>
      <c r="C19" s="665">
        <v>718200409</v>
      </c>
      <c r="D19" s="665">
        <v>718200409</v>
      </c>
      <c r="E19" s="665">
        <f>587251289-4577799-1</f>
        <v>582673489</v>
      </c>
      <c r="F19" s="665">
        <v>0</v>
      </c>
      <c r="G19" s="665">
        <f t="shared" ref="G19" si="8">587251289-4577799-1</f>
        <v>582673489</v>
      </c>
      <c r="H19" s="665">
        <f>SUM(H18)</f>
        <v>530674445</v>
      </c>
      <c r="I19" s="665">
        <f>I18</f>
        <v>116648252</v>
      </c>
      <c r="J19" s="665">
        <f t="shared" ref="J19:L19" si="9">J18</f>
        <v>-14813485</v>
      </c>
      <c r="K19" s="665">
        <f t="shared" si="9"/>
        <v>101834767</v>
      </c>
      <c r="L19" s="665">
        <f t="shared" si="9"/>
        <v>101834767</v>
      </c>
      <c r="M19" s="880" t="s">
        <v>371</v>
      </c>
      <c r="N19" s="138" t="s">
        <v>372</v>
      </c>
      <c r="O19" s="418">
        <v>4051034</v>
      </c>
      <c r="P19" s="4">
        <v>4330401</v>
      </c>
      <c r="Q19" s="4">
        <f>'Kiadások összesen'!L50</f>
        <v>4979202</v>
      </c>
      <c r="R19" s="1">
        <f>'Kiadások összesen'!L51</f>
        <v>0</v>
      </c>
      <c r="S19" s="4">
        <f>'Kiadások összesen'!L52</f>
        <v>4979202</v>
      </c>
      <c r="T19" s="4">
        <f>'Kiadások összesen'!L49</f>
        <v>4979202</v>
      </c>
      <c r="U19" s="668">
        <f>'Kiadások összesen'!L46</f>
        <v>4979202</v>
      </c>
      <c r="V19" s="4">
        <f t="shared" ref="V19:V22" si="10">W19-U19</f>
        <v>0</v>
      </c>
      <c r="W19" s="1">
        <f>'Kiadások összesen'!L48</f>
        <v>4979202</v>
      </c>
      <c r="X19" s="1">
        <f>'Kiadások összesen'!L49</f>
        <v>4979202</v>
      </c>
    </row>
    <row r="20" spans="1:24" ht="27.75" customHeight="1" x14ac:dyDescent="0.35">
      <c r="A20" s="126" t="s">
        <v>591</v>
      </c>
      <c r="B20" s="127" t="s">
        <v>862</v>
      </c>
      <c r="C20" s="422"/>
      <c r="D20" s="422"/>
      <c r="E20" s="422"/>
      <c r="F20" s="422">
        <v>208917</v>
      </c>
      <c r="G20" s="422">
        <f>E20+F20</f>
        <v>208917</v>
      </c>
      <c r="H20" s="422">
        <v>376455</v>
      </c>
      <c r="I20" s="770"/>
      <c r="J20" s="591">
        <v>5657084</v>
      </c>
      <c r="K20" s="591">
        <v>5657084</v>
      </c>
      <c r="L20" s="591">
        <v>5657084</v>
      </c>
      <c r="M20" s="880"/>
      <c r="N20" s="138"/>
      <c r="O20" s="418"/>
      <c r="P20" s="4"/>
      <c r="Q20" s="4"/>
      <c r="R20" s="1"/>
      <c r="S20" s="4"/>
      <c r="T20" s="4"/>
      <c r="U20" s="668"/>
      <c r="V20" s="4">
        <f t="shared" si="10"/>
        <v>0</v>
      </c>
      <c r="W20" s="1"/>
      <c r="X20" s="1"/>
    </row>
    <row r="21" spans="1:24" ht="27.75" customHeight="1" x14ac:dyDescent="0.35">
      <c r="A21" s="140" t="s">
        <v>338</v>
      </c>
      <c r="B21" s="127" t="s">
        <v>154</v>
      </c>
      <c r="C21" s="422">
        <v>0</v>
      </c>
      <c r="D21" s="422">
        <v>0</v>
      </c>
      <c r="E21" s="422"/>
      <c r="F21" s="422"/>
      <c r="G21" s="422"/>
      <c r="H21" s="422"/>
      <c r="I21" s="770"/>
      <c r="J21" s="770"/>
      <c r="K21" s="770"/>
      <c r="L21" s="770"/>
      <c r="M21" s="880" t="s">
        <v>373</v>
      </c>
      <c r="N21" s="138" t="s">
        <v>374</v>
      </c>
      <c r="O21" s="418">
        <v>95000477</v>
      </c>
      <c r="P21" s="4">
        <v>95000477</v>
      </c>
      <c r="Q21" s="4">
        <f>'Kiadások összesen'!M50</f>
        <v>97768157.049999997</v>
      </c>
      <c r="R21" s="1">
        <f>'Kiadások összesen'!M51</f>
        <v>-299534.04999999702</v>
      </c>
      <c r="S21" s="4">
        <f>'Kiadások összesen'!M52</f>
        <v>97468623</v>
      </c>
      <c r="T21" s="4">
        <f>'Kiadások összesen'!M53</f>
        <v>97468623</v>
      </c>
      <c r="U21" s="668">
        <f>'Kiadások összesen'!M46</f>
        <v>97768157.049999997</v>
      </c>
      <c r="V21" s="4">
        <f t="shared" si="10"/>
        <v>-299534.04999999702</v>
      </c>
      <c r="W21" s="1">
        <f>'Kiadások összesen'!M48</f>
        <v>97468623</v>
      </c>
      <c r="X21" s="1">
        <f>'Kiadások összesen'!M49</f>
        <v>97468623</v>
      </c>
    </row>
    <row r="22" spans="1:24" ht="27.75" customHeight="1" x14ac:dyDescent="0.35">
      <c r="A22" s="140" t="s">
        <v>863</v>
      </c>
      <c r="B22" s="127" t="s">
        <v>864</v>
      </c>
      <c r="C22" s="422"/>
      <c r="D22" s="422"/>
      <c r="E22" s="422"/>
      <c r="F22" s="422"/>
      <c r="G22" s="422"/>
      <c r="H22" s="598">
        <v>49968485</v>
      </c>
      <c r="I22" s="820"/>
      <c r="J22" s="820"/>
      <c r="K22" s="820"/>
      <c r="L22" s="591">
        <v>40245301</v>
      </c>
      <c r="M22" s="880" t="s">
        <v>865</v>
      </c>
      <c r="N22" s="138"/>
      <c r="O22" s="418"/>
      <c r="P22" s="4"/>
      <c r="Q22" s="4"/>
      <c r="R22" s="1"/>
      <c r="S22" s="4"/>
      <c r="T22" s="4">
        <v>20680345</v>
      </c>
      <c r="U22" s="668">
        <v>0</v>
      </c>
      <c r="V22" s="4">
        <f t="shared" si="10"/>
        <v>0</v>
      </c>
      <c r="W22" s="1"/>
      <c r="X22" s="591">
        <v>40255388</v>
      </c>
    </row>
    <row r="23" spans="1:24" ht="27.75" customHeight="1" x14ac:dyDescent="0.35">
      <c r="A23" s="126" t="s">
        <v>375</v>
      </c>
      <c r="B23" s="127" t="s">
        <v>376</v>
      </c>
      <c r="C23" s="422">
        <v>718200409</v>
      </c>
      <c r="D23" s="422">
        <v>718200409</v>
      </c>
      <c r="E23" s="422">
        <f>SUM(E19,E20,E21,E22)</f>
        <v>582673489</v>
      </c>
      <c r="F23" s="422">
        <f>SUM(F19,F20,F21,F22)</f>
        <v>208917</v>
      </c>
      <c r="G23" s="422">
        <f>SUM(G19,G20,G21,G22)</f>
        <v>582882406</v>
      </c>
      <c r="H23" s="422">
        <f>SUM(H19,H20,H21,H22)</f>
        <v>581019385</v>
      </c>
      <c r="I23" s="422">
        <f>SUM(I19,I20,I21,I22)</f>
        <v>116648252</v>
      </c>
      <c r="J23" s="422">
        <f t="shared" ref="J23:L23" si="11">SUM(J19,J20,J21,J22)</f>
        <v>-9156401</v>
      </c>
      <c r="K23" s="422">
        <f t="shared" si="11"/>
        <v>107491851</v>
      </c>
      <c r="L23" s="422">
        <f t="shared" si="11"/>
        <v>147737152</v>
      </c>
      <c r="M23" s="146" t="s">
        <v>377</v>
      </c>
      <c r="N23" s="666" t="s">
        <v>378</v>
      </c>
      <c r="O23" s="667">
        <v>99051511</v>
      </c>
      <c r="P23" s="667">
        <v>99330878</v>
      </c>
      <c r="Q23" s="667">
        <f>SUM(Q19:Q22)</f>
        <v>102747359.05</v>
      </c>
      <c r="R23" s="667">
        <f t="shared" ref="R23:S23" si="12">SUM(R19:R22)</f>
        <v>-299534.04999999702</v>
      </c>
      <c r="S23" s="667">
        <f t="shared" si="12"/>
        <v>102447825</v>
      </c>
      <c r="T23" s="667">
        <f>SUM(T19:T22)</f>
        <v>123128170</v>
      </c>
      <c r="U23" s="667">
        <f>SUM(U19:U22)</f>
        <v>102747359.05</v>
      </c>
      <c r="V23" s="667">
        <f t="shared" ref="V23:X23" si="13">SUM(V19:V22)</f>
        <v>-299534.04999999702</v>
      </c>
      <c r="W23" s="667">
        <f t="shared" si="13"/>
        <v>102447825</v>
      </c>
      <c r="X23" s="667">
        <f t="shared" si="13"/>
        <v>142703213</v>
      </c>
    </row>
    <row r="24" spans="1:24" ht="27.75" customHeight="1" x14ac:dyDescent="0.35">
      <c r="A24" s="126" t="s">
        <v>568</v>
      </c>
      <c r="B24" s="127"/>
      <c r="C24" s="422"/>
      <c r="D24" s="422">
        <v>0</v>
      </c>
      <c r="E24" s="422"/>
      <c r="F24" s="422"/>
      <c r="G24" s="422"/>
      <c r="H24" s="422"/>
      <c r="I24" s="422"/>
      <c r="J24" s="422"/>
      <c r="K24" s="422"/>
      <c r="L24" s="422"/>
      <c r="M24" s="880"/>
      <c r="N24" s="138"/>
      <c r="O24" s="418"/>
      <c r="P24" s="4"/>
      <c r="Q24" s="4"/>
      <c r="R24" s="1"/>
      <c r="S24" s="4"/>
      <c r="T24" s="4"/>
      <c r="U24" s="4"/>
      <c r="V24" s="1"/>
      <c r="W24" s="1"/>
      <c r="X24" s="1"/>
    </row>
    <row r="25" spans="1:24" ht="27.75" customHeight="1" x14ac:dyDescent="0.35">
      <c r="A25" s="134" t="s">
        <v>379</v>
      </c>
      <c r="B25" s="141" t="s">
        <v>380</v>
      </c>
      <c r="C25" s="417">
        <v>718200409</v>
      </c>
      <c r="D25" s="417">
        <v>718200409</v>
      </c>
      <c r="E25" s="417">
        <f>SUM(E23,E24)</f>
        <v>582673489</v>
      </c>
      <c r="F25" s="417">
        <f>SUM(F23,F24)</f>
        <v>208917</v>
      </c>
      <c r="G25" s="417">
        <f>SUM(G23,G24)</f>
        <v>582882406</v>
      </c>
      <c r="H25" s="417">
        <f>SUM(H23,H24)</f>
        <v>581019385</v>
      </c>
      <c r="I25" s="417">
        <f>SUM(I23,I24)</f>
        <v>116648252</v>
      </c>
      <c r="J25" s="417">
        <f t="shared" ref="J25:L25" si="14">SUM(J23,J24)</f>
        <v>-9156401</v>
      </c>
      <c r="K25" s="417">
        <f t="shared" si="14"/>
        <v>107491851</v>
      </c>
      <c r="L25" s="417">
        <f t="shared" si="14"/>
        <v>147737152</v>
      </c>
      <c r="M25" s="134" t="s">
        <v>381</v>
      </c>
      <c r="N25" s="141" t="s">
        <v>382</v>
      </c>
      <c r="O25" s="417">
        <v>99051511</v>
      </c>
      <c r="P25" s="417">
        <v>99330878</v>
      </c>
      <c r="Q25" s="417">
        <f>SUM(Q23)</f>
        <v>102747359.05</v>
      </c>
      <c r="R25" s="417">
        <f>SUM(R23)</f>
        <v>-299534.04999999702</v>
      </c>
      <c r="S25" s="417">
        <f>SUM(S23)</f>
        <v>102447825</v>
      </c>
      <c r="T25" s="417">
        <f>SUM(T23)</f>
        <v>123128170</v>
      </c>
      <c r="U25" s="417">
        <f>SUM(U23)</f>
        <v>102747359.05</v>
      </c>
      <c r="V25" s="417">
        <f t="shared" ref="V25:X25" si="15">SUM(V23)</f>
        <v>-299534.04999999702</v>
      </c>
      <c r="W25" s="417">
        <f t="shared" si="15"/>
        <v>102447825</v>
      </c>
      <c r="X25" s="417">
        <f t="shared" si="15"/>
        <v>142703213</v>
      </c>
    </row>
    <row r="26" spans="1:24" ht="27.75" customHeight="1" x14ac:dyDescent="0.35">
      <c r="A26" s="143" t="s">
        <v>383</v>
      </c>
      <c r="B26" s="141"/>
      <c r="C26" s="423">
        <v>914651287</v>
      </c>
      <c r="D26" s="423">
        <v>948627148</v>
      </c>
      <c r="E26" s="423">
        <f>SUM(E25,E17)</f>
        <v>786423751.75999999</v>
      </c>
      <c r="F26" s="423">
        <f>SUM(F25,F17)</f>
        <v>61638458</v>
      </c>
      <c r="G26" s="423">
        <f>SUM(G25,G17)</f>
        <v>848062209.75999999</v>
      </c>
      <c r="H26" s="423">
        <f>SUM(H25,H17)</f>
        <v>817216828</v>
      </c>
      <c r="I26" s="419">
        <f>SUM(I25,I17)</f>
        <v>363744329.68000001</v>
      </c>
      <c r="J26" s="419">
        <f t="shared" ref="J26:L26" si="16">SUM(J25,J17)</f>
        <v>144104817.81</v>
      </c>
      <c r="K26" s="419">
        <f t="shared" si="16"/>
        <v>507941409</v>
      </c>
      <c r="L26" s="419">
        <f t="shared" si="16"/>
        <v>548186710</v>
      </c>
      <c r="M26" s="143" t="s">
        <v>384</v>
      </c>
      <c r="N26" s="141"/>
      <c r="O26" s="419">
        <v>914651287</v>
      </c>
      <c r="P26" s="419">
        <v>948627148</v>
      </c>
      <c r="Q26" s="419">
        <f>Q17+Q25</f>
        <v>332058035.96499997</v>
      </c>
      <c r="R26" s="419">
        <f>R17+R25</f>
        <v>155506578.03500003</v>
      </c>
      <c r="S26" s="419">
        <f>S17+S25</f>
        <v>507941407</v>
      </c>
      <c r="T26" s="419">
        <f>T17+T25</f>
        <v>306246314</v>
      </c>
      <c r="U26" s="419">
        <f>U17+U25</f>
        <v>363744329.96499997</v>
      </c>
      <c r="V26" s="419">
        <f t="shared" ref="V26:X26" si="17">V17+V25</f>
        <v>144104818.03500003</v>
      </c>
      <c r="W26" s="419">
        <f t="shared" si="17"/>
        <v>507941409</v>
      </c>
      <c r="X26" s="419">
        <f t="shared" si="17"/>
        <v>325821357</v>
      </c>
    </row>
    <row r="27" spans="1:24" ht="27.75" customHeight="1" x14ac:dyDescent="0.35">
      <c r="A27" s="409" t="s">
        <v>385</v>
      </c>
      <c r="B27" s="409"/>
      <c r="C27" s="420">
        <v>0</v>
      </c>
      <c r="D27" s="420">
        <v>0</v>
      </c>
      <c r="E27" s="420">
        <f>E26-Q26</f>
        <v>454365715.79500002</v>
      </c>
      <c r="F27" s="420">
        <f>F26-R26</f>
        <v>-93868120.035000026</v>
      </c>
      <c r="G27" s="420">
        <f>G26-S26</f>
        <v>340120802.75999999</v>
      </c>
      <c r="H27" s="420">
        <f>H26-T26</f>
        <v>510970514</v>
      </c>
      <c r="I27" s="420">
        <f>I26-U26</f>
        <v>-0.28499996662139893</v>
      </c>
      <c r="J27" s="420"/>
      <c r="K27" s="420"/>
      <c r="L27" s="592">
        <v>548186710</v>
      </c>
      <c r="M27" s="409"/>
      <c r="N27" s="409"/>
      <c r="O27" s="420">
        <f>O26-C26</f>
        <v>0</v>
      </c>
      <c r="U27" s="13"/>
      <c r="V27" s="13">
        <f>J26-V26</f>
        <v>-0.22500002384185791</v>
      </c>
      <c r="W27" s="592"/>
    </row>
    <row r="28" spans="1:24" ht="27.75" customHeight="1" x14ac:dyDescent="0.35">
      <c r="G28" s="13">
        <f>E26+F26</f>
        <v>848062209.75999999</v>
      </c>
      <c r="U28" s="13"/>
      <c r="W28" s="592"/>
      <c r="X28" s="13"/>
    </row>
    <row r="29" spans="1:24" x14ac:dyDescent="0.35">
      <c r="U29" s="13"/>
      <c r="W29" s="145"/>
    </row>
    <row r="30" spans="1:24" x14ac:dyDescent="0.35">
      <c r="W30" s="13"/>
    </row>
  </sheetData>
  <mergeCells count="3">
    <mergeCell ref="A3:U4"/>
    <mergeCell ref="A6:L6"/>
    <mergeCell ref="M6:X6"/>
  </mergeCells>
  <pageMargins left="0.70866141732283472" right="0.70866141732283472" top="0.74803149606299213" bottom="0.74803149606299213" header="0.31496062992125984" footer="0.31496062992125984"/>
  <pageSetup paperSize="8" scale="5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39997558519241921"/>
    <pageSetUpPr fitToPage="1"/>
  </sheetPr>
  <dimension ref="A1:G16"/>
  <sheetViews>
    <sheetView workbookViewId="0">
      <selection activeCell="B1" sqref="B1"/>
    </sheetView>
  </sheetViews>
  <sheetFormatPr defaultRowHeight="14.5" x14ac:dyDescent="0.35"/>
  <cols>
    <col min="2" max="2" width="12.81640625" style="5" customWidth="1"/>
    <col min="3" max="3" width="34" customWidth="1"/>
    <col min="4" max="4" width="19.81640625" customWidth="1"/>
    <col min="5" max="5" width="16.7265625" customWidth="1"/>
    <col min="6" max="6" width="15.54296875" customWidth="1"/>
    <col min="7" max="7" width="16.1796875" customWidth="1"/>
  </cols>
  <sheetData>
    <row r="1" spans="1:7" x14ac:dyDescent="0.35">
      <c r="A1" s="532"/>
      <c r="B1" s="5" t="s">
        <v>559</v>
      </c>
    </row>
    <row r="3" spans="1:7" x14ac:dyDescent="0.35">
      <c r="B3" s="1164" t="s">
        <v>1084</v>
      </c>
      <c r="C3" s="1164"/>
      <c r="D3" s="1164"/>
      <c r="E3" s="1164"/>
      <c r="F3" s="1164"/>
    </row>
    <row r="6" spans="1:7" ht="15" customHeight="1" x14ac:dyDescent="0.35">
      <c r="B6" s="1162" t="s">
        <v>1096</v>
      </c>
      <c r="C6" s="1162"/>
      <c r="D6" s="1162"/>
      <c r="E6" s="1162"/>
      <c r="F6" s="1162"/>
      <c r="G6" s="1162"/>
    </row>
    <row r="7" spans="1:7" ht="15.5" x14ac:dyDescent="0.35">
      <c r="B7" s="1034"/>
      <c r="C7" s="1034" t="s">
        <v>386</v>
      </c>
      <c r="D7" s="1034" t="s">
        <v>344</v>
      </c>
      <c r="E7" s="1035" t="s">
        <v>1132</v>
      </c>
      <c r="F7" s="1035" t="s">
        <v>340</v>
      </c>
      <c r="G7" s="1034" t="s">
        <v>4</v>
      </c>
    </row>
    <row r="8" spans="1:7" ht="24.75" customHeight="1" x14ac:dyDescent="0.35">
      <c r="B8" s="898" t="s">
        <v>616</v>
      </c>
      <c r="C8" s="899" t="s">
        <v>1085</v>
      </c>
      <c r="D8" s="900">
        <v>400449558</v>
      </c>
      <c r="E8" s="900">
        <v>651051</v>
      </c>
      <c r="F8" s="900">
        <v>3055</v>
      </c>
      <c r="G8" s="1088">
        <f>SUM(D8:F8)</f>
        <v>401103664</v>
      </c>
    </row>
    <row r="9" spans="1:7" ht="37.5" customHeight="1" x14ac:dyDescent="0.35">
      <c r="B9" s="898" t="s">
        <v>618</v>
      </c>
      <c r="C9" s="899" t="s">
        <v>1086</v>
      </c>
      <c r="D9" s="900">
        <v>183118144</v>
      </c>
      <c r="E9" s="900">
        <v>38649327</v>
      </c>
      <c r="F9" s="900">
        <v>61093659</v>
      </c>
      <c r="G9" s="1088">
        <f t="shared" ref="G9:G16" si="0">SUM(D9:F9)</f>
        <v>282861130</v>
      </c>
    </row>
    <row r="10" spans="1:7" ht="26" x14ac:dyDescent="0.35">
      <c r="B10" s="901" t="s">
        <v>620</v>
      </c>
      <c r="C10" s="902" t="s">
        <v>1087</v>
      </c>
      <c r="D10" s="903">
        <v>217331414</v>
      </c>
      <c r="E10" s="903">
        <v>-37998276</v>
      </c>
      <c r="F10" s="903">
        <v>-61090604</v>
      </c>
      <c r="G10" s="1088">
        <f t="shared" si="0"/>
        <v>118242534</v>
      </c>
    </row>
    <row r="11" spans="1:7" ht="38.25" customHeight="1" x14ac:dyDescent="0.35">
      <c r="B11" s="898" t="s">
        <v>622</v>
      </c>
      <c r="C11" s="899" t="s">
        <v>1088</v>
      </c>
      <c r="D11" s="900">
        <v>147737152</v>
      </c>
      <c r="E11" s="900">
        <v>39015543</v>
      </c>
      <c r="F11" s="900">
        <v>62398022</v>
      </c>
      <c r="G11" s="1088">
        <f t="shared" si="0"/>
        <v>249150717</v>
      </c>
    </row>
    <row r="12" spans="1:7" ht="25" x14ac:dyDescent="0.35">
      <c r="B12" s="898" t="s">
        <v>624</v>
      </c>
      <c r="C12" s="899" t="s">
        <v>1089</v>
      </c>
      <c r="D12" s="900">
        <v>142703213</v>
      </c>
      <c r="E12" s="1035"/>
      <c r="F12" s="1035"/>
      <c r="G12" s="1088">
        <f t="shared" si="0"/>
        <v>142703213</v>
      </c>
    </row>
    <row r="13" spans="1:7" ht="33" customHeight="1" x14ac:dyDescent="0.35">
      <c r="B13" s="901" t="s">
        <v>626</v>
      </c>
      <c r="C13" s="902" t="s">
        <v>1090</v>
      </c>
      <c r="D13" s="903">
        <v>5033939</v>
      </c>
      <c r="E13" s="903">
        <v>39015543</v>
      </c>
      <c r="F13" s="903">
        <v>62398022</v>
      </c>
      <c r="G13" s="1088">
        <f t="shared" si="0"/>
        <v>106447504</v>
      </c>
    </row>
    <row r="14" spans="1:7" ht="33.75" customHeight="1" x14ac:dyDescent="0.35">
      <c r="B14" s="901" t="s">
        <v>628</v>
      </c>
      <c r="C14" s="902" t="s">
        <v>1091</v>
      </c>
      <c r="D14" s="903">
        <v>222365353</v>
      </c>
      <c r="E14" s="903">
        <v>1017267</v>
      </c>
      <c r="F14" s="903">
        <v>1307418</v>
      </c>
      <c r="G14" s="1088">
        <f t="shared" si="0"/>
        <v>224690038</v>
      </c>
    </row>
    <row r="15" spans="1:7" x14ac:dyDescent="0.35">
      <c r="B15" s="901" t="s">
        <v>1092</v>
      </c>
      <c r="C15" s="902" t="s">
        <v>1093</v>
      </c>
      <c r="D15" s="903">
        <v>222365353</v>
      </c>
      <c r="E15" s="903">
        <v>1017267</v>
      </c>
      <c r="F15" s="903">
        <v>1307418</v>
      </c>
      <c r="G15" s="1088">
        <f t="shared" si="0"/>
        <v>224690038</v>
      </c>
    </row>
    <row r="16" spans="1:7" ht="36" customHeight="1" x14ac:dyDescent="0.35">
      <c r="B16" s="901" t="s">
        <v>1094</v>
      </c>
      <c r="C16" s="902" t="s">
        <v>1095</v>
      </c>
      <c r="D16" s="903">
        <v>222365353</v>
      </c>
      <c r="E16" s="903">
        <v>1017267</v>
      </c>
      <c r="F16" s="903">
        <v>1307418</v>
      </c>
      <c r="G16" s="1114">
        <f t="shared" si="0"/>
        <v>224690038</v>
      </c>
    </row>
  </sheetData>
  <mergeCells count="2">
    <mergeCell ref="B3:F3"/>
    <mergeCell ref="B6:G6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39997558519241921"/>
    <pageSetUpPr fitToPage="1"/>
  </sheetPr>
  <dimension ref="A1:AG21"/>
  <sheetViews>
    <sheetView zoomScaleNormal="100" zoomScaleSheetLayoutView="110" workbookViewId="0">
      <selection sqref="A1:V1"/>
    </sheetView>
  </sheetViews>
  <sheetFormatPr defaultRowHeight="14.5" x14ac:dyDescent="0.35"/>
  <cols>
    <col min="1" max="1" width="44.81640625" style="650" customWidth="1"/>
    <col min="2" max="2" width="10.26953125" bestFit="1" customWidth="1"/>
    <col min="3" max="3" width="22.7265625" hidden="1" customWidth="1"/>
    <col min="4" max="8" width="17.26953125" hidden="1" customWidth="1"/>
    <col min="9" max="9" width="22.54296875" customWidth="1"/>
    <col min="10" max="11" width="21.7265625" hidden="1" customWidth="1"/>
    <col min="12" max="15" width="17" hidden="1" customWidth="1"/>
    <col min="16" max="16" width="17" style="532" hidden="1" customWidth="1"/>
    <col min="17" max="18" width="17" style="532" customWidth="1"/>
    <col min="19" max="19" width="21.81640625" style="269" customWidth="1"/>
    <col min="20" max="21" width="22.54296875" hidden="1" customWidth="1"/>
    <col min="22" max="25" width="17.54296875" hidden="1" customWidth="1"/>
    <col min="26" max="26" width="17.54296875" style="532" hidden="1" customWidth="1"/>
    <col min="27" max="28" width="17.54296875" style="532" customWidth="1"/>
    <col min="29" max="29" width="21" customWidth="1"/>
    <col min="30" max="30" width="14.81640625" hidden="1" customWidth="1"/>
    <col min="31" max="31" width="19.26953125" customWidth="1"/>
    <col min="32" max="32" width="18.26953125" customWidth="1"/>
  </cols>
  <sheetData>
    <row r="1" spans="1:33" x14ac:dyDescent="0.35">
      <c r="A1" s="1365" t="s">
        <v>900</v>
      </c>
      <c r="B1" s="1365"/>
      <c r="C1" s="1365"/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O1" s="1365"/>
      <c r="P1" s="1365"/>
      <c r="Q1" s="1365"/>
      <c r="R1" s="1365"/>
      <c r="S1" s="1365"/>
      <c r="T1" s="1365"/>
      <c r="U1" s="1365"/>
      <c r="V1" s="1365"/>
    </row>
    <row r="2" spans="1:33" x14ac:dyDescent="0.35">
      <c r="E2" s="69"/>
      <c r="F2" s="499"/>
      <c r="G2" s="499"/>
      <c r="H2" s="499"/>
      <c r="I2" s="499"/>
      <c r="J2" s="441"/>
      <c r="K2" s="441"/>
      <c r="L2" s="69"/>
      <c r="M2" s="499"/>
      <c r="N2" s="499"/>
      <c r="O2" s="499"/>
      <c r="P2" s="1036"/>
      <c r="Q2" s="1036"/>
      <c r="R2" s="1036"/>
      <c r="S2" s="524"/>
      <c r="T2" s="441"/>
      <c r="U2" s="441"/>
      <c r="V2" s="69"/>
    </row>
    <row r="3" spans="1:33" x14ac:dyDescent="0.35">
      <c r="A3" s="1156" t="s">
        <v>942</v>
      </c>
      <c r="B3" s="1156"/>
      <c r="C3" s="1156"/>
      <c r="D3" s="1156"/>
      <c r="E3" s="1156"/>
      <c r="F3" s="1156"/>
      <c r="G3" s="1156"/>
      <c r="H3" s="1156"/>
      <c r="I3" s="1156"/>
      <c r="J3" s="1156"/>
      <c r="K3" s="1156"/>
      <c r="L3" s="1156"/>
      <c r="M3" s="1156"/>
      <c r="N3" s="1156"/>
      <c r="O3" s="1156"/>
      <c r="P3" s="1156"/>
      <c r="Q3" s="1156"/>
      <c r="R3" s="1156"/>
      <c r="S3" s="1156"/>
      <c r="T3" s="1156"/>
      <c r="U3" s="1156"/>
      <c r="V3" s="1156"/>
      <c r="W3" s="1140"/>
      <c r="X3" s="1140"/>
      <c r="Y3" s="1140"/>
      <c r="Z3" s="1140"/>
      <c r="AA3" s="1140"/>
      <c r="AB3" s="1140"/>
      <c r="AC3" s="1140"/>
    </row>
    <row r="4" spans="1:33" ht="15" thickBot="1" x14ac:dyDescent="0.4">
      <c r="V4" s="118" t="s">
        <v>316</v>
      </c>
    </row>
    <row r="5" spans="1:33" ht="30" customHeight="1" x14ac:dyDescent="0.35">
      <c r="A5" s="1366" t="s">
        <v>325</v>
      </c>
      <c r="B5" s="1367" t="s">
        <v>326</v>
      </c>
      <c r="C5" s="1355" t="s">
        <v>0</v>
      </c>
      <c r="D5" s="1356"/>
      <c r="E5" s="1356"/>
      <c r="F5" s="1356"/>
      <c r="G5" s="1356"/>
      <c r="H5" s="1356"/>
      <c r="I5" s="1356"/>
      <c r="J5" s="1356"/>
      <c r="K5" s="1356"/>
      <c r="L5" s="1356"/>
      <c r="M5" s="1356"/>
      <c r="N5" s="1356"/>
      <c r="O5" s="1356"/>
      <c r="P5" s="1356"/>
      <c r="Q5" s="1356"/>
      <c r="R5" s="1357"/>
      <c r="S5" s="1359" t="s">
        <v>340</v>
      </c>
      <c r="T5" s="1360"/>
      <c r="U5" s="1360"/>
      <c r="V5" s="1360"/>
      <c r="W5" s="1360"/>
      <c r="X5" s="1360"/>
      <c r="Y5" s="1360"/>
      <c r="Z5" s="1360"/>
      <c r="AA5" s="1360"/>
      <c r="AB5" s="1361"/>
      <c r="AC5" s="1351" t="s">
        <v>4</v>
      </c>
      <c r="AD5" s="1352"/>
      <c r="AE5" s="1352"/>
      <c r="AF5" s="1353"/>
      <c r="AG5" s="1050"/>
    </row>
    <row r="6" spans="1:33" ht="15" customHeight="1" x14ac:dyDescent="0.35">
      <c r="A6" s="1366"/>
      <c r="B6" s="1367"/>
      <c r="C6" s="1369" t="s">
        <v>839</v>
      </c>
      <c r="D6" s="1291" t="s">
        <v>687</v>
      </c>
      <c r="E6" s="1291" t="s">
        <v>811</v>
      </c>
      <c r="F6" s="1291" t="s">
        <v>871</v>
      </c>
      <c r="G6" s="1291" t="s">
        <v>872</v>
      </c>
      <c r="H6" s="1291" t="s">
        <v>870</v>
      </c>
      <c r="I6" s="1291" t="s">
        <v>968</v>
      </c>
      <c r="J6" s="1368" t="s">
        <v>839</v>
      </c>
      <c r="K6" s="1368" t="s">
        <v>687</v>
      </c>
      <c r="L6" s="1362" t="s">
        <v>811</v>
      </c>
      <c r="M6" s="1362" t="s">
        <v>871</v>
      </c>
      <c r="N6" s="1362" t="s">
        <v>872</v>
      </c>
      <c r="O6" s="1362" t="s">
        <v>870</v>
      </c>
      <c r="P6" s="1291" t="s">
        <v>1022</v>
      </c>
      <c r="Q6" s="1291" t="s">
        <v>679</v>
      </c>
      <c r="R6" s="1358" t="s">
        <v>673</v>
      </c>
      <c r="S6" s="1364" t="s">
        <v>901</v>
      </c>
      <c r="T6" s="1362" t="s">
        <v>839</v>
      </c>
      <c r="U6" s="1362" t="s">
        <v>687</v>
      </c>
      <c r="V6" s="1147" t="s">
        <v>811</v>
      </c>
      <c r="W6" s="1147" t="s">
        <v>871</v>
      </c>
      <c r="X6" s="1147" t="s">
        <v>872</v>
      </c>
      <c r="Y6" s="1147" t="s">
        <v>870</v>
      </c>
      <c r="Z6" s="1362" t="s">
        <v>1131</v>
      </c>
      <c r="AA6" s="1362" t="s">
        <v>679</v>
      </c>
      <c r="AB6" s="1363" t="s">
        <v>673</v>
      </c>
      <c r="AC6" s="1354" t="s">
        <v>901</v>
      </c>
      <c r="AD6" s="1147" t="s">
        <v>1022</v>
      </c>
      <c r="AE6" s="1147" t="s">
        <v>679</v>
      </c>
      <c r="AF6" s="1350" t="s">
        <v>673</v>
      </c>
      <c r="AG6" s="1164"/>
    </row>
    <row r="7" spans="1:33" x14ac:dyDescent="0.35">
      <c r="A7" s="1366"/>
      <c r="B7" s="1367"/>
      <c r="C7" s="1369"/>
      <c r="D7" s="1291"/>
      <c r="E7" s="1291"/>
      <c r="F7" s="1291"/>
      <c r="G7" s="1291"/>
      <c r="H7" s="1291"/>
      <c r="I7" s="1291"/>
      <c r="J7" s="1368"/>
      <c r="K7" s="1368"/>
      <c r="L7" s="1362"/>
      <c r="M7" s="1362"/>
      <c r="N7" s="1362"/>
      <c r="O7" s="1362"/>
      <c r="P7" s="1291"/>
      <c r="Q7" s="1291"/>
      <c r="R7" s="1358"/>
      <c r="S7" s="1364"/>
      <c r="T7" s="1362"/>
      <c r="U7" s="1362"/>
      <c r="V7" s="1147"/>
      <c r="W7" s="1147"/>
      <c r="X7" s="1147"/>
      <c r="Y7" s="1147"/>
      <c r="Z7" s="1362"/>
      <c r="AA7" s="1362"/>
      <c r="AB7" s="1363"/>
      <c r="AC7" s="1354"/>
      <c r="AD7" s="1147"/>
      <c r="AE7" s="1147"/>
      <c r="AF7" s="1350"/>
      <c r="AG7" s="1164"/>
    </row>
    <row r="8" spans="1:33" ht="30" customHeight="1" x14ac:dyDescent="0.35">
      <c r="A8" s="725" t="s">
        <v>327</v>
      </c>
      <c r="B8" s="1058" t="s">
        <v>328</v>
      </c>
      <c r="C8" s="1063">
        <v>22706583</v>
      </c>
      <c r="D8" s="469">
        <v>23187948</v>
      </c>
      <c r="E8" s="119">
        <f>Hivatal!G25</f>
        <v>26168596</v>
      </c>
      <c r="F8" s="119">
        <f>Hivatal!U25</f>
        <v>1869859</v>
      </c>
      <c r="G8" s="119">
        <f>E8+F8</f>
        <v>28038455</v>
      </c>
      <c r="H8" s="119">
        <f>Hivatal!X25</f>
        <v>22204950</v>
      </c>
      <c r="I8" s="119">
        <f>Hivatal!Z25</f>
        <v>29843071</v>
      </c>
      <c r="J8" s="119">
        <v>46260723</v>
      </c>
      <c r="K8" s="119">
        <v>46712668</v>
      </c>
      <c r="L8" s="50">
        <f>Óvoda!Z24</f>
        <v>41832291</v>
      </c>
      <c r="M8" s="50">
        <f>Óvoda!AC24</f>
        <v>278961</v>
      </c>
      <c r="N8" s="50">
        <f>L8+M8</f>
        <v>42111252</v>
      </c>
      <c r="O8" s="50">
        <f>Óvoda!AF24</f>
        <v>33426725</v>
      </c>
      <c r="P8" s="50">
        <f>Hivatal!AA25</f>
        <v>-1640833</v>
      </c>
      <c r="Q8" s="50">
        <f>Hivatal!AB25</f>
        <v>28202238</v>
      </c>
      <c r="R8" s="1064">
        <f>Hivatal!AC25</f>
        <v>28202238</v>
      </c>
      <c r="S8" s="1074">
        <f>Óvoda!AH24</f>
        <v>42559855</v>
      </c>
      <c r="T8" s="120">
        <f t="shared" ref="T8:Y8" si="0">SUM(C8,J8,)</f>
        <v>68967306</v>
      </c>
      <c r="U8" s="120">
        <f t="shared" si="0"/>
        <v>69900616</v>
      </c>
      <c r="V8" s="120">
        <f t="shared" si="0"/>
        <v>68000887</v>
      </c>
      <c r="W8" s="120">
        <f t="shared" si="0"/>
        <v>2148820</v>
      </c>
      <c r="X8" s="120">
        <f t="shared" si="0"/>
        <v>70149707</v>
      </c>
      <c r="Y8" s="120">
        <f t="shared" si="0"/>
        <v>55631675</v>
      </c>
      <c r="Z8" s="120">
        <f>Óvoda!AI24</f>
        <v>-877859</v>
      </c>
      <c r="AA8" s="120">
        <f>Óvoda!AJ24</f>
        <v>41681996</v>
      </c>
      <c r="AB8" s="120">
        <f>Óvoda!AK24</f>
        <v>41681996</v>
      </c>
      <c r="AC8" s="1081">
        <f>SUM(I8,S8,)</f>
        <v>72402926</v>
      </c>
      <c r="AD8" s="507">
        <f>SUM(P8,Z8)</f>
        <v>-2518692</v>
      </c>
      <c r="AE8" s="507">
        <f t="shared" ref="AE8:AF12" si="1">SUM(Q8,AA8)</f>
        <v>69884234</v>
      </c>
      <c r="AF8" s="1082">
        <f t="shared" si="1"/>
        <v>69884234</v>
      </c>
    </row>
    <row r="9" spans="1:33" ht="30" customHeight="1" x14ac:dyDescent="0.35">
      <c r="A9" s="725" t="s">
        <v>329</v>
      </c>
      <c r="B9" s="1059" t="s">
        <v>328</v>
      </c>
      <c r="C9" s="1065">
        <v>4648933.8000000007</v>
      </c>
      <c r="D9" s="470">
        <v>4746863.8</v>
      </c>
      <c r="E9" s="119">
        <f>Hivatal!G26</f>
        <v>4701102.12</v>
      </c>
      <c r="F9" s="119">
        <f>Hivatal!U26</f>
        <v>335838</v>
      </c>
      <c r="G9" s="119">
        <f t="shared" ref="G9:G12" si="2">E9+F9</f>
        <v>5036940.12</v>
      </c>
      <c r="H9" s="119">
        <f>Hivatal!X26</f>
        <v>3957328</v>
      </c>
      <c r="I9" s="119">
        <f>Hivatal!Z26</f>
        <v>5612837.4249999998</v>
      </c>
      <c r="J9" s="119">
        <v>9476237</v>
      </c>
      <c r="K9" s="119">
        <v>9476237</v>
      </c>
      <c r="L9" s="50">
        <f>Óvoda!Z25</f>
        <v>7460796</v>
      </c>
      <c r="M9" s="50">
        <f>Óvoda!AC25</f>
        <v>213940</v>
      </c>
      <c r="N9" s="50">
        <f t="shared" ref="N9:N11" si="3">L9+M9</f>
        <v>7674736</v>
      </c>
      <c r="O9" s="50">
        <f>Óvoda!AF25</f>
        <v>6703161</v>
      </c>
      <c r="P9" s="50">
        <f>Hivatal!AA26</f>
        <v>-1421911.4249999998</v>
      </c>
      <c r="Q9" s="50">
        <f>Hivatal!AB26</f>
        <v>4190926</v>
      </c>
      <c r="R9" s="1064">
        <f>Hivatal!AC26</f>
        <v>4190926</v>
      </c>
      <c r="S9" s="1074">
        <f>Óvoda!AH25</f>
        <v>7447974.625</v>
      </c>
      <c r="T9" s="120">
        <f t="shared" ref="T9:U12" si="4">SUM(C9,J9,)</f>
        <v>14125170.800000001</v>
      </c>
      <c r="U9" s="120">
        <f t="shared" si="4"/>
        <v>14223100.800000001</v>
      </c>
      <c r="V9" s="120">
        <f t="shared" ref="V9:V12" si="5">SUM(E9,L9,)</f>
        <v>12161898.120000001</v>
      </c>
      <c r="W9" s="120">
        <f t="shared" ref="W9:W12" si="6">SUM(F9,M9,)</f>
        <v>549778</v>
      </c>
      <c r="X9" s="120">
        <f t="shared" ref="X9:X12" si="7">SUM(G9,N9,)</f>
        <v>12711676.120000001</v>
      </c>
      <c r="Y9" s="120">
        <f t="shared" ref="Y9:Y12" si="8">SUM(H9,O9,)</f>
        <v>10660489</v>
      </c>
      <c r="Z9" s="120">
        <f>Óvoda!AI25</f>
        <v>234279.375</v>
      </c>
      <c r="AA9" s="120">
        <f>Óvoda!AJ25</f>
        <v>7682254</v>
      </c>
      <c r="AB9" s="120">
        <f>Óvoda!AK25</f>
        <v>7682254</v>
      </c>
      <c r="AC9" s="1081">
        <f>SUM(I9,S9,)</f>
        <v>13060812.050000001</v>
      </c>
      <c r="AD9" s="507">
        <f t="shared" ref="AD9:AD12" si="9">SUM(P9,Z9)</f>
        <v>-1187632.0499999998</v>
      </c>
      <c r="AE9" s="507">
        <f t="shared" si="1"/>
        <v>11873180</v>
      </c>
      <c r="AF9" s="1082">
        <f t="shared" si="1"/>
        <v>11873180</v>
      </c>
    </row>
    <row r="10" spans="1:33" ht="30" customHeight="1" x14ac:dyDescent="0.35">
      <c r="A10" s="725" t="s">
        <v>330</v>
      </c>
      <c r="B10" s="1058" t="s">
        <v>328</v>
      </c>
      <c r="C10" s="1063">
        <v>6159000</v>
      </c>
      <c r="D10" s="469">
        <v>6632304</v>
      </c>
      <c r="E10" s="119">
        <f>Hivatal!G84</f>
        <v>7299160</v>
      </c>
      <c r="F10" s="119">
        <f>Hivatal!U84</f>
        <v>502543</v>
      </c>
      <c r="G10" s="119">
        <f t="shared" si="2"/>
        <v>7801703</v>
      </c>
      <c r="H10" s="119">
        <f>Hivatal!X84</f>
        <v>4611206</v>
      </c>
      <c r="I10" s="119">
        <f>Hivatal!Z84</f>
        <v>7699066</v>
      </c>
      <c r="J10" s="119">
        <v>5462000</v>
      </c>
      <c r="K10" s="119">
        <v>5441998</v>
      </c>
      <c r="L10" s="50">
        <f>Óvoda!Z81</f>
        <v>4812660</v>
      </c>
      <c r="M10" s="50">
        <f>Óvoda!AC81</f>
        <v>1012607</v>
      </c>
      <c r="N10" s="50">
        <f t="shared" si="3"/>
        <v>5825267</v>
      </c>
      <c r="O10" s="50">
        <f>Óvoda!AF81</f>
        <v>3158750</v>
      </c>
      <c r="P10" s="50">
        <f>Hivatal!AA84</f>
        <v>-864034</v>
      </c>
      <c r="Q10" s="50">
        <f>Hivatal!AB84</f>
        <v>6835032</v>
      </c>
      <c r="R10" s="1064">
        <f>Hivatal!AC84</f>
        <v>5817765</v>
      </c>
      <c r="S10" s="1074">
        <f>Óvoda!AH81</f>
        <v>5177050</v>
      </c>
      <c r="T10" s="120">
        <f t="shared" si="4"/>
        <v>11621000</v>
      </c>
      <c r="U10" s="120">
        <f t="shared" si="4"/>
        <v>12074302</v>
      </c>
      <c r="V10" s="120">
        <f t="shared" si="5"/>
        <v>12111820</v>
      </c>
      <c r="W10" s="120">
        <f t="shared" si="6"/>
        <v>1515150</v>
      </c>
      <c r="X10" s="120">
        <f t="shared" si="7"/>
        <v>13626970</v>
      </c>
      <c r="Y10" s="120">
        <f t="shared" si="8"/>
        <v>7769956</v>
      </c>
      <c r="Z10" s="120">
        <f>Óvoda!AI81</f>
        <v>767315</v>
      </c>
      <c r="AA10" s="120">
        <f>Óvoda!AJ81</f>
        <v>5944365</v>
      </c>
      <c r="AB10" s="120">
        <f>Óvoda!AK81</f>
        <v>4636947</v>
      </c>
      <c r="AC10" s="1081">
        <f t="shared" ref="AC10:AC12" si="10">SUM(I10,S10,)</f>
        <v>12876116</v>
      </c>
      <c r="AD10" s="507">
        <f t="shared" si="9"/>
        <v>-96719</v>
      </c>
      <c r="AE10" s="507">
        <f t="shared" si="1"/>
        <v>12779397</v>
      </c>
      <c r="AF10" s="1082">
        <f t="shared" si="1"/>
        <v>10454712</v>
      </c>
    </row>
    <row r="11" spans="1:33" ht="30" customHeight="1" x14ac:dyDescent="0.35">
      <c r="A11" s="726" t="s">
        <v>331</v>
      </c>
      <c r="B11" s="1060" t="s">
        <v>328</v>
      </c>
      <c r="C11" s="1066">
        <v>347000</v>
      </c>
      <c r="D11" s="471">
        <v>347000</v>
      </c>
      <c r="E11" s="119">
        <f>Hivatal!G103</f>
        <v>635000</v>
      </c>
      <c r="F11" s="119">
        <f>Hivatal!U103</f>
        <v>0</v>
      </c>
      <c r="G11" s="119">
        <f t="shared" si="2"/>
        <v>635000</v>
      </c>
      <c r="H11" s="119">
        <f>Hivatal!X103</f>
        <v>19989</v>
      </c>
      <c r="I11" s="119">
        <f>Hivatal!Z103</f>
        <v>1016000</v>
      </c>
      <c r="J11" s="119"/>
      <c r="K11" s="119">
        <v>20002</v>
      </c>
      <c r="L11" s="50">
        <f>Óvoda!E101</f>
        <v>300000</v>
      </c>
      <c r="M11" s="50">
        <f>Óvoda!AC101</f>
        <v>-65000</v>
      </c>
      <c r="N11" s="50">
        <f t="shared" si="3"/>
        <v>235000</v>
      </c>
      <c r="O11" s="50">
        <f>Óvoda!AF101</f>
        <v>175756</v>
      </c>
      <c r="P11" s="50">
        <f>Hivatal!AA103</f>
        <v>-577602</v>
      </c>
      <c r="Q11" s="50">
        <f>Hivatal!AB103</f>
        <v>438398</v>
      </c>
      <c r="R11" s="1064">
        <f>Hivatal!AC103</f>
        <v>438398</v>
      </c>
      <c r="S11" s="1074">
        <f>Óvoda!AH101</f>
        <v>482600</v>
      </c>
      <c r="T11" s="120">
        <f t="shared" si="4"/>
        <v>347000</v>
      </c>
      <c r="U11" s="120">
        <f t="shared" si="4"/>
        <v>367002</v>
      </c>
      <c r="V11" s="120">
        <f t="shared" si="5"/>
        <v>935000</v>
      </c>
      <c r="W11" s="120">
        <f t="shared" si="6"/>
        <v>-65000</v>
      </c>
      <c r="X11" s="120">
        <f t="shared" si="7"/>
        <v>870000</v>
      </c>
      <c r="Y11" s="120">
        <f t="shared" si="8"/>
        <v>195745</v>
      </c>
      <c r="Z11" s="120">
        <f>Óvoda!AI101</f>
        <v>6609862</v>
      </c>
      <c r="AA11" s="120">
        <f>Óvoda!AJ101</f>
        <v>7092462</v>
      </c>
      <c r="AB11" s="120">
        <f>Óvoda!AK101</f>
        <v>7092462</v>
      </c>
      <c r="AC11" s="1081">
        <f t="shared" si="10"/>
        <v>1498600</v>
      </c>
      <c r="AD11" s="507">
        <f t="shared" si="9"/>
        <v>6032260</v>
      </c>
      <c r="AE11" s="507">
        <f t="shared" si="1"/>
        <v>7530860</v>
      </c>
      <c r="AF11" s="1082">
        <f t="shared" si="1"/>
        <v>7530860</v>
      </c>
    </row>
    <row r="12" spans="1:33" ht="30" customHeight="1" x14ac:dyDescent="0.35">
      <c r="A12" s="726" t="s">
        <v>332</v>
      </c>
      <c r="B12" s="1060" t="s">
        <v>328</v>
      </c>
      <c r="C12" s="1066"/>
      <c r="D12" s="471"/>
      <c r="E12" s="50"/>
      <c r="F12" s="50"/>
      <c r="G12" s="119">
        <f t="shared" si="2"/>
        <v>0</v>
      </c>
      <c r="H12" s="50"/>
      <c r="I12" s="523"/>
      <c r="J12" s="50"/>
      <c r="K12" s="50"/>
      <c r="L12" s="50"/>
      <c r="M12" s="50"/>
      <c r="N12" s="50"/>
      <c r="O12" s="50"/>
      <c r="P12" s="50"/>
      <c r="Q12" s="50"/>
      <c r="R12" s="1064"/>
      <c r="S12" s="1074">
        <f>Óvoda!AH106</f>
        <v>0</v>
      </c>
      <c r="T12" s="120">
        <f t="shared" si="4"/>
        <v>0</v>
      </c>
      <c r="U12" s="120">
        <f t="shared" si="4"/>
        <v>0</v>
      </c>
      <c r="V12" s="120">
        <f t="shared" si="5"/>
        <v>0</v>
      </c>
      <c r="W12" s="120">
        <f t="shared" si="6"/>
        <v>0</v>
      </c>
      <c r="X12" s="120">
        <f t="shared" si="7"/>
        <v>0</v>
      </c>
      <c r="Y12" s="120">
        <f t="shared" si="8"/>
        <v>0</v>
      </c>
      <c r="Z12" s="120"/>
      <c r="AA12" s="120"/>
      <c r="AB12" s="1075"/>
      <c r="AC12" s="1081">
        <f t="shared" si="10"/>
        <v>0</v>
      </c>
      <c r="AD12" s="507">
        <f t="shared" si="9"/>
        <v>0</v>
      </c>
      <c r="AE12" s="507">
        <f t="shared" si="1"/>
        <v>0</v>
      </c>
      <c r="AF12" s="1082">
        <f t="shared" si="1"/>
        <v>0</v>
      </c>
    </row>
    <row r="13" spans="1:33" ht="30" customHeight="1" x14ac:dyDescent="0.35">
      <c r="A13" s="727" t="s">
        <v>333</v>
      </c>
      <c r="B13" s="1061" t="s">
        <v>328</v>
      </c>
      <c r="C13" s="1067">
        <v>33861516.799999997</v>
      </c>
      <c r="D13" s="472">
        <v>34914115.799999997</v>
      </c>
      <c r="E13" s="121">
        <f t="shared" ref="E13:R13" si="11">SUM(E8:E12)</f>
        <v>38803858.120000005</v>
      </c>
      <c r="F13" s="121">
        <f t="shared" si="11"/>
        <v>2708240</v>
      </c>
      <c r="G13" s="121">
        <f t="shared" si="11"/>
        <v>41512098.120000005</v>
      </c>
      <c r="H13" s="121">
        <f t="shared" si="11"/>
        <v>30793473</v>
      </c>
      <c r="I13" s="121">
        <f t="shared" si="11"/>
        <v>44170974.424999997</v>
      </c>
      <c r="J13" s="121">
        <f t="shared" si="11"/>
        <v>61198960</v>
      </c>
      <c r="K13" s="121">
        <f t="shared" si="11"/>
        <v>61650905</v>
      </c>
      <c r="L13" s="121">
        <f t="shared" si="11"/>
        <v>54405747</v>
      </c>
      <c r="M13" s="121">
        <f t="shared" si="11"/>
        <v>1440508</v>
      </c>
      <c r="N13" s="121">
        <f t="shared" si="11"/>
        <v>55846255</v>
      </c>
      <c r="O13" s="121">
        <f t="shared" si="11"/>
        <v>43464392</v>
      </c>
      <c r="P13" s="121">
        <f t="shared" si="11"/>
        <v>-4504380.4249999998</v>
      </c>
      <c r="Q13" s="121">
        <f t="shared" si="11"/>
        <v>39666594</v>
      </c>
      <c r="R13" s="1068">
        <f t="shared" si="11"/>
        <v>38649327</v>
      </c>
      <c r="S13" s="1076">
        <f t="shared" ref="S13:AB13" si="12">SUM(S8:S12)</f>
        <v>55667479.625</v>
      </c>
      <c r="T13" s="1076">
        <f t="shared" si="12"/>
        <v>95060476.799999997</v>
      </c>
      <c r="U13" s="1076">
        <f t="shared" si="12"/>
        <v>96565020.799999997</v>
      </c>
      <c r="V13" s="1076">
        <f t="shared" si="12"/>
        <v>93209605.120000005</v>
      </c>
      <c r="W13" s="1076">
        <f t="shared" si="12"/>
        <v>4148748</v>
      </c>
      <c r="X13" s="1076">
        <f t="shared" si="12"/>
        <v>97358353.120000005</v>
      </c>
      <c r="Y13" s="1076">
        <f t="shared" si="12"/>
        <v>74257865</v>
      </c>
      <c r="Z13" s="1076">
        <f t="shared" si="12"/>
        <v>6733597.375</v>
      </c>
      <c r="AA13" s="1076">
        <f t="shared" si="12"/>
        <v>62401077</v>
      </c>
      <c r="AB13" s="1076">
        <f t="shared" si="12"/>
        <v>61093659</v>
      </c>
      <c r="AC13" s="1083">
        <f>SUM(AC8:AC12)</f>
        <v>99838454.049999997</v>
      </c>
      <c r="AD13" s="122">
        <f t="shared" ref="AD13:AF13" si="13">SUM(AD8:AD12)</f>
        <v>2229216.9500000002</v>
      </c>
      <c r="AE13" s="122">
        <f t="shared" si="13"/>
        <v>102067671</v>
      </c>
      <c r="AF13" s="1077">
        <f t="shared" si="13"/>
        <v>99742986</v>
      </c>
    </row>
    <row r="14" spans="1:33" ht="30" customHeight="1" x14ac:dyDescent="0.35">
      <c r="A14" s="725" t="s">
        <v>334</v>
      </c>
      <c r="B14" s="1058" t="s">
        <v>328</v>
      </c>
      <c r="C14" s="1063"/>
      <c r="D14" s="469">
        <v>913638</v>
      </c>
      <c r="E14" s="50"/>
      <c r="F14" s="50">
        <f>Hivatal!U111</f>
        <v>2175232</v>
      </c>
      <c r="G14" s="50">
        <f>F14</f>
        <v>2175232</v>
      </c>
      <c r="H14" s="50">
        <f>Hivatal!X111</f>
        <v>2010732</v>
      </c>
      <c r="I14" s="50">
        <f>Hivatal!Z111</f>
        <v>0</v>
      </c>
      <c r="J14" s="50"/>
      <c r="K14" s="50">
        <v>451945</v>
      </c>
      <c r="L14" s="50"/>
      <c r="M14" s="50"/>
      <c r="N14" s="50"/>
      <c r="O14" s="50"/>
      <c r="P14" s="50">
        <f>Hivatal!AA111</f>
        <v>458826</v>
      </c>
      <c r="Q14" s="50">
        <f>Hivatal!AB111</f>
        <v>458826</v>
      </c>
      <c r="R14" s="1064">
        <f>Hivatal!AC111</f>
        <v>458826</v>
      </c>
      <c r="S14" s="1074"/>
      <c r="T14" s="120">
        <f t="shared" ref="T14:Y18" si="14">SUM(C14,J14,)</f>
        <v>0</v>
      </c>
      <c r="U14" s="120">
        <f t="shared" si="14"/>
        <v>1365583</v>
      </c>
      <c r="V14" s="120">
        <f t="shared" si="14"/>
        <v>0</v>
      </c>
      <c r="W14" s="120">
        <f t="shared" si="14"/>
        <v>2175232</v>
      </c>
      <c r="X14" s="120">
        <f t="shared" si="14"/>
        <v>2175232</v>
      </c>
      <c r="Y14" s="120">
        <f t="shared" si="14"/>
        <v>2010732</v>
      </c>
      <c r="Z14" s="120"/>
      <c r="AA14" s="120"/>
      <c r="AB14" s="1075"/>
      <c r="AC14" s="1081">
        <f>SUM(I14,S14,)</f>
        <v>0</v>
      </c>
      <c r="AD14" s="507">
        <f t="shared" ref="AD14:AD18" si="15">SUM(P14,Z14)</f>
        <v>458826</v>
      </c>
      <c r="AE14" s="507">
        <f t="shared" ref="AE14:AE18" si="16">SUM(Q14,AA14)</f>
        <v>458826</v>
      </c>
      <c r="AF14" s="1082">
        <f t="shared" ref="AF14:AF18" si="17">SUM(R14,AB14)</f>
        <v>458826</v>
      </c>
    </row>
    <row r="15" spans="1:33" ht="30" customHeight="1" x14ac:dyDescent="0.35">
      <c r="A15" s="725" t="s">
        <v>335</v>
      </c>
      <c r="B15" s="1058" t="s">
        <v>328</v>
      </c>
      <c r="C15" s="1063">
        <v>60000</v>
      </c>
      <c r="D15" s="469">
        <v>60000</v>
      </c>
      <c r="E15" s="50">
        <f>Hivatal!G112</f>
        <v>0</v>
      </c>
      <c r="F15" s="50">
        <f>Hivatal!U112</f>
        <v>0</v>
      </c>
      <c r="G15" s="50">
        <f>E15+F15</f>
        <v>0</v>
      </c>
      <c r="H15" s="50">
        <f>Hivatal!X112</f>
        <v>232356</v>
      </c>
      <c r="I15" s="50">
        <f>Hivatal!Z112</f>
        <v>0</v>
      </c>
      <c r="J15" s="50"/>
      <c r="K15" s="50"/>
      <c r="L15" s="50"/>
      <c r="M15" s="50"/>
      <c r="N15" s="50"/>
      <c r="O15" s="50">
        <f>Óvoda!AF110</f>
        <v>5156</v>
      </c>
      <c r="P15" s="50">
        <f>Hivatal!AA112</f>
        <v>192225</v>
      </c>
      <c r="Q15" s="50">
        <f>Hivatal!AB112</f>
        <v>192225</v>
      </c>
      <c r="R15" s="1064">
        <f>Hivatal!AC112</f>
        <v>192225</v>
      </c>
      <c r="S15" s="1074">
        <f>Óvoda!AH110+Óvoda!AH111</f>
        <v>0</v>
      </c>
      <c r="T15" s="120">
        <f t="shared" si="14"/>
        <v>60000</v>
      </c>
      <c r="U15" s="120">
        <f t="shared" si="14"/>
        <v>60000</v>
      </c>
      <c r="V15" s="120">
        <f t="shared" si="14"/>
        <v>0</v>
      </c>
      <c r="W15" s="120">
        <f t="shared" si="14"/>
        <v>0</v>
      </c>
      <c r="X15" s="120">
        <f t="shared" si="14"/>
        <v>0</v>
      </c>
      <c r="Y15" s="120">
        <f t="shared" si="14"/>
        <v>237512</v>
      </c>
      <c r="Z15" s="120">
        <f>Óvoda!AI110</f>
        <v>3055</v>
      </c>
      <c r="AA15" s="120">
        <f>Óvoda!AJ110</f>
        <v>3055</v>
      </c>
      <c r="AB15" s="120">
        <f>Óvoda!AK110</f>
        <v>3055</v>
      </c>
      <c r="AC15" s="1081">
        <f>SUM(I15,S15,)</f>
        <v>0</v>
      </c>
      <c r="AD15" s="507">
        <f t="shared" si="15"/>
        <v>195280</v>
      </c>
      <c r="AE15" s="507">
        <f t="shared" si="16"/>
        <v>195280</v>
      </c>
      <c r="AF15" s="1082">
        <f t="shared" si="17"/>
        <v>195280</v>
      </c>
    </row>
    <row r="16" spans="1:33" ht="30" customHeight="1" x14ac:dyDescent="0.35">
      <c r="A16" s="123" t="s">
        <v>336</v>
      </c>
      <c r="B16" s="1058" t="s">
        <v>328</v>
      </c>
      <c r="C16" s="1069"/>
      <c r="D16" s="473"/>
      <c r="E16" s="50"/>
      <c r="F16" s="50"/>
      <c r="G16" s="50">
        <f t="shared" ref="G16:G18" si="18">E16+F16</f>
        <v>0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1064"/>
      <c r="S16" s="1074"/>
      <c r="T16" s="120">
        <f t="shared" si="14"/>
        <v>0</v>
      </c>
      <c r="U16" s="120">
        <f t="shared" si="14"/>
        <v>0</v>
      </c>
      <c r="V16" s="120">
        <f t="shared" si="14"/>
        <v>0</v>
      </c>
      <c r="W16" s="120">
        <f t="shared" si="14"/>
        <v>0</v>
      </c>
      <c r="X16" s="120">
        <f t="shared" si="14"/>
        <v>0</v>
      </c>
      <c r="Y16" s="120">
        <f t="shared" si="14"/>
        <v>0</v>
      </c>
      <c r="Z16" s="120"/>
      <c r="AA16" s="120"/>
      <c r="AB16" s="1075"/>
      <c r="AC16" s="1081">
        <f>SUM(I16,S16,)</f>
        <v>0</v>
      </c>
      <c r="AD16" s="507">
        <f t="shared" si="15"/>
        <v>0</v>
      </c>
      <c r="AE16" s="507">
        <f t="shared" si="16"/>
        <v>0</v>
      </c>
      <c r="AF16" s="1082">
        <f t="shared" si="17"/>
        <v>0</v>
      </c>
    </row>
    <row r="17" spans="1:32" ht="48" customHeight="1" x14ac:dyDescent="0.35">
      <c r="A17" s="123" t="s">
        <v>337</v>
      </c>
      <c r="B17" s="1058" t="s">
        <v>328</v>
      </c>
      <c r="C17" s="1069"/>
      <c r="D17" s="473">
        <v>138961</v>
      </c>
      <c r="E17" s="50"/>
      <c r="F17" s="50"/>
      <c r="G17" s="50">
        <f t="shared" si="18"/>
        <v>0</v>
      </c>
      <c r="H17" s="50"/>
      <c r="I17" s="50">
        <f>Hivatal!Z113</f>
        <v>877547</v>
      </c>
      <c r="J17" s="50"/>
      <c r="K17" s="50"/>
      <c r="L17" s="50"/>
      <c r="M17" s="50"/>
      <c r="N17" s="50"/>
      <c r="O17" s="50"/>
      <c r="P17" s="50">
        <f>Hivatal!AA113</f>
        <v>255479</v>
      </c>
      <c r="Q17" s="50">
        <f>Hivatal!AB113</f>
        <v>1133026</v>
      </c>
      <c r="R17" s="1064">
        <f>Hivatal!AC113</f>
        <v>1133026</v>
      </c>
      <c r="S17" s="1074">
        <f>Óvoda!AH112</f>
        <v>1192750</v>
      </c>
      <c r="T17" s="120">
        <f t="shared" si="14"/>
        <v>0</v>
      </c>
      <c r="U17" s="120">
        <f t="shared" si="14"/>
        <v>138961</v>
      </c>
      <c r="V17" s="120">
        <f t="shared" si="14"/>
        <v>0</v>
      </c>
      <c r="W17" s="120">
        <f t="shared" si="14"/>
        <v>0</v>
      </c>
      <c r="X17" s="120">
        <f t="shared" si="14"/>
        <v>0</v>
      </c>
      <c r="Y17" s="120">
        <f t="shared" si="14"/>
        <v>0</v>
      </c>
      <c r="Z17" s="120">
        <f>Óvoda!AI112</f>
        <v>1619166</v>
      </c>
      <c r="AA17" s="120">
        <f>Óvoda!AJ112</f>
        <v>2811916</v>
      </c>
      <c r="AB17" s="120">
        <f>Óvoda!AK112</f>
        <v>2811916</v>
      </c>
      <c r="AC17" s="1081">
        <f>SUM(I17,S17,)</f>
        <v>2070297</v>
      </c>
      <c r="AD17" s="507">
        <f t="shared" si="15"/>
        <v>1874645</v>
      </c>
      <c r="AE17" s="507">
        <f t="shared" si="16"/>
        <v>3944942</v>
      </c>
      <c r="AF17" s="1082">
        <f t="shared" si="17"/>
        <v>3944942</v>
      </c>
    </row>
    <row r="18" spans="1:32" ht="30" customHeight="1" x14ac:dyDescent="0.35">
      <c r="A18" s="123" t="s">
        <v>338</v>
      </c>
      <c r="B18" s="1058" t="s">
        <v>328</v>
      </c>
      <c r="C18" s="1069">
        <v>33801517</v>
      </c>
      <c r="D18" s="473">
        <v>33801517</v>
      </c>
      <c r="E18" s="50">
        <f>Hivatal!G114</f>
        <v>38803858</v>
      </c>
      <c r="F18" s="50">
        <f>Hivatal!U114</f>
        <v>533008</v>
      </c>
      <c r="G18" s="50">
        <f t="shared" si="18"/>
        <v>39336866</v>
      </c>
      <c r="H18" s="50">
        <f>Hivatal!X114</f>
        <v>30646828</v>
      </c>
      <c r="I18" s="50">
        <f>Hivatal!Z114</f>
        <v>43293427.424999997</v>
      </c>
      <c r="J18" s="50">
        <v>61198960</v>
      </c>
      <c r="K18" s="50">
        <v>61198960</v>
      </c>
      <c r="L18" s="50">
        <f>Óvoda!E117</f>
        <v>54405747</v>
      </c>
      <c r="M18" s="50">
        <f>Óvoda!AC113</f>
        <v>1440508</v>
      </c>
      <c r="N18" s="50">
        <f>L18+M18</f>
        <v>55846255</v>
      </c>
      <c r="O18" s="50">
        <f>Óvoda!AF113</f>
        <v>45404080.509999998</v>
      </c>
      <c r="P18" s="50">
        <f>Hivatal!AA114</f>
        <v>-5410910.424999997</v>
      </c>
      <c r="Q18" s="50">
        <f>Hivatal!AB114</f>
        <v>37882517</v>
      </c>
      <c r="R18" s="1064">
        <f>Hivatal!AC114</f>
        <v>37882517</v>
      </c>
      <c r="S18" s="1074">
        <f>Óvoda!AH113</f>
        <v>54474729.625</v>
      </c>
      <c r="T18" s="120">
        <f t="shared" si="14"/>
        <v>95000477</v>
      </c>
      <c r="U18" s="120">
        <f t="shared" si="14"/>
        <v>95000477</v>
      </c>
      <c r="V18" s="120">
        <f t="shared" si="14"/>
        <v>93209605</v>
      </c>
      <c r="W18" s="120">
        <f t="shared" si="14"/>
        <v>1973516</v>
      </c>
      <c r="X18" s="120">
        <f t="shared" si="14"/>
        <v>95183121</v>
      </c>
      <c r="Y18" s="120">
        <f t="shared" si="14"/>
        <v>76050908.50999999</v>
      </c>
      <c r="Z18" s="120">
        <f>Óvoda!AI113</f>
        <v>5111376.375</v>
      </c>
      <c r="AA18" s="120">
        <f>Óvoda!AJ113</f>
        <v>59586106</v>
      </c>
      <c r="AB18" s="120">
        <f>Óvoda!AK113</f>
        <v>59586106</v>
      </c>
      <c r="AC18" s="1081">
        <f>SUM(I18,S18,)</f>
        <v>97768157.049999997</v>
      </c>
      <c r="AD18" s="507">
        <f t="shared" si="15"/>
        <v>-299534.04999999702</v>
      </c>
      <c r="AE18" s="507">
        <f t="shared" si="16"/>
        <v>97468623</v>
      </c>
      <c r="AF18" s="1082">
        <f t="shared" si="17"/>
        <v>97468623</v>
      </c>
    </row>
    <row r="19" spans="1:32" ht="30" customHeight="1" thickBot="1" x14ac:dyDescent="0.4">
      <c r="A19" s="727" t="s">
        <v>339</v>
      </c>
      <c r="B19" s="1061"/>
      <c r="C19" s="1070">
        <v>33861517</v>
      </c>
      <c r="D19" s="1071">
        <v>34914116</v>
      </c>
      <c r="E19" s="1072">
        <f t="shared" ref="E19:F19" si="19">SUM(E14:E18)</f>
        <v>38803858</v>
      </c>
      <c r="F19" s="1072">
        <f t="shared" si="19"/>
        <v>2708240</v>
      </c>
      <c r="G19" s="1072">
        <f>SUM(G14:G18)</f>
        <v>41512098</v>
      </c>
      <c r="H19" s="1072">
        <f>SUM(H14:H18)</f>
        <v>32889916</v>
      </c>
      <c r="I19" s="1072">
        <f>SUM(I14:I18)</f>
        <v>44170974.424999997</v>
      </c>
      <c r="J19" s="1072">
        <f t="shared" ref="J19:R19" si="20">SUM(J14:J18)</f>
        <v>61198960</v>
      </c>
      <c r="K19" s="1072">
        <f t="shared" si="20"/>
        <v>61650905</v>
      </c>
      <c r="L19" s="1072">
        <f t="shared" si="20"/>
        <v>54405747</v>
      </c>
      <c r="M19" s="1072">
        <f t="shared" si="20"/>
        <v>1440508</v>
      </c>
      <c r="N19" s="1072">
        <f t="shared" si="20"/>
        <v>55846255</v>
      </c>
      <c r="O19" s="1072">
        <f t="shared" si="20"/>
        <v>45409236.509999998</v>
      </c>
      <c r="P19" s="1072">
        <f t="shared" si="20"/>
        <v>-4504380.424999997</v>
      </c>
      <c r="Q19" s="1072">
        <f t="shared" si="20"/>
        <v>39666594</v>
      </c>
      <c r="R19" s="1073">
        <f t="shared" si="20"/>
        <v>39666594</v>
      </c>
      <c r="S19" s="1078">
        <f t="shared" ref="S19:AB19" si="21">SUM(S14:S18)</f>
        <v>55667479.625</v>
      </c>
      <c r="T19" s="1078">
        <f t="shared" si="21"/>
        <v>95060477</v>
      </c>
      <c r="U19" s="1078">
        <f t="shared" si="21"/>
        <v>96565021</v>
      </c>
      <c r="V19" s="1078">
        <f t="shared" si="21"/>
        <v>93209605</v>
      </c>
      <c r="W19" s="1078">
        <f t="shared" si="21"/>
        <v>4148748</v>
      </c>
      <c r="X19" s="1078">
        <f t="shared" si="21"/>
        <v>97358353</v>
      </c>
      <c r="Y19" s="1078">
        <f t="shared" si="21"/>
        <v>78299152.50999999</v>
      </c>
      <c r="Z19" s="1078">
        <f t="shared" si="21"/>
        <v>6733597.375</v>
      </c>
      <c r="AA19" s="1078">
        <f t="shared" si="21"/>
        <v>62401077</v>
      </c>
      <c r="AB19" s="1078">
        <f t="shared" si="21"/>
        <v>62401077</v>
      </c>
      <c r="AC19" s="1084">
        <f>SUM(AC14:AC18)</f>
        <v>99838454.049999997</v>
      </c>
      <c r="AD19" s="1079">
        <f t="shared" ref="AD19:AF19" si="22">SUM(AD14:AD18)</f>
        <v>2229216.950000003</v>
      </c>
      <c r="AE19" s="1079">
        <f t="shared" si="22"/>
        <v>102067671</v>
      </c>
      <c r="AF19" s="1080">
        <f t="shared" si="22"/>
        <v>102067671</v>
      </c>
    </row>
    <row r="20" spans="1:32" x14ac:dyDescent="0.35">
      <c r="A20" s="3" t="s">
        <v>156</v>
      </c>
      <c r="B20" s="1"/>
      <c r="C20" s="409"/>
      <c r="D20" s="409"/>
      <c r="E20" s="1062">
        <f>E13-E19</f>
        <v>0.12000000476837158</v>
      </c>
      <c r="F20" s="1062">
        <f t="shared" ref="F20:G20" si="23">F13-F19</f>
        <v>0</v>
      </c>
      <c r="G20" s="1062">
        <f t="shared" si="23"/>
        <v>0.12000000476837158</v>
      </c>
      <c r="H20" s="1062">
        <f>H19-H13</f>
        <v>2096443</v>
      </c>
      <c r="I20" s="1062">
        <f>I19-I13</f>
        <v>0</v>
      </c>
      <c r="J20" s="1062">
        <f t="shared" ref="J20:R20" si="24">J19-J13</f>
        <v>0</v>
      </c>
      <c r="K20" s="1062">
        <f t="shared" si="24"/>
        <v>0</v>
      </c>
      <c r="L20" s="1062">
        <f t="shared" si="24"/>
        <v>0</v>
      </c>
      <c r="M20" s="1062">
        <f t="shared" si="24"/>
        <v>0</v>
      </c>
      <c r="N20" s="1062">
        <f t="shared" si="24"/>
        <v>0</v>
      </c>
      <c r="O20" s="1062">
        <f t="shared" si="24"/>
        <v>1944844.5099999979</v>
      </c>
      <c r="P20" s="1062">
        <f t="shared" si="24"/>
        <v>0</v>
      </c>
      <c r="Q20" s="1062">
        <f t="shared" si="24"/>
        <v>0</v>
      </c>
      <c r="R20" s="1062">
        <f t="shared" si="24"/>
        <v>1017267</v>
      </c>
      <c r="S20" s="1062">
        <f t="shared" ref="S20:U20" si="25">S13-S19</f>
        <v>0</v>
      </c>
      <c r="T20" s="1062">
        <f t="shared" si="25"/>
        <v>-0.20000000298023224</v>
      </c>
      <c r="U20" s="1062">
        <f t="shared" si="25"/>
        <v>-0.20000000298023224</v>
      </c>
      <c r="V20" s="1062">
        <f>V19-V13</f>
        <v>-0.12000000476837158</v>
      </c>
      <c r="W20" s="1062">
        <f t="shared" ref="W20:Y20" si="26">W19-W13</f>
        <v>0</v>
      </c>
      <c r="X20" s="1062">
        <f t="shared" si="26"/>
        <v>-0.12000000476837158</v>
      </c>
      <c r="Y20" s="1062">
        <f t="shared" si="26"/>
        <v>4041287.5099999905</v>
      </c>
      <c r="Z20" s="1062"/>
      <c r="AA20" s="1062">
        <f>AA19-AA13</f>
        <v>0</v>
      </c>
      <c r="AB20" s="1062">
        <f>AB19-AB13</f>
        <v>1307418</v>
      </c>
      <c r="AC20" s="1062">
        <f>AC19-AC13</f>
        <v>0</v>
      </c>
      <c r="AD20" s="409"/>
      <c r="AE20" s="409"/>
      <c r="AF20" s="409"/>
    </row>
    <row r="21" spans="1:32" x14ac:dyDescent="0.35"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724">
        <f>S13-Óvoda!AH107</f>
        <v>0</v>
      </c>
    </row>
  </sheetData>
  <mergeCells count="38">
    <mergeCell ref="H6:H7"/>
    <mergeCell ref="I6:I7"/>
    <mergeCell ref="M6:M7"/>
    <mergeCell ref="A3:AC3"/>
    <mergeCell ref="A1:V1"/>
    <mergeCell ref="A5:A7"/>
    <mergeCell ref="B5:B7"/>
    <mergeCell ref="E6:E7"/>
    <mergeCell ref="L6:L7"/>
    <mergeCell ref="V6:V7"/>
    <mergeCell ref="D6:D7"/>
    <mergeCell ref="J6:J7"/>
    <mergeCell ref="K6:K7"/>
    <mergeCell ref="C6:C7"/>
    <mergeCell ref="T6:T7"/>
    <mergeCell ref="U6:U7"/>
    <mergeCell ref="C5:R5"/>
    <mergeCell ref="P6:P7"/>
    <mergeCell ref="Q6:Q7"/>
    <mergeCell ref="R6:R7"/>
    <mergeCell ref="S5:AB5"/>
    <mergeCell ref="Z6:Z7"/>
    <mergeCell ref="AA6:AA7"/>
    <mergeCell ref="AB6:AB7"/>
    <mergeCell ref="Y6:Y7"/>
    <mergeCell ref="N6:N7"/>
    <mergeCell ref="O6:O7"/>
    <mergeCell ref="S6:S7"/>
    <mergeCell ref="W6:W7"/>
    <mergeCell ref="X6:X7"/>
    <mergeCell ref="F6:F7"/>
    <mergeCell ref="G6:G7"/>
    <mergeCell ref="AD6:AD7"/>
    <mergeCell ref="AE6:AE7"/>
    <mergeCell ref="AF6:AF7"/>
    <mergeCell ref="AG6:AG7"/>
    <mergeCell ref="AC5:AF5"/>
    <mergeCell ref="AC6:AC7"/>
  </mergeCells>
  <phoneticPr fontId="115" type="noConversion"/>
  <pageMargins left="0.70866141732283472" right="0.70866141732283472" top="0.74803149606299213" bottom="0.74803149606299213" header="0.31496062992125984" footer="0.31496062992125984"/>
  <pageSetup paperSize="8" orientation="landscape" r:id="rId1"/>
  <colBreaks count="1" manualBreakCount="1">
    <brk id="9" max="19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39997558519241921"/>
    <pageSetUpPr fitToPage="1"/>
  </sheetPr>
  <dimension ref="A1:AE118"/>
  <sheetViews>
    <sheetView view="pageBreakPreview" zoomScale="92" zoomScaleNormal="100" workbookViewId="0">
      <pane xSplit="4" ySplit="6" topLeftCell="Z57" activePane="bottomRight" state="frozen"/>
      <selection activeCell="P20" sqref="P20"/>
      <selection pane="topRight" activeCell="P20" sqref="P20"/>
      <selection pane="bottomLeft" activeCell="P20" sqref="P20"/>
      <selection pane="bottomRight" sqref="A1:G1"/>
    </sheetView>
  </sheetViews>
  <sheetFormatPr defaultRowHeight="14.5" x14ac:dyDescent="0.35"/>
  <cols>
    <col min="1" max="1" width="0" hidden="1" customWidth="1"/>
    <col min="2" max="2" width="34.7265625" style="5" customWidth="1"/>
    <col min="3" max="3" width="34.7265625" style="642" hidden="1" customWidth="1"/>
    <col min="4" max="4" width="11.453125" bestFit="1" customWidth="1"/>
    <col min="5" max="5" width="26.7265625" hidden="1" customWidth="1"/>
    <col min="6" max="6" width="22.54296875" hidden="1" customWidth="1"/>
    <col min="7" max="7" width="25.26953125" style="432" hidden="1" customWidth="1"/>
    <col min="8" max="9" width="21.54296875" style="36" hidden="1" customWidth="1"/>
    <col min="10" max="10" width="18.1796875" style="269" hidden="1" customWidth="1"/>
    <col min="11" max="11" width="21.54296875" style="36" hidden="1" customWidth="1"/>
    <col min="12" max="12" width="34.81640625" style="36" hidden="1" customWidth="1"/>
    <col min="13" max="14" width="21.54296875" style="36" hidden="1" customWidth="1"/>
    <col min="15" max="15" width="34.54296875" style="35" hidden="1" customWidth="1"/>
    <col min="16" max="16" width="21.26953125" hidden="1" customWidth="1"/>
    <col min="17" max="17" width="19.81640625" hidden="1" customWidth="1"/>
    <col min="18" max="18" width="34.1796875" style="13" hidden="1" customWidth="1"/>
    <col min="19" max="19" width="21.26953125" style="13" hidden="1" customWidth="1"/>
    <col min="20" max="20" width="19.453125" style="13" hidden="1" customWidth="1"/>
    <col min="21" max="21" width="23" hidden="1" customWidth="1"/>
    <col min="22" max="22" width="23" style="532" hidden="1" customWidth="1"/>
    <col min="23" max="23" width="29.7265625" hidden="1" customWidth="1"/>
    <col min="24" max="25" width="23.81640625" style="13" hidden="1" customWidth="1"/>
    <col min="26" max="26" width="26.81640625" style="758" customWidth="1"/>
    <col min="27" max="27" width="22.453125" hidden="1" customWidth="1"/>
    <col min="28" max="28" width="26.26953125" customWidth="1"/>
    <col min="29" max="29" width="24.7265625" customWidth="1"/>
    <col min="30" max="30" width="21" customWidth="1"/>
    <col min="31" max="31" width="13" bestFit="1" customWidth="1"/>
  </cols>
  <sheetData>
    <row r="1" spans="1:29" x14ac:dyDescent="0.35">
      <c r="A1" s="1365" t="s">
        <v>1384</v>
      </c>
      <c r="B1" s="1365"/>
      <c r="C1" s="1365"/>
      <c r="D1" s="1365"/>
      <c r="E1" s="1365"/>
      <c r="F1" s="1365"/>
      <c r="G1" s="1365"/>
      <c r="H1" s="378"/>
      <c r="I1" s="378"/>
      <c r="J1" s="402"/>
      <c r="K1" s="378"/>
    </row>
    <row r="2" spans="1:29" ht="45.75" customHeight="1" x14ac:dyDescent="0.35">
      <c r="A2" s="1373" t="s">
        <v>954</v>
      </c>
      <c r="B2" s="1373"/>
      <c r="C2" s="1373"/>
      <c r="D2" s="1373"/>
      <c r="E2" s="1373"/>
      <c r="F2" s="1373"/>
      <c r="G2" s="1373"/>
      <c r="H2" s="1373"/>
      <c r="I2" s="1373"/>
      <c r="J2" s="1373"/>
      <c r="K2" s="1373"/>
      <c r="L2" s="1373"/>
      <c r="M2" s="1373"/>
      <c r="N2" s="1373"/>
      <c r="O2" s="1373"/>
      <c r="P2" s="1373"/>
      <c r="Q2" s="1373"/>
      <c r="R2" s="1140"/>
      <c r="S2" s="1140"/>
      <c r="T2" s="1140"/>
      <c r="U2" s="1140"/>
      <c r="V2" s="1140"/>
      <c r="W2" s="1140"/>
      <c r="X2" s="1140"/>
      <c r="Y2" s="1140"/>
      <c r="Z2" s="1140"/>
    </row>
    <row r="3" spans="1:29" ht="45.75" customHeight="1" x14ac:dyDescent="0.35">
      <c r="A3" s="2"/>
      <c r="B3" s="2"/>
      <c r="C3" s="640"/>
      <c r="D3" s="2"/>
      <c r="E3" s="445"/>
      <c r="F3" s="445"/>
      <c r="G3" s="431"/>
      <c r="H3" s="37"/>
      <c r="I3" s="37"/>
      <c r="J3" s="403"/>
      <c r="K3" s="37"/>
    </row>
    <row r="4" spans="1:29" ht="30" customHeight="1" x14ac:dyDescent="0.35">
      <c r="A4" s="1370" t="s">
        <v>1</v>
      </c>
      <c r="B4" s="1371" t="s">
        <v>2</v>
      </c>
      <c r="C4" s="639"/>
      <c r="D4" s="1370" t="s">
        <v>3</v>
      </c>
      <c r="E4" s="1379" t="s">
        <v>955</v>
      </c>
      <c r="F4" s="1379"/>
      <c r="G4" s="1379"/>
      <c r="H4" s="1379"/>
      <c r="I4" s="1379"/>
      <c r="J4" s="1379"/>
      <c r="K4" s="1379"/>
      <c r="L4" s="1379"/>
      <c r="M4" s="1379"/>
      <c r="N4" s="1379"/>
      <c r="O4" s="1379"/>
      <c r="P4" s="1379"/>
      <c r="Q4" s="1379"/>
      <c r="R4" s="1379"/>
      <c r="S4" s="1379"/>
      <c r="T4" s="1379"/>
      <c r="U4" s="1379"/>
      <c r="V4" s="1379"/>
      <c r="W4" s="1379"/>
      <c r="X4" s="1379"/>
      <c r="Y4" s="1379"/>
      <c r="Z4" s="1379"/>
      <c r="AA4" s="1379"/>
      <c r="AB4" s="1379"/>
      <c r="AC4" s="1379"/>
    </row>
    <row r="5" spans="1:29" ht="15" customHeight="1" x14ac:dyDescent="0.35">
      <c r="A5" s="1370"/>
      <c r="B5" s="1371"/>
      <c r="C5" s="639"/>
      <c r="D5" s="1370"/>
      <c r="E5" s="1371" t="s">
        <v>839</v>
      </c>
      <c r="F5" s="1371" t="s">
        <v>687</v>
      </c>
      <c r="G5" s="1372" t="s">
        <v>811</v>
      </c>
      <c r="H5" s="1379" t="s">
        <v>679</v>
      </c>
      <c r="I5" s="1379" t="s">
        <v>698</v>
      </c>
      <c r="J5" s="1388" t="s">
        <v>668</v>
      </c>
      <c r="K5" s="1379" t="s">
        <v>694</v>
      </c>
      <c r="L5" s="1378" t="s">
        <v>820</v>
      </c>
      <c r="M5" s="1378" t="s">
        <v>696</v>
      </c>
      <c r="N5" s="1378" t="s">
        <v>697</v>
      </c>
      <c r="O5" s="1378" t="s">
        <v>820</v>
      </c>
      <c r="P5" s="1378" t="s">
        <v>696</v>
      </c>
      <c r="Q5" s="1378" t="s">
        <v>697</v>
      </c>
      <c r="R5" s="1383" t="s">
        <v>157</v>
      </c>
      <c r="S5" s="1383" t="s">
        <v>696</v>
      </c>
      <c r="T5" s="1383" t="s">
        <v>697</v>
      </c>
      <c r="U5" s="1384" t="s">
        <v>883</v>
      </c>
      <c r="V5" s="1374" t="s">
        <v>884</v>
      </c>
      <c r="W5" s="1374" t="s">
        <v>884</v>
      </c>
      <c r="X5" s="1375" t="s">
        <v>885</v>
      </c>
      <c r="Y5" s="1377" t="s">
        <v>939</v>
      </c>
      <c r="Z5" s="1376" t="s">
        <v>902</v>
      </c>
      <c r="AA5" s="1149" t="s">
        <v>1022</v>
      </c>
      <c r="AB5" s="1149" t="s">
        <v>679</v>
      </c>
      <c r="AC5" s="1142" t="s">
        <v>673</v>
      </c>
    </row>
    <row r="6" spans="1:29" ht="15.75" customHeight="1" x14ac:dyDescent="0.35">
      <c r="A6" s="1370"/>
      <c r="B6" s="1371"/>
      <c r="C6" s="639"/>
      <c r="D6" s="1370"/>
      <c r="E6" s="1371"/>
      <c r="F6" s="1371"/>
      <c r="G6" s="1372"/>
      <c r="H6" s="1379"/>
      <c r="I6" s="1379"/>
      <c r="J6" s="1388"/>
      <c r="K6" s="1379"/>
      <c r="L6" s="1378"/>
      <c r="M6" s="1378"/>
      <c r="N6" s="1378"/>
      <c r="O6" s="1378"/>
      <c r="P6" s="1378"/>
      <c r="Q6" s="1378"/>
      <c r="R6" s="1383"/>
      <c r="S6" s="1383"/>
      <c r="T6" s="1383"/>
      <c r="U6" s="1384"/>
      <c r="V6" s="1374"/>
      <c r="W6" s="1374"/>
      <c r="X6" s="1375"/>
      <c r="Y6" s="1377"/>
      <c r="Z6" s="1376"/>
      <c r="AA6" s="1149"/>
      <c r="AB6" s="1149"/>
      <c r="AC6" s="1142"/>
    </row>
    <row r="7" spans="1:29" ht="29" x14ac:dyDescent="0.35">
      <c r="A7" s="318">
        <v>1</v>
      </c>
      <c r="B7" s="531" t="s">
        <v>5</v>
      </c>
      <c r="C7" s="531"/>
      <c r="D7" s="318" t="s">
        <v>6</v>
      </c>
      <c r="E7" s="518">
        <v>20476483</v>
      </c>
      <c r="F7" s="518">
        <v>20476483</v>
      </c>
      <c r="G7" s="536">
        <v>21094216</v>
      </c>
      <c r="H7" s="39">
        <f t="shared" ref="H7:H38" si="0">SUM(M7,P7,S7,)</f>
        <v>20476483</v>
      </c>
      <c r="I7" s="39">
        <f t="shared" ref="I7:I38" si="1">SUM(N7,Q7,T7,)</f>
        <v>13752550</v>
      </c>
      <c r="J7" s="537">
        <f>I7/H7</f>
        <v>0.67162656790231012</v>
      </c>
      <c r="K7" s="39">
        <f>H7-I7</f>
        <v>6723933</v>
      </c>
      <c r="L7" s="39">
        <v>21094216</v>
      </c>
      <c r="M7" s="39">
        <v>17789683</v>
      </c>
      <c r="N7" s="39">
        <v>11663810</v>
      </c>
      <c r="O7" s="538">
        <v>0</v>
      </c>
      <c r="P7" s="39">
        <v>2686800</v>
      </c>
      <c r="Q7" s="1035">
        <v>2088740</v>
      </c>
      <c r="R7" s="413"/>
      <c r="S7" s="413"/>
      <c r="T7" s="413"/>
      <c r="U7" s="519">
        <f t="shared" ref="U7:U22" si="2">W7-G7</f>
        <v>-1859436</v>
      </c>
      <c r="V7" s="519">
        <f t="shared" ref="V7:V38" si="3">G7+U7</f>
        <v>19234780</v>
      </c>
      <c r="W7" s="1052">
        <v>19234780</v>
      </c>
      <c r="X7" s="413">
        <v>17730666</v>
      </c>
      <c r="Y7" s="413">
        <v>19620511</v>
      </c>
      <c r="Z7" s="776">
        <v>24771408</v>
      </c>
      <c r="AA7" s="508">
        <f>AB7-Z7</f>
        <v>-2001395</v>
      </c>
      <c r="AB7" s="508">
        <f>AC7</f>
        <v>22770013</v>
      </c>
      <c r="AC7" s="591">
        <v>22770013</v>
      </c>
    </row>
    <row r="8" spans="1:29" hidden="1" x14ac:dyDescent="0.35">
      <c r="A8" s="318">
        <v>2</v>
      </c>
      <c r="B8" s="531" t="s">
        <v>7</v>
      </c>
      <c r="C8" s="531"/>
      <c r="D8" s="318" t="s">
        <v>8</v>
      </c>
      <c r="E8" s="518">
        <v>0</v>
      </c>
      <c r="F8" s="518">
        <v>0</v>
      </c>
      <c r="G8" s="536">
        <f>SUM(L8,O8,R8,)</f>
        <v>0</v>
      </c>
      <c r="H8" s="39">
        <f t="shared" si="0"/>
        <v>0</v>
      </c>
      <c r="I8" s="39">
        <f t="shared" si="1"/>
        <v>0</v>
      </c>
      <c r="J8" s="537"/>
      <c r="K8" s="39">
        <f t="shared" ref="K8:K71" si="4">H8-I8</f>
        <v>0</v>
      </c>
      <c r="L8" s="39"/>
      <c r="M8" s="39">
        <f t="shared" ref="M8:M71" si="5">L8</f>
        <v>0</v>
      </c>
      <c r="N8" s="39"/>
      <c r="O8" s="538"/>
      <c r="P8" s="39">
        <f t="shared" ref="P8:P71" si="6">O8</f>
        <v>0</v>
      </c>
      <c r="Q8" s="1035"/>
      <c r="R8" s="413"/>
      <c r="S8" s="413"/>
      <c r="T8" s="413"/>
      <c r="U8" s="519">
        <f t="shared" si="2"/>
        <v>0</v>
      </c>
      <c r="V8" s="519">
        <f t="shared" si="3"/>
        <v>0</v>
      </c>
      <c r="W8" s="519"/>
      <c r="X8" s="413"/>
      <c r="Y8" s="413"/>
      <c r="Z8" s="776">
        <f t="shared" ref="Z8:Z71" si="7">X8/10*12</f>
        <v>0</v>
      </c>
      <c r="AA8" s="508">
        <f t="shared" ref="AA8:AA23" si="8">AB8-Z8</f>
        <v>0</v>
      </c>
      <c r="AB8" s="508">
        <f t="shared" ref="AB8:AB23" si="9">AC8</f>
        <v>0</v>
      </c>
      <c r="AC8" s="1038"/>
    </row>
    <row r="9" spans="1:29" hidden="1" x14ac:dyDescent="0.35">
      <c r="A9" s="318">
        <v>3</v>
      </c>
      <c r="B9" s="531" t="s">
        <v>9</v>
      </c>
      <c r="C9" s="531"/>
      <c r="D9" s="318" t="s">
        <v>10</v>
      </c>
      <c r="E9" s="518">
        <v>0</v>
      </c>
      <c r="F9" s="518">
        <v>0</v>
      </c>
      <c r="G9" s="536">
        <f>SUM(L9,O9,R9,)</f>
        <v>0</v>
      </c>
      <c r="H9" s="39">
        <f t="shared" si="0"/>
        <v>0</v>
      </c>
      <c r="I9" s="39">
        <f t="shared" si="1"/>
        <v>204519</v>
      </c>
      <c r="J9" s="537"/>
      <c r="K9" s="39">
        <f t="shared" si="4"/>
        <v>-204519</v>
      </c>
      <c r="L9" s="39"/>
      <c r="M9" s="39">
        <f t="shared" si="5"/>
        <v>0</v>
      </c>
      <c r="N9" s="39">
        <v>204519</v>
      </c>
      <c r="O9" s="538"/>
      <c r="P9" s="39">
        <f t="shared" si="6"/>
        <v>0</v>
      </c>
      <c r="Q9" s="1035"/>
      <c r="R9" s="413"/>
      <c r="S9" s="413"/>
      <c r="T9" s="413"/>
      <c r="U9" s="519">
        <f t="shared" si="2"/>
        <v>0</v>
      </c>
      <c r="V9" s="519">
        <f t="shared" si="3"/>
        <v>0</v>
      </c>
      <c r="W9" s="519"/>
      <c r="X9" s="413"/>
      <c r="Y9" s="413"/>
      <c r="Z9" s="776">
        <f t="shared" si="7"/>
        <v>0</v>
      </c>
      <c r="AA9" s="508">
        <f t="shared" si="8"/>
        <v>0</v>
      </c>
      <c r="AB9" s="508">
        <f t="shared" si="9"/>
        <v>0</v>
      </c>
      <c r="AC9" s="1038"/>
    </row>
    <row r="10" spans="1:29" ht="29" hidden="1" x14ac:dyDescent="0.35">
      <c r="A10" s="318">
        <v>4</v>
      </c>
      <c r="B10" s="531" t="s">
        <v>11</v>
      </c>
      <c r="C10" s="531"/>
      <c r="D10" s="318" t="s">
        <v>12</v>
      </c>
      <c r="E10" s="518">
        <v>270000</v>
      </c>
      <c r="F10" s="518">
        <v>270000</v>
      </c>
      <c r="G10" s="536">
        <v>150000</v>
      </c>
      <c r="H10" s="39">
        <f t="shared" si="0"/>
        <v>150000</v>
      </c>
      <c r="I10" s="39">
        <f t="shared" si="1"/>
        <v>0</v>
      </c>
      <c r="J10" s="537">
        <f t="shared" ref="J10:J70" si="10">I10/H10</f>
        <v>0</v>
      </c>
      <c r="K10" s="39">
        <f t="shared" si="4"/>
        <v>150000</v>
      </c>
      <c r="L10" s="39">
        <v>150000</v>
      </c>
      <c r="M10" s="39">
        <f t="shared" si="5"/>
        <v>150000</v>
      </c>
      <c r="N10" s="39"/>
      <c r="O10" s="538"/>
      <c r="P10" s="39">
        <f t="shared" si="6"/>
        <v>0</v>
      </c>
      <c r="Q10" s="1035"/>
      <c r="R10" s="413"/>
      <c r="S10" s="413"/>
      <c r="T10" s="413"/>
      <c r="U10" s="519">
        <f t="shared" si="2"/>
        <v>0</v>
      </c>
      <c r="V10" s="519">
        <f t="shared" si="3"/>
        <v>150000</v>
      </c>
      <c r="W10" s="1052">
        <v>150000</v>
      </c>
      <c r="X10" s="413"/>
      <c r="Y10" s="413"/>
      <c r="Z10" s="776">
        <f t="shared" si="7"/>
        <v>0</v>
      </c>
      <c r="AA10" s="508">
        <f t="shared" si="8"/>
        <v>0</v>
      </c>
      <c r="AB10" s="508">
        <f t="shared" si="9"/>
        <v>0</v>
      </c>
      <c r="AC10" s="1038"/>
    </row>
    <row r="11" spans="1:29" hidden="1" x14ac:dyDescent="0.35">
      <c r="A11" s="318">
        <v>5</v>
      </c>
      <c r="B11" s="531" t="s">
        <v>13</v>
      </c>
      <c r="C11" s="531"/>
      <c r="D11" s="318" t="s">
        <v>14</v>
      </c>
      <c r="E11" s="518">
        <v>0</v>
      </c>
      <c r="F11" s="518">
        <v>0</v>
      </c>
      <c r="G11" s="536">
        <f t="shared" ref="G11:G18" si="11">SUM(L11,O11,R11,)</f>
        <v>0</v>
      </c>
      <c r="H11" s="39">
        <f t="shared" si="0"/>
        <v>0</v>
      </c>
      <c r="I11" s="39">
        <f t="shared" si="1"/>
        <v>0</v>
      </c>
      <c r="J11" s="537"/>
      <c r="K11" s="39">
        <f t="shared" si="4"/>
        <v>0</v>
      </c>
      <c r="L11" s="39"/>
      <c r="M11" s="39">
        <f t="shared" si="5"/>
        <v>0</v>
      </c>
      <c r="N11" s="39"/>
      <c r="O11" s="538"/>
      <c r="P11" s="39">
        <f t="shared" si="6"/>
        <v>0</v>
      </c>
      <c r="Q11" s="1035"/>
      <c r="R11" s="413"/>
      <c r="S11" s="413"/>
      <c r="T11" s="413"/>
      <c r="U11" s="519">
        <f t="shared" si="2"/>
        <v>0</v>
      </c>
      <c r="V11" s="519">
        <f t="shared" si="3"/>
        <v>0</v>
      </c>
      <c r="W11" s="519"/>
      <c r="X11" s="413"/>
      <c r="Y11" s="413"/>
      <c r="Z11" s="776">
        <f t="shared" si="7"/>
        <v>0</v>
      </c>
      <c r="AA11" s="508">
        <f t="shared" si="8"/>
        <v>0</v>
      </c>
      <c r="AB11" s="508">
        <f t="shared" si="9"/>
        <v>0</v>
      </c>
      <c r="AC11" s="1038"/>
    </row>
    <row r="12" spans="1:29" hidden="1" x14ac:dyDescent="0.35">
      <c r="A12" s="318">
        <v>6</v>
      </c>
      <c r="B12" s="531" t="s">
        <v>15</v>
      </c>
      <c r="C12" s="531"/>
      <c r="D12" s="318" t="s">
        <v>16</v>
      </c>
      <c r="E12" s="518">
        <v>0</v>
      </c>
      <c r="F12" s="518">
        <v>0</v>
      </c>
      <c r="G12" s="536">
        <f t="shared" si="11"/>
        <v>0</v>
      </c>
      <c r="H12" s="39">
        <f t="shared" si="0"/>
        <v>0</v>
      </c>
      <c r="I12" s="39">
        <f t="shared" si="1"/>
        <v>0</v>
      </c>
      <c r="J12" s="537"/>
      <c r="K12" s="39">
        <f t="shared" si="4"/>
        <v>0</v>
      </c>
      <c r="L12" s="39"/>
      <c r="M12" s="39">
        <f t="shared" si="5"/>
        <v>0</v>
      </c>
      <c r="N12" s="39"/>
      <c r="O12" s="538"/>
      <c r="P12" s="39">
        <f t="shared" si="6"/>
        <v>0</v>
      </c>
      <c r="Q12" s="1035"/>
      <c r="R12" s="413"/>
      <c r="S12" s="413"/>
      <c r="T12" s="413"/>
      <c r="U12" s="519">
        <f t="shared" si="2"/>
        <v>0</v>
      </c>
      <c r="V12" s="519">
        <f t="shared" si="3"/>
        <v>0</v>
      </c>
      <c r="W12" s="519"/>
      <c r="X12" s="413"/>
      <c r="Y12" s="413"/>
      <c r="Z12" s="776">
        <f t="shared" si="7"/>
        <v>0</v>
      </c>
      <c r="AA12" s="508">
        <f t="shared" si="8"/>
        <v>0</v>
      </c>
      <c r="AB12" s="508">
        <f t="shared" si="9"/>
        <v>0</v>
      </c>
      <c r="AC12" s="1038"/>
    </row>
    <row r="13" spans="1:29" x14ac:dyDescent="0.35">
      <c r="A13" s="318">
        <v>7</v>
      </c>
      <c r="B13" s="531" t="s">
        <v>17</v>
      </c>
      <c r="C13" s="531"/>
      <c r="D13" s="318" t="s">
        <v>18</v>
      </c>
      <c r="E13" s="518">
        <v>1400000</v>
      </c>
      <c r="F13" s="518">
        <v>1400000</v>
      </c>
      <c r="G13" s="536">
        <f t="shared" si="11"/>
        <v>1400000</v>
      </c>
      <c r="H13" s="39">
        <f t="shared" si="0"/>
        <v>1400000</v>
      </c>
      <c r="I13" s="39">
        <f t="shared" si="1"/>
        <v>384691</v>
      </c>
      <c r="J13" s="537">
        <f t="shared" si="10"/>
        <v>0.27477928571428573</v>
      </c>
      <c r="K13" s="39">
        <f t="shared" si="4"/>
        <v>1015309</v>
      </c>
      <c r="L13" s="39">
        <v>1200000</v>
      </c>
      <c r="M13" s="39">
        <f t="shared" si="5"/>
        <v>1200000</v>
      </c>
      <c r="N13" s="39">
        <v>384691</v>
      </c>
      <c r="O13" s="538">
        <v>200000</v>
      </c>
      <c r="P13" s="39">
        <v>200000</v>
      </c>
      <c r="Q13" s="1035"/>
      <c r="R13" s="413"/>
      <c r="S13" s="413"/>
      <c r="T13" s="413"/>
      <c r="U13" s="519">
        <f t="shared" si="2"/>
        <v>0</v>
      </c>
      <c r="V13" s="519">
        <f t="shared" si="3"/>
        <v>1400000</v>
      </c>
      <c r="W13" s="1052">
        <v>1400000</v>
      </c>
      <c r="X13" s="413">
        <v>545224</v>
      </c>
      <c r="Y13" s="413">
        <v>545224</v>
      </c>
      <c r="Z13" s="776">
        <v>1400000</v>
      </c>
      <c r="AA13" s="508">
        <f t="shared" si="8"/>
        <v>-523601</v>
      </c>
      <c r="AB13" s="508">
        <f t="shared" si="9"/>
        <v>876399</v>
      </c>
      <c r="AC13" s="591">
        <v>876399</v>
      </c>
    </row>
    <row r="14" spans="1:29" x14ac:dyDescent="0.35">
      <c r="A14" s="318">
        <v>8</v>
      </c>
      <c r="B14" s="531" t="s">
        <v>19</v>
      </c>
      <c r="C14" s="531" t="s">
        <v>970</v>
      </c>
      <c r="D14" s="318" t="s">
        <v>20</v>
      </c>
      <c r="E14" s="518">
        <v>50000</v>
      </c>
      <c r="F14" s="518">
        <v>50000</v>
      </c>
      <c r="G14" s="536">
        <f t="shared" si="11"/>
        <v>50000</v>
      </c>
      <c r="H14" s="39">
        <f t="shared" si="0"/>
        <v>50000</v>
      </c>
      <c r="I14" s="39">
        <f t="shared" si="1"/>
        <v>30000</v>
      </c>
      <c r="J14" s="537">
        <f t="shared" si="10"/>
        <v>0.6</v>
      </c>
      <c r="K14" s="39">
        <f t="shared" si="4"/>
        <v>20000</v>
      </c>
      <c r="L14" s="39">
        <v>50000</v>
      </c>
      <c r="M14" s="39">
        <f t="shared" si="5"/>
        <v>50000</v>
      </c>
      <c r="N14" s="39">
        <v>30000</v>
      </c>
      <c r="O14" s="538"/>
      <c r="P14" s="39">
        <f t="shared" si="6"/>
        <v>0</v>
      </c>
      <c r="Q14" s="1035"/>
      <c r="R14" s="413"/>
      <c r="S14" s="413"/>
      <c r="T14" s="413"/>
      <c r="U14" s="519">
        <f t="shared" si="2"/>
        <v>0</v>
      </c>
      <c r="V14" s="519">
        <f t="shared" si="3"/>
        <v>50000</v>
      </c>
      <c r="W14" s="1052">
        <v>50000</v>
      </c>
      <c r="X14" s="413"/>
      <c r="Y14" s="413"/>
      <c r="Z14" s="776">
        <v>40000</v>
      </c>
      <c r="AA14" s="508">
        <f t="shared" si="8"/>
        <v>-6280</v>
      </c>
      <c r="AB14" s="508">
        <f t="shared" si="9"/>
        <v>33720</v>
      </c>
      <c r="AC14" s="591">
        <v>33720</v>
      </c>
    </row>
    <row r="15" spans="1:29" x14ac:dyDescent="0.35">
      <c r="A15" s="318">
        <v>9</v>
      </c>
      <c r="B15" s="531" t="s">
        <v>21</v>
      </c>
      <c r="C15" s="531"/>
      <c r="D15" s="318" t="s">
        <v>22</v>
      </c>
      <c r="E15" s="518">
        <v>360000</v>
      </c>
      <c r="F15" s="518">
        <v>360000</v>
      </c>
      <c r="G15" s="536">
        <f t="shared" si="11"/>
        <v>360000</v>
      </c>
      <c r="H15" s="39">
        <f t="shared" si="0"/>
        <v>360000</v>
      </c>
      <c r="I15" s="39">
        <f t="shared" si="1"/>
        <v>117550</v>
      </c>
      <c r="J15" s="537">
        <f t="shared" si="10"/>
        <v>0.32652777777777775</v>
      </c>
      <c r="K15" s="39">
        <f t="shared" si="4"/>
        <v>242450</v>
      </c>
      <c r="L15" s="39">
        <v>260000</v>
      </c>
      <c r="M15" s="39">
        <f t="shared" si="5"/>
        <v>260000</v>
      </c>
      <c r="N15" s="39">
        <v>117550</v>
      </c>
      <c r="O15" s="538">
        <v>100000</v>
      </c>
      <c r="P15" s="39">
        <v>100000</v>
      </c>
      <c r="Q15" s="1035"/>
      <c r="R15" s="413"/>
      <c r="S15" s="413"/>
      <c r="T15" s="413"/>
      <c r="U15" s="519">
        <f t="shared" si="2"/>
        <v>0</v>
      </c>
      <c r="V15" s="519">
        <f t="shared" si="3"/>
        <v>360000</v>
      </c>
      <c r="W15" s="1052">
        <v>360000</v>
      </c>
      <c r="X15" s="413">
        <v>181920</v>
      </c>
      <c r="Y15" s="413">
        <v>201930</v>
      </c>
      <c r="Z15" s="776">
        <v>360000</v>
      </c>
      <c r="AA15" s="508">
        <f t="shared" si="8"/>
        <v>-95840</v>
      </c>
      <c r="AB15" s="508">
        <f t="shared" si="9"/>
        <v>264160</v>
      </c>
      <c r="AC15" s="591">
        <v>264160</v>
      </c>
    </row>
    <row r="16" spans="1:29" x14ac:dyDescent="0.35">
      <c r="A16" s="318">
        <v>10</v>
      </c>
      <c r="B16" s="531" t="s">
        <v>23</v>
      </c>
      <c r="C16" s="531"/>
      <c r="D16" s="318" t="s">
        <v>24</v>
      </c>
      <c r="E16" s="518">
        <v>84000</v>
      </c>
      <c r="F16" s="518">
        <v>84000</v>
      </c>
      <c r="G16" s="536">
        <f t="shared" si="11"/>
        <v>84000</v>
      </c>
      <c r="H16" s="39">
        <f t="shared" si="0"/>
        <v>84000</v>
      </c>
      <c r="I16" s="39">
        <f t="shared" si="1"/>
        <v>31000</v>
      </c>
      <c r="J16" s="537">
        <f t="shared" si="10"/>
        <v>0.36904761904761907</v>
      </c>
      <c r="K16" s="39">
        <f t="shared" si="4"/>
        <v>53000</v>
      </c>
      <c r="L16" s="39">
        <v>72000</v>
      </c>
      <c r="M16" s="39">
        <f t="shared" si="5"/>
        <v>72000</v>
      </c>
      <c r="N16" s="39">
        <v>31000</v>
      </c>
      <c r="O16" s="538">
        <v>12000</v>
      </c>
      <c r="P16" s="39">
        <v>12000</v>
      </c>
      <c r="Q16" s="1035"/>
      <c r="R16" s="413"/>
      <c r="S16" s="413"/>
      <c r="T16" s="413"/>
      <c r="U16" s="519">
        <f t="shared" si="2"/>
        <v>0</v>
      </c>
      <c r="V16" s="519">
        <f t="shared" si="3"/>
        <v>84000</v>
      </c>
      <c r="W16" s="1052">
        <v>84000</v>
      </c>
      <c r="X16" s="413">
        <v>35000</v>
      </c>
      <c r="Y16" s="413">
        <v>35000</v>
      </c>
      <c r="Z16" s="776">
        <v>84000</v>
      </c>
      <c r="AA16" s="508">
        <f t="shared" si="8"/>
        <v>-9000</v>
      </c>
      <c r="AB16" s="508">
        <f t="shared" si="9"/>
        <v>75000</v>
      </c>
      <c r="AC16" s="591">
        <v>75000</v>
      </c>
    </row>
    <row r="17" spans="1:29" hidden="1" x14ac:dyDescent="0.35">
      <c r="A17" s="318">
        <v>11</v>
      </c>
      <c r="B17" s="531" t="s">
        <v>25</v>
      </c>
      <c r="C17" s="531"/>
      <c r="D17" s="318" t="s">
        <v>26</v>
      </c>
      <c r="E17" s="518">
        <v>0</v>
      </c>
      <c r="F17" s="518">
        <v>0</v>
      </c>
      <c r="G17" s="536">
        <f t="shared" si="11"/>
        <v>0</v>
      </c>
      <c r="H17" s="39">
        <f t="shared" si="0"/>
        <v>0</v>
      </c>
      <c r="I17" s="39">
        <f t="shared" si="1"/>
        <v>0</v>
      </c>
      <c r="J17" s="537"/>
      <c r="K17" s="39">
        <f t="shared" si="4"/>
        <v>0</v>
      </c>
      <c r="L17" s="39"/>
      <c r="M17" s="39">
        <f t="shared" si="5"/>
        <v>0</v>
      </c>
      <c r="N17" s="39"/>
      <c r="O17" s="538"/>
      <c r="P17" s="39">
        <f t="shared" si="6"/>
        <v>0</v>
      </c>
      <c r="Q17" s="1035"/>
      <c r="R17" s="413"/>
      <c r="S17" s="413"/>
      <c r="T17" s="413"/>
      <c r="U17" s="519">
        <f t="shared" si="2"/>
        <v>0</v>
      </c>
      <c r="V17" s="519">
        <f t="shared" si="3"/>
        <v>0</v>
      </c>
      <c r="W17" s="519"/>
      <c r="X17" s="413"/>
      <c r="Y17" s="413"/>
      <c r="Z17" s="776">
        <f t="shared" si="7"/>
        <v>0</v>
      </c>
      <c r="AA17" s="508">
        <f t="shared" si="8"/>
        <v>0</v>
      </c>
      <c r="AB17" s="508">
        <f t="shared" si="9"/>
        <v>0</v>
      </c>
      <c r="AC17" s="1038"/>
    </row>
    <row r="18" spans="1:29" ht="63" hidden="1" customHeight="1" x14ac:dyDescent="0.35">
      <c r="A18" s="318">
        <v>12</v>
      </c>
      <c r="B18" s="531" t="s">
        <v>27</v>
      </c>
      <c r="C18" s="531"/>
      <c r="D18" s="318" t="s">
        <v>28</v>
      </c>
      <c r="E18" s="518">
        <v>0</v>
      </c>
      <c r="F18" s="518">
        <v>0</v>
      </c>
      <c r="G18" s="536">
        <f t="shared" si="11"/>
        <v>0</v>
      </c>
      <c r="H18" s="39">
        <f t="shared" si="0"/>
        <v>0</v>
      </c>
      <c r="I18" s="39">
        <f t="shared" si="1"/>
        <v>0</v>
      </c>
      <c r="J18" s="537"/>
      <c r="K18" s="39">
        <f t="shared" si="4"/>
        <v>0</v>
      </c>
      <c r="L18" s="39"/>
      <c r="M18" s="39">
        <f t="shared" si="5"/>
        <v>0</v>
      </c>
      <c r="N18" s="39"/>
      <c r="O18" s="538"/>
      <c r="P18" s="39">
        <f t="shared" si="6"/>
        <v>0</v>
      </c>
      <c r="Q18" s="1035"/>
      <c r="R18" s="413"/>
      <c r="S18" s="413"/>
      <c r="T18" s="413"/>
      <c r="U18" s="519">
        <f t="shared" si="2"/>
        <v>0</v>
      </c>
      <c r="V18" s="519">
        <f t="shared" si="3"/>
        <v>0</v>
      </c>
      <c r="W18" s="519"/>
      <c r="X18" s="413"/>
      <c r="Y18" s="413"/>
      <c r="Z18" s="776">
        <f t="shared" si="7"/>
        <v>0</v>
      </c>
      <c r="AA18" s="508">
        <f t="shared" si="8"/>
        <v>0</v>
      </c>
      <c r="AB18" s="508">
        <f t="shared" si="9"/>
        <v>0</v>
      </c>
      <c r="AC18" s="1038"/>
    </row>
    <row r="19" spans="1:29" ht="29" x14ac:dyDescent="0.35">
      <c r="A19" s="318">
        <v>13</v>
      </c>
      <c r="B19" s="531" t="s">
        <v>29</v>
      </c>
      <c r="C19" s="531"/>
      <c r="D19" s="318" t="s">
        <v>30</v>
      </c>
      <c r="E19" s="518">
        <v>16100</v>
      </c>
      <c r="F19" s="518">
        <v>16100</v>
      </c>
      <c r="G19" s="536">
        <v>16380</v>
      </c>
      <c r="H19" s="39">
        <f t="shared" si="0"/>
        <v>16380</v>
      </c>
      <c r="I19" s="39">
        <f t="shared" si="1"/>
        <v>523117</v>
      </c>
      <c r="J19" s="537">
        <f t="shared" si="10"/>
        <v>31.936324786324786</v>
      </c>
      <c r="K19" s="39">
        <f t="shared" si="4"/>
        <v>-506737</v>
      </c>
      <c r="L19" s="39">
        <v>16380</v>
      </c>
      <c r="M19" s="39">
        <f t="shared" si="5"/>
        <v>16380</v>
      </c>
      <c r="N19" s="39">
        <v>523117</v>
      </c>
      <c r="O19" s="538"/>
      <c r="P19" s="39">
        <f t="shared" si="6"/>
        <v>0</v>
      </c>
      <c r="Q19" s="1035"/>
      <c r="R19" s="413"/>
      <c r="S19" s="413"/>
      <c r="T19" s="413"/>
      <c r="U19" s="519">
        <f t="shared" si="2"/>
        <v>811270</v>
      </c>
      <c r="V19" s="519">
        <f t="shared" si="3"/>
        <v>827650</v>
      </c>
      <c r="W19" s="1052">
        <v>827650</v>
      </c>
      <c r="X19" s="413">
        <v>733208</v>
      </c>
      <c r="Y19" s="413">
        <v>1211580</v>
      </c>
      <c r="Z19" s="776">
        <v>0</v>
      </c>
      <c r="AA19" s="508">
        <f t="shared" si="8"/>
        <v>899163</v>
      </c>
      <c r="AB19" s="508">
        <f t="shared" si="9"/>
        <v>899163</v>
      </c>
      <c r="AC19" s="591">
        <v>899163</v>
      </c>
    </row>
    <row r="20" spans="1:29" s="530" customFormat="1" ht="29" x14ac:dyDescent="0.35">
      <c r="A20" s="539">
        <v>14</v>
      </c>
      <c r="B20" s="540" t="s">
        <v>31</v>
      </c>
      <c r="C20" s="540"/>
      <c r="D20" s="539" t="s">
        <v>32</v>
      </c>
      <c r="E20" s="541">
        <v>22656583</v>
      </c>
      <c r="F20" s="541">
        <v>22656583</v>
      </c>
      <c r="G20" s="614">
        <f>SUM(G7:G19)</f>
        <v>23154596</v>
      </c>
      <c r="H20" s="614">
        <f t="shared" ref="H20:T20" si="12">SUM(H7:H19)</f>
        <v>22536863</v>
      </c>
      <c r="I20" s="614">
        <f t="shared" si="12"/>
        <v>15043427</v>
      </c>
      <c r="J20" s="614">
        <f t="shared" si="12"/>
        <v>34.178306036766777</v>
      </c>
      <c r="K20" s="614">
        <f t="shared" si="12"/>
        <v>7493436</v>
      </c>
      <c r="L20" s="614">
        <f t="shared" si="12"/>
        <v>22842596</v>
      </c>
      <c r="M20" s="614">
        <f t="shared" si="12"/>
        <v>19538063</v>
      </c>
      <c r="N20" s="614">
        <f t="shared" si="12"/>
        <v>12954687</v>
      </c>
      <c r="O20" s="614">
        <f t="shared" si="12"/>
        <v>312000</v>
      </c>
      <c r="P20" s="614">
        <f t="shared" si="12"/>
        <v>2998800</v>
      </c>
      <c r="Q20" s="614">
        <f t="shared" si="12"/>
        <v>2088740</v>
      </c>
      <c r="R20" s="614">
        <f t="shared" si="12"/>
        <v>0</v>
      </c>
      <c r="S20" s="614">
        <f t="shared" si="12"/>
        <v>0</v>
      </c>
      <c r="T20" s="614">
        <f t="shared" si="12"/>
        <v>0</v>
      </c>
      <c r="U20" s="709">
        <f t="shared" si="2"/>
        <v>-1048166</v>
      </c>
      <c r="V20" s="709">
        <f t="shared" si="3"/>
        <v>22106430</v>
      </c>
      <c r="W20" s="608">
        <v>22106430</v>
      </c>
      <c r="X20" s="615">
        <f t="shared" ref="X20:Y20" si="13">SUM(X7:X19)</f>
        <v>19226018</v>
      </c>
      <c r="Y20" s="615">
        <f t="shared" si="13"/>
        <v>21614245</v>
      </c>
      <c r="Z20" s="615">
        <f>SUM(Z7:Z19)</f>
        <v>26655408</v>
      </c>
      <c r="AA20" s="615">
        <f t="shared" ref="AA20:AC20" si="14">SUM(AA7:AA19)</f>
        <v>-1736953</v>
      </c>
      <c r="AB20" s="615">
        <f t="shared" si="14"/>
        <v>24918455</v>
      </c>
      <c r="AC20" s="615">
        <f t="shared" si="14"/>
        <v>24918455</v>
      </c>
    </row>
    <row r="21" spans="1:29" x14ac:dyDescent="0.35">
      <c r="A21" s="539"/>
      <c r="B21" s="540"/>
      <c r="C21" s="540"/>
      <c r="D21" s="542" t="s">
        <v>33</v>
      </c>
      <c r="E21" s="543">
        <v>0</v>
      </c>
      <c r="F21" s="543">
        <v>0</v>
      </c>
      <c r="G21" s="536">
        <f>SUM(L21,O21,R21,)</f>
        <v>0</v>
      </c>
      <c r="H21" s="39">
        <f t="shared" si="0"/>
        <v>0</v>
      </c>
      <c r="I21" s="39">
        <f t="shared" si="1"/>
        <v>0</v>
      </c>
      <c r="J21" s="537"/>
      <c r="K21" s="39">
        <f t="shared" si="4"/>
        <v>0</v>
      </c>
      <c r="L21" s="39"/>
      <c r="M21" s="39">
        <f t="shared" si="5"/>
        <v>0</v>
      </c>
      <c r="N21" s="39"/>
      <c r="O21" s="538"/>
      <c r="P21" s="39">
        <f t="shared" si="6"/>
        <v>0</v>
      </c>
      <c r="Q21" s="1035"/>
      <c r="R21" s="413"/>
      <c r="S21" s="413"/>
      <c r="T21" s="413"/>
      <c r="U21" s="519">
        <f t="shared" si="2"/>
        <v>0</v>
      </c>
      <c r="V21" s="519">
        <f t="shared" si="3"/>
        <v>0</v>
      </c>
      <c r="W21" s="519"/>
      <c r="X21" s="413"/>
      <c r="Y21" s="413"/>
      <c r="Z21" s="776">
        <f t="shared" si="7"/>
        <v>0</v>
      </c>
      <c r="AA21" s="508">
        <f t="shared" si="8"/>
        <v>0</v>
      </c>
      <c r="AB21" s="508">
        <f t="shared" si="9"/>
        <v>0</v>
      </c>
      <c r="AC21" s="1038"/>
    </row>
    <row r="22" spans="1:29" x14ac:dyDescent="0.35">
      <c r="A22" s="539"/>
      <c r="B22" s="540"/>
      <c r="C22" s="540"/>
      <c r="D22" s="542" t="s">
        <v>34</v>
      </c>
      <c r="E22" s="543">
        <v>0</v>
      </c>
      <c r="F22" s="543">
        <v>70000</v>
      </c>
      <c r="G22" s="536">
        <f>SUM(L22,O22,R22,)</f>
        <v>0</v>
      </c>
      <c r="H22" s="39">
        <f t="shared" si="0"/>
        <v>70000</v>
      </c>
      <c r="I22" s="39">
        <f t="shared" si="1"/>
        <v>331705</v>
      </c>
      <c r="J22" s="537"/>
      <c r="K22" s="39">
        <f t="shared" si="4"/>
        <v>-261705</v>
      </c>
      <c r="L22" s="39"/>
      <c r="M22" s="39">
        <f t="shared" si="5"/>
        <v>0</v>
      </c>
      <c r="N22" s="39">
        <v>261705</v>
      </c>
      <c r="O22" s="538"/>
      <c r="P22" s="39">
        <f t="shared" si="6"/>
        <v>0</v>
      </c>
      <c r="Q22" s="1035"/>
      <c r="R22" s="413"/>
      <c r="S22" s="413">
        <v>70000</v>
      </c>
      <c r="T22" s="413">
        <v>70000</v>
      </c>
      <c r="U22" s="519">
        <f t="shared" si="2"/>
        <v>3656000</v>
      </c>
      <c r="V22" s="519">
        <f t="shared" si="3"/>
        <v>3656000</v>
      </c>
      <c r="W22" s="1052">
        <v>3656000</v>
      </c>
      <c r="X22" s="413">
        <v>2481000</v>
      </c>
      <c r="Y22" s="413">
        <v>2728000</v>
      </c>
      <c r="Z22" s="776">
        <v>0</v>
      </c>
      <c r="AA22" s="508">
        <f t="shared" si="8"/>
        <v>3187663</v>
      </c>
      <c r="AB22" s="508">
        <f t="shared" si="9"/>
        <v>3187663</v>
      </c>
      <c r="AC22" s="591">
        <v>3187663</v>
      </c>
    </row>
    <row r="23" spans="1:29" ht="43.5" x14ac:dyDescent="0.35">
      <c r="A23" s="318">
        <v>17</v>
      </c>
      <c r="B23" s="544" t="s">
        <v>731</v>
      </c>
      <c r="C23" s="544"/>
      <c r="D23" s="318" t="s">
        <v>35</v>
      </c>
      <c r="E23" s="518">
        <v>50000</v>
      </c>
      <c r="F23" s="518">
        <v>461365</v>
      </c>
      <c r="G23" s="536">
        <v>3014000</v>
      </c>
      <c r="H23" s="39">
        <f t="shared" si="0"/>
        <v>461365</v>
      </c>
      <c r="I23" s="39">
        <f t="shared" si="1"/>
        <v>547365</v>
      </c>
      <c r="J23" s="537">
        <f t="shared" si="10"/>
        <v>1.1864033899407194</v>
      </c>
      <c r="K23" s="39">
        <f t="shared" si="4"/>
        <v>-86000</v>
      </c>
      <c r="L23" s="39">
        <v>50000</v>
      </c>
      <c r="M23" s="39">
        <f t="shared" si="5"/>
        <v>50000</v>
      </c>
      <c r="N23" s="39"/>
      <c r="O23" s="538">
        <v>2964000</v>
      </c>
      <c r="P23" s="39">
        <v>0</v>
      </c>
      <c r="Q23" s="1035">
        <v>136000</v>
      </c>
      <c r="R23" s="413"/>
      <c r="S23" s="413">
        <v>411365</v>
      </c>
      <c r="T23" s="413">
        <v>411365</v>
      </c>
      <c r="U23" s="519">
        <f>W23-G23+1774859</f>
        <v>-737975</v>
      </c>
      <c r="V23" s="519">
        <f t="shared" si="3"/>
        <v>2276025</v>
      </c>
      <c r="W23" s="1052">
        <v>501166</v>
      </c>
      <c r="X23" s="413">
        <v>497932</v>
      </c>
      <c r="Y23" s="413">
        <v>1044872</v>
      </c>
      <c r="Z23" s="776">
        <v>3187663</v>
      </c>
      <c r="AA23" s="508">
        <f t="shared" si="8"/>
        <v>-3091543</v>
      </c>
      <c r="AB23" s="508">
        <f t="shared" si="9"/>
        <v>96120</v>
      </c>
      <c r="AC23" s="591">
        <v>96120</v>
      </c>
    </row>
    <row r="24" spans="1:29" s="530" customFormat="1" x14ac:dyDescent="0.35">
      <c r="A24" s="539">
        <v>18</v>
      </c>
      <c r="B24" s="540" t="s">
        <v>36</v>
      </c>
      <c r="C24" s="540"/>
      <c r="D24" s="539" t="s">
        <v>37</v>
      </c>
      <c r="E24" s="541">
        <v>50000</v>
      </c>
      <c r="F24" s="541">
        <v>531365</v>
      </c>
      <c r="G24" s="614">
        <f>SUM(G21:G23)</f>
        <v>3014000</v>
      </c>
      <c r="H24" s="614">
        <f t="shared" ref="H24:W24" si="15">SUM(H21:H23)</f>
        <v>531365</v>
      </c>
      <c r="I24" s="614">
        <f t="shared" si="15"/>
        <v>879070</v>
      </c>
      <c r="J24" s="614">
        <f t="shared" si="15"/>
        <v>1.1864033899407194</v>
      </c>
      <c r="K24" s="614">
        <f t="shared" si="15"/>
        <v>-347705</v>
      </c>
      <c r="L24" s="614">
        <f t="shared" si="15"/>
        <v>50000</v>
      </c>
      <c r="M24" s="614">
        <f t="shared" si="15"/>
        <v>50000</v>
      </c>
      <c r="N24" s="614">
        <f t="shared" si="15"/>
        <v>261705</v>
      </c>
      <c r="O24" s="614">
        <f t="shared" si="15"/>
        <v>2964000</v>
      </c>
      <c r="P24" s="614">
        <f t="shared" si="15"/>
        <v>0</v>
      </c>
      <c r="Q24" s="614">
        <f t="shared" si="15"/>
        <v>136000</v>
      </c>
      <c r="R24" s="614">
        <f t="shared" si="15"/>
        <v>0</v>
      </c>
      <c r="S24" s="614">
        <f t="shared" si="15"/>
        <v>481365</v>
      </c>
      <c r="T24" s="614">
        <f t="shared" si="15"/>
        <v>481365</v>
      </c>
      <c r="U24" s="614">
        <f t="shared" si="15"/>
        <v>2918025</v>
      </c>
      <c r="V24" s="614">
        <f t="shared" si="3"/>
        <v>5932025</v>
      </c>
      <c r="W24" s="614">
        <f t="shared" si="15"/>
        <v>4157166</v>
      </c>
      <c r="X24" s="615">
        <f t="shared" ref="X24:Y24" si="16">SUM(X21:X23)</f>
        <v>2978932</v>
      </c>
      <c r="Y24" s="615">
        <f t="shared" si="16"/>
        <v>3772872</v>
      </c>
      <c r="Z24" s="615">
        <f>SUM(Z21:Z23)</f>
        <v>3187663</v>
      </c>
      <c r="AA24" s="615">
        <f t="shared" ref="AA24:AC24" si="17">SUM(AA21:AA23)</f>
        <v>96120</v>
      </c>
      <c r="AB24" s="615">
        <f t="shared" si="17"/>
        <v>3283783</v>
      </c>
      <c r="AC24" s="615">
        <f t="shared" si="17"/>
        <v>3283783</v>
      </c>
    </row>
    <row r="25" spans="1:29" s="733" customFormat="1" x14ac:dyDescent="0.35">
      <c r="A25" s="539">
        <v>19</v>
      </c>
      <c r="B25" s="540" t="s">
        <v>38</v>
      </c>
      <c r="C25" s="540"/>
      <c r="D25" s="539" t="s">
        <v>39</v>
      </c>
      <c r="E25" s="541">
        <v>22706583</v>
      </c>
      <c r="F25" s="541">
        <v>23187948</v>
      </c>
      <c r="G25" s="614">
        <f>SUM(G20,G24)</f>
        <v>26168596</v>
      </c>
      <c r="H25" s="614">
        <f t="shared" ref="H25:W25" si="18">SUM(H20,H24)</f>
        <v>23068228</v>
      </c>
      <c r="I25" s="614">
        <f t="shared" si="18"/>
        <v>15922497</v>
      </c>
      <c r="J25" s="614">
        <f t="shared" si="18"/>
        <v>35.364709426707499</v>
      </c>
      <c r="K25" s="614">
        <f t="shared" si="18"/>
        <v>7145731</v>
      </c>
      <c r="L25" s="614">
        <f t="shared" si="18"/>
        <v>22892596</v>
      </c>
      <c r="M25" s="614">
        <f t="shared" si="18"/>
        <v>19588063</v>
      </c>
      <c r="N25" s="614">
        <f t="shared" si="18"/>
        <v>13216392</v>
      </c>
      <c r="O25" s="614">
        <f t="shared" si="18"/>
        <v>3276000</v>
      </c>
      <c r="P25" s="614">
        <f t="shared" si="18"/>
        <v>2998800</v>
      </c>
      <c r="Q25" s="614">
        <f t="shared" si="18"/>
        <v>2224740</v>
      </c>
      <c r="R25" s="614">
        <f t="shared" si="18"/>
        <v>0</v>
      </c>
      <c r="S25" s="614">
        <f t="shared" si="18"/>
        <v>481365</v>
      </c>
      <c r="T25" s="614">
        <f t="shared" si="18"/>
        <v>481365</v>
      </c>
      <c r="U25" s="614">
        <f t="shared" si="18"/>
        <v>1869859</v>
      </c>
      <c r="V25" s="614">
        <f t="shared" si="3"/>
        <v>28038455</v>
      </c>
      <c r="W25" s="614">
        <f t="shared" si="18"/>
        <v>26263596</v>
      </c>
      <c r="X25" s="615">
        <f t="shared" ref="X25:Y25" si="19">SUM(X20,X24)</f>
        <v>22204950</v>
      </c>
      <c r="Y25" s="615">
        <f t="shared" si="19"/>
        <v>25387117</v>
      </c>
      <c r="Z25" s="615">
        <f>SUM(Z20,Z24)</f>
        <v>29843071</v>
      </c>
      <c r="AA25" s="615">
        <f t="shared" ref="AA25:AC25" si="20">SUM(AA20,AA24)</f>
        <v>-1640833</v>
      </c>
      <c r="AB25" s="615">
        <f t="shared" si="20"/>
        <v>28202238</v>
      </c>
      <c r="AC25" s="615">
        <f t="shared" si="20"/>
        <v>28202238</v>
      </c>
    </row>
    <row r="26" spans="1:29" s="6" customFormat="1" ht="29" x14ac:dyDescent="0.35">
      <c r="A26" s="539">
        <v>20</v>
      </c>
      <c r="B26" s="540" t="s">
        <v>40</v>
      </c>
      <c r="C26" s="540"/>
      <c r="D26" s="539" t="s">
        <v>41</v>
      </c>
      <c r="E26" s="541">
        <v>4648933.8000000007</v>
      </c>
      <c r="F26" s="541">
        <v>4746863.8</v>
      </c>
      <c r="G26" s="614">
        <f>SUM(G23,G7)*0.195</f>
        <v>4701102.12</v>
      </c>
      <c r="H26" s="587">
        <f t="shared" si="0"/>
        <v>4746863.8</v>
      </c>
      <c r="I26" s="587">
        <f t="shared" si="1"/>
        <v>3188584</v>
      </c>
      <c r="J26" s="734">
        <f t="shared" si="10"/>
        <v>0.67172434987496377</v>
      </c>
      <c r="K26" s="587">
        <f t="shared" si="4"/>
        <v>1558279.7999999998</v>
      </c>
      <c r="L26" s="545">
        <v>4113372</v>
      </c>
      <c r="M26" s="545">
        <v>4050410.8</v>
      </c>
      <c r="N26" s="545">
        <v>2664951</v>
      </c>
      <c r="O26" s="545">
        <v>577980</v>
      </c>
      <c r="P26" s="545">
        <v>598524</v>
      </c>
      <c r="Q26" s="545">
        <v>425704</v>
      </c>
      <c r="R26" s="546"/>
      <c r="S26" s="546">
        <v>97929</v>
      </c>
      <c r="T26" s="546">
        <v>97929</v>
      </c>
      <c r="U26" s="709">
        <v>335838</v>
      </c>
      <c r="V26" s="709">
        <f t="shared" si="3"/>
        <v>5036940.12</v>
      </c>
      <c r="W26" s="608">
        <v>4701102</v>
      </c>
      <c r="X26" s="496">
        <v>3957328</v>
      </c>
      <c r="Y26" s="496">
        <v>4499711</v>
      </c>
      <c r="Z26" s="777">
        <f>SUM(Z24,Z7)*0.175+700000+20000</f>
        <v>5612837.4249999998</v>
      </c>
      <c r="AA26" s="777">
        <f>AB26-Z26</f>
        <v>-1421911.4249999998</v>
      </c>
      <c r="AB26" s="777">
        <f>AC26</f>
        <v>4190926</v>
      </c>
      <c r="AC26" s="592">
        <v>4190926</v>
      </c>
    </row>
    <row r="27" spans="1:29" s="6" customFormat="1" ht="81" customHeight="1" x14ac:dyDescent="0.45">
      <c r="A27" s="1385" t="s">
        <v>42</v>
      </c>
      <c r="B27" s="1385"/>
      <c r="C27" s="1385"/>
      <c r="D27" s="1385"/>
      <c r="E27" s="547">
        <v>27355516.800000001</v>
      </c>
      <c r="F27" s="547">
        <v>27934811.800000001</v>
      </c>
      <c r="G27" s="614">
        <f>SUM(G25,G26)</f>
        <v>30869698.120000001</v>
      </c>
      <c r="H27" s="614">
        <f t="shared" ref="H27:W27" si="21">SUM(H25,H26)</f>
        <v>27815091.800000001</v>
      </c>
      <c r="I27" s="614">
        <f t="shared" si="21"/>
        <v>19111081</v>
      </c>
      <c r="J27" s="614">
        <f t="shared" si="21"/>
        <v>36.036433776582463</v>
      </c>
      <c r="K27" s="614">
        <f t="shared" si="21"/>
        <v>8704010.8000000007</v>
      </c>
      <c r="L27" s="614">
        <f t="shared" si="21"/>
        <v>27005968</v>
      </c>
      <c r="M27" s="614">
        <f t="shared" si="21"/>
        <v>23638473.800000001</v>
      </c>
      <c r="N27" s="614">
        <f t="shared" si="21"/>
        <v>15881343</v>
      </c>
      <c r="O27" s="614">
        <f t="shared" si="21"/>
        <v>3853980</v>
      </c>
      <c r="P27" s="614">
        <f t="shared" si="21"/>
        <v>3597324</v>
      </c>
      <c r="Q27" s="614">
        <f t="shared" si="21"/>
        <v>2650444</v>
      </c>
      <c r="R27" s="614">
        <f t="shared" si="21"/>
        <v>0</v>
      </c>
      <c r="S27" s="614">
        <f t="shared" si="21"/>
        <v>579294</v>
      </c>
      <c r="T27" s="614">
        <f t="shared" si="21"/>
        <v>579294</v>
      </c>
      <c r="U27" s="614">
        <f t="shared" si="21"/>
        <v>2205697</v>
      </c>
      <c r="V27" s="614">
        <f t="shared" si="3"/>
        <v>33075395.120000001</v>
      </c>
      <c r="W27" s="614">
        <f t="shared" si="21"/>
        <v>30964698</v>
      </c>
      <c r="X27" s="615">
        <f t="shared" ref="X27:Y27" si="22">SUM(X25,X26)</f>
        <v>26162278</v>
      </c>
      <c r="Y27" s="615">
        <f t="shared" si="22"/>
        <v>29886828</v>
      </c>
      <c r="Z27" s="615">
        <f>SUM(Z25,Z26)</f>
        <v>35455908.424999997</v>
      </c>
      <c r="AA27" s="615">
        <f t="shared" ref="AA27:AC27" si="23">SUM(AA25,AA26)</f>
        <v>-3062744.4249999998</v>
      </c>
      <c r="AB27" s="615">
        <f t="shared" si="23"/>
        <v>32393164</v>
      </c>
      <c r="AC27" s="615">
        <f t="shared" si="23"/>
        <v>32393164</v>
      </c>
    </row>
    <row r="28" spans="1:29" s="7" customFormat="1" x14ac:dyDescent="0.35">
      <c r="A28" s="539">
        <v>21</v>
      </c>
      <c r="B28" s="540" t="s">
        <v>43</v>
      </c>
      <c r="C28" s="540" t="s">
        <v>914</v>
      </c>
      <c r="D28" s="539" t="s">
        <v>44</v>
      </c>
      <c r="E28" s="541">
        <v>250000</v>
      </c>
      <c r="F28" s="541">
        <v>250000</v>
      </c>
      <c r="G28" s="548">
        <f>SUM(G29:G33)</f>
        <v>250000</v>
      </c>
      <c r="H28" s="549">
        <f t="shared" si="0"/>
        <v>250000</v>
      </c>
      <c r="I28" s="549">
        <f t="shared" si="1"/>
        <v>37810</v>
      </c>
      <c r="J28" s="545">
        <f t="shared" ref="J28:Q28" si="24">SUM(J29:J33)</f>
        <v>0</v>
      </c>
      <c r="K28" s="545">
        <f t="shared" si="24"/>
        <v>212190</v>
      </c>
      <c r="L28" s="545">
        <f t="shared" si="24"/>
        <v>200000</v>
      </c>
      <c r="M28" s="545">
        <f t="shared" si="24"/>
        <v>207000</v>
      </c>
      <c r="N28" s="545">
        <f t="shared" si="24"/>
        <v>37810</v>
      </c>
      <c r="O28" s="545">
        <f t="shared" si="24"/>
        <v>50000</v>
      </c>
      <c r="P28" s="545">
        <f t="shared" si="24"/>
        <v>43000</v>
      </c>
      <c r="Q28" s="545">
        <f t="shared" si="24"/>
        <v>0</v>
      </c>
      <c r="R28" s="546">
        <f t="shared" ref="R28:T28" si="25">SUM(R29:R33)</f>
        <v>0</v>
      </c>
      <c r="S28" s="546">
        <f t="shared" si="25"/>
        <v>0</v>
      </c>
      <c r="T28" s="546">
        <f t="shared" si="25"/>
        <v>0</v>
      </c>
      <c r="U28" s="519">
        <f t="shared" ref="U28:U33" si="26">W28-G28</f>
        <v>0</v>
      </c>
      <c r="V28" s="519">
        <f t="shared" si="3"/>
        <v>250000</v>
      </c>
      <c r="W28" s="1052">
        <v>250000</v>
      </c>
      <c r="X28" s="413">
        <v>132170</v>
      </c>
      <c r="Y28" s="413">
        <v>275627</v>
      </c>
      <c r="Z28" s="776">
        <v>300000</v>
      </c>
      <c r="AA28" s="1057">
        <f>AB28-Z28</f>
        <v>-172934</v>
      </c>
      <c r="AB28" s="1057">
        <f>AC28</f>
        <v>127066</v>
      </c>
      <c r="AC28" s="591">
        <v>127066</v>
      </c>
    </row>
    <row r="29" spans="1:29" hidden="1" x14ac:dyDescent="0.35">
      <c r="A29" s="318">
        <v>22</v>
      </c>
      <c r="B29" s="550" t="s">
        <v>45</v>
      </c>
      <c r="C29" s="550"/>
      <c r="D29" s="318"/>
      <c r="E29" s="518">
        <v>0</v>
      </c>
      <c r="F29" s="518">
        <v>0</v>
      </c>
      <c r="G29" s="551">
        <f>SUM(L29,O29,R29,)</f>
        <v>0</v>
      </c>
      <c r="H29" s="413">
        <f t="shared" si="0"/>
        <v>0</v>
      </c>
      <c r="I29" s="413">
        <f t="shared" si="1"/>
        <v>37810</v>
      </c>
      <c r="J29" s="537"/>
      <c r="K29" s="39">
        <f t="shared" si="4"/>
        <v>-37810</v>
      </c>
      <c r="L29" s="39"/>
      <c r="M29" s="39">
        <f t="shared" si="5"/>
        <v>0</v>
      </c>
      <c r="N29" s="39">
        <v>37810</v>
      </c>
      <c r="O29" s="538"/>
      <c r="P29" s="39">
        <f t="shared" si="6"/>
        <v>0</v>
      </c>
      <c r="Q29" s="1035"/>
      <c r="R29" s="413"/>
      <c r="S29" s="413"/>
      <c r="T29" s="413"/>
      <c r="U29" s="519">
        <f t="shared" si="26"/>
        <v>0</v>
      </c>
      <c r="V29" s="519">
        <f t="shared" si="3"/>
        <v>0</v>
      </c>
      <c r="W29" s="519"/>
      <c r="X29" s="413"/>
      <c r="Y29" s="413">
        <v>275627</v>
      </c>
      <c r="Z29" s="776">
        <f t="shared" si="7"/>
        <v>0</v>
      </c>
      <c r="AA29" s="1057">
        <f t="shared" ref="AA29:AA34" si="27">AB29-Z29</f>
        <v>0</v>
      </c>
      <c r="AB29" s="1057">
        <f t="shared" ref="AB29:AB34" si="28">AC29</f>
        <v>0</v>
      </c>
      <c r="AC29" s="1038"/>
    </row>
    <row r="30" spans="1:29" hidden="1" x14ac:dyDescent="0.35">
      <c r="A30" s="318">
        <v>23</v>
      </c>
      <c r="B30" s="550" t="s">
        <v>46</v>
      </c>
      <c r="C30" s="550"/>
      <c r="D30" s="318"/>
      <c r="E30" s="518">
        <v>0</v>
      </c>
      <c r="F30" s="518">
        <v>0</v>
      </c>
      <c r="G30" s="551">
        <f>SUM(L30,O30,R30,)</f>
        <v>0</v>
      </c>
      <c r="H30" s="413">
        <f t="shared" si="0"/>
        <v>0</v>
      </c>
      <c r="I30" s="413">
        <f t="shared" si="1"/>
        <v>0</v>
      </c>
      <c r="J30" s="537"/>
      <c r="K30" s="39">
        <f t="shared" si="4"/>
        <v>0</v>
      </c>
      <c r="L30" s="39"/>
      <c r="M30" s="39">
        <f t="shared" si="5"/>
        <v>0</v>
      </c>
      <c r="N30" s="39"/>
      <c r="O30" s="538"/>
      <c r="P30" s="39">
        <f t="shared" si="6"/>
        <v>0</v>
      </c>
      <c r="Q30" s="1035"/>
      <c r="R30" s="413"/>
      <c r="S30" s="413"/>
      <c r="T30" s="413"/>
      <c r="U30" s="519">
        <f t="shared" si="26"/>
        <v>0</v>
      </c>
      <c r="V30" s="519">
        <f t="shared" si="3"/>
        <v>0</v>
      </c>
      <c r="W30" s="519"/>
      <c r="X30" s="413"/>
      <c r="Y30" s="413"/>
      <c r="Z30" s="776">
        <f t="shared" si="7"/>
        <v>0</v>
      </c>
      <c r="AA30" s="1057">
        <f t="shared" si="27"/>
        <v>0</v>
      </c>
      <c r="AB30" s="1057">
        <f t="shared" si="28"/>
        <v>0</v>
      </c>
      <c r="AC30" s="1038"/>
    </row>
    <row r="31" spans="1:29" ht="29" hidden="1" x14ac:dyDescent="0.35">
      <c r="A31" s="318">
        <v>24</v>
      </c>
      <c r="B31" s="550" t="s">
        <v>47</v>
      </c>
      <c r="C31" s="550"/>
      <c r="D31" s="318"/>
      <c r="E31" s="518">
        <v>0</v>
      </c>
      <c r="F31" s="518">
        <v>0</v>
      </c>
      <c r="G31" s="551">
        <f>SUM(L31,O31,R31,)</f>
        <v>0</v>
      </c>
      <c r="H31" s="413">
        <f t="shared" si="0"/>
        <v>0</v>
      </c>
      <c r="I31" s="413">
        <f t="shared" si="1"/>
        <v>0</v>
      </c>
      <c r="J31" s="537"/>
      <c r="K31" s="39">
        <f t="shared" si="4"/>
        <v>0</v>
      </c>
      <c r="L31" s="39"/>
      <c r="M31" s="39">
        <f t="shared" si="5"/>
        <v>0</v>
      </c>
      <c r="N31" s="39"/>
      <c r="O31" s="538"/>
      <c r="P31" s="39">
        <f t="shared" si="6"/>
        <v>0</v>
      </c>
      <c r="Q31" s="1035"/>
      <c r="R31" s="413"/>
      <c r="S31" s="413"/>
      <c r="T31" s="413"/>
      <c r="U31" s="519">
        <f t="shared" si="26"/>
        <v>0</v>
      </c>
      <c r="V31" s="519">
        <f t="shared" si="3"/>
        <v>0</v>
      </c>
      <c r="W31" s="519"/>
      <c r="X31" s="413"/>
      <c r="Y31" s="413"/>
      <c r="Z31" s="776">
        <f t="shared" si="7"/>
        <v>0</v>
      </c>
      <c r="AA31" s="1057">
        <f t="shared" si="27"/>
        <v>0</v>
      </c>
      <c r="AB31" s="1057">
        <f t="shared" si="28"/>
        <v>0</v>
      </c>
      <c r="AC31" s="1038"/>
    </row>
    <row r="32" spans="1:29" hidden="1" x14ac:dyDescent="0.35">
      <c r="A32" s="318">
        <v>25</v>
      </c>
      <c r="B32" s="550" t="s">
        <v>48</v>
      </c>
      <c r="C32" s="550"/>
      <c r="D32" s="318"/>
      <c r="E32" s="518">
        <v>0</v>
      </c>
      <c r="F32" s="518">
        <v>0</v>
      </c>
      <c r="G32" s="551">
        <f>SUM(L32,O32,R32,)</f>
        <v>0</v>
      </c>
      <c r="H32" s="413">
        <f t="shared" si="0"/>
        <v>0</v>
      </c>
      <c r="I32" s="413">
        <f t="shared" si="1"/>
        <v>0</v>
      </c>
      <c r="J32" s="537"/>
      <c r="K32" s="39">
        <f t="shared" si="4"/>
        <v>0</v>
      </c>
      <c r="L32" s="39"/>
      <c r="M32" s="39">
        <f t="shared" si="5"/>
        <v>0</v>
      </c>
      <c r="N32" s="39"/>
      <c r="O32" s="538"/>
      <c r="P32" s="39">
        <f t="shared" si="6"/>
        <v>0</v>
      </c>
      <c r="Q32" s="1035"/>
      <c r="R32" s="413"/>
      <c r="S32" s="413"/>
      <c r="T32" s="413"/>
      <c r="U32" s="519">
        <f t="shared" si="26"/>
        <v>0</v>
      </c>
      <c r="V32" s="519">
        <f t="shared" si="3"/>
        <v>0</v>
      </c>
      <c r="W32" s="519"/>
      <c r="X32" s="413"/>
      <c r="Y32" s="413"/>
      <c r="Z32" s="776">
        <f t="shared" si="7"/>
        <v>0</v>
      </c>
      <c r="AA32" s="1057">
        <f t="shared" si="27"/>
        <v>0</v>
      </c>
      <c r="AB32" s="1057">
        <f t="shared" si="28"/>
        <v>0</v>
      </c>
      <c r="AC32" s="1038"/>
    </row>
    <row r="33" spans="1:29" hidden="1" x14ac:dyDescent="0.35">
      <c r="A33" s="318">
        <v>26</v>
      </c>
      <c r="B33" s="550" t="s">
        <v>158</v>
      </c>
      <c r="C33" s="550"/>
      <c r="D33" s="318"/>
      <c r="E33" s="518">
        <v>250000</v>
      </c>
      <c r="F33" s="518">
        <v>250000</v>
      </c>
      <c r="G33" s="551">
        <f>SUM(L33,O33,R33,)</f>
        <v>250000</v>
      </c>
      <c r="H33" s="413">
        <f t="shared" si="0"/>
        <v>250000</v>
      </c>
      <c r="I33" s="413">
        <f t="shared" si="1"/>
        <v>0</v>
      </c>
      <c r="J33" s="537">
        <f t="shared" si="10"/>
        <v>0</v>
      </c>
      <c r="K33" s="39">
        <f t="shared" si="4"/>
        <v>250000</v>
      </c>
      <c r="L33" s="39">
        <v>200000</v>
      </c>
      <c r="M33" s="39">
        <v>207000</v>
      </c>
      <c r="N33" s="39"/>
      <c r="O33" s="538">
        <v>50000</v>
      </c>
      <c r="P33" s="39">
        <v>43000</v>
      </c>
      <c r="Q33" s="1035"/>
      <c r="R33" s="413"/>
      <c r="S33" s="413"/>
      <c r="T33" s="413"/>
      <c r="U33" s="519">
        <f t="shared" si="26"/>
        <v>-250000</v>
      </c>
      <c r="V33" s="519">
        <f t="shared" si="3"/>
        <v>0</v>
      </c>
      <c r="W33" s="519"/>
      <c r="X33" s="413"/>
      <c r="Y33" s="413"/>
      <c r="Z33" s="776">
        <f t="shared" si="7"/>
        <v>0</v>
      </c>
      <c r="AA33" s="1057">
        <f t="shared" si="27"/>
        <v>0</v>
      </c>
      <c r="AB33" s="1057">
        <f t="shared" si="28"/>
        <v>0</v>
      </c>
      <c r="AC33" s="1038"/>
    </row>
    <row r="34" spans="1:29" s="7" customFormat="1" ht="29" x14ac:dyDescent="0.35">
      <c r="A34" s="539">
        <v>27</v>
      </c>
      <c r="B34" s="540" t="s">
        <v>49</v>
      </c>
      <c r="C34" s="540" t="s">
        <v>971</v>
      </c>
      <c r="D34" s="539" t="s">
        <v>50</v>
      </c>
      <c r="E34" s="541">
        <v>650000</v>
      </c>
      <c r="F34" s="541">
        <v>976871</v>
      </c>
      <c r="G34" s="548">
        <f>SUM(G35:G40)</f>
        <v>650000</v>
      </c>
      <c r="H34" s="549">
        <f t="shared" si="0"/>
        <v>976871</v>
      </c>
      <c r="I34" s="549">
        <f t="shared" si="1"/>
        <v>300310</v>
      </c>
      <c r="J34" s="545">
        <f t="shared" ref="J34:Q34" si="29">SUM(J35:J40)</f>
        <v>0.44140000000000001</v>
      </c>
      <c r="K34" s="545">
        <f t="shared" si="29"/>
        <v>676561</v>
      </c>
      <c r="L34" s="545">
        <f t="shared" si="29"/>
        <v>570000</v>
      </c>
      <c r="M34" s="545">
        <f t="shared" si="29"/>
        <v>570000</v>
      </c>
      <c r="N34" s="545">
        <f t="shared" si="29"/>
        <v>286910</v>
      </c>
      <c r="O34" s="545">
        <f t="shared" si="29"/>
        <v>80000</v>
      </c>
      <c r="P34" s="545">
        <f t="shared" si="29"/>
        <v>80000</v>
      </c>
      <c r="Q34" s="545">
        <f t="shared" si="29"/>
        <v>0</v>
      </c>
      <c r="R34" s="546">
        <f t="shared" ref="R34:T34" si="30">SUM(R35:R40)</f>
        <v>0</v>
      </c>
      <c r="S34" s="546">
        <f t="shared" si="30"/>
        <v>326871</v>
      </c>
      <c r="T34" s="546">
        <f t="shared" si="30"/>
        <v>13400</v>
      </c>
      <c r="U34" s="519">
        <f>W34-G34+20309</f>
        <v>-691</v>
      </c>
      <c r="V34" s="519">
        <f t="shared" si="3"/>
        <v>649309</v>
      </c>
      <c r="W34" s="1052">
        <v>629000</v>
      </c>
      <c r="X34" s="413">
        <v>346130</v>
      </c>
      <c r="Y34" s="413">
        <v>441918</v>
      </c>
      <c r="Z34" s="776">
        <v>530000</v>
      </c>
      <c r="AA34" s="1057">
        <f t="shared" si="27"/>
        <v>3509</v>
      </c>
      <c r="AB34" s="1057">
        <f t="shared" si="28"/>
        <v>533509</v>
      </c>
      <c r="AC34" s="591">
        <v>533509</v>
      </c>
    </row>
    <row r="35" spans="1:29" hidden="1" x14ac:dyDescent="0.35">
      <c r="A35" s="318">
        <v>28</v>
      </c>
      <c r="B35" s="550" t="s">
        <v>51</v>
      </c>
      <c r="C35" s="550"/>
      <c r="D35" s="318"/>
      <c r="E35" s="518">
        <v>0</v>
      </c>
      <c r="F35" s="518">
        <v>326871</v>
      </c>
      <c r="G35" s="551">
        <f t="shared" ref="G35:G40" si="31">SUM(L35,O35,R35,)</f>
        <v>0</v>
      </c>
      <c r="H35" s="413">
        <f t="shared" si="0"/>
        <v>326871</v>
      </c>
      <c r="I35" s="413">
        <f t="shared" si="1"/>
        <v>13400</v>
      </c>
      <c r="J35" s="537"/>
      <c r="K35" s="39">
        <f t="shared" si="4"/>
        <v>313471</v>
      </c>
      <c r="L35" s="39"/>
      <c r="M35" s="39">
        <f t="shared" si="5"/>
        <v>0</v>
      </c>
      <c r="N35" s="39"/>
      <c r="O35" s="538"/>
      <c r="P35" s="39">
        <f t="shared" si="6"/>
        <v>0</v>
      </c>
      <c r="Q35" s="1035"/>
      <c r="R35" s="413"/>
      <c r="S35" s="413">
        <f>313471+13400</f>
        <v>326871</v>
      </c>
      <c r="T35" s="413">
        <v>13400</v>
      </c>
      <c r="U35" s="519">
        <f t="shared" ref="U35:U40" si="32">W35-G35</f>
        <v>0</v>
      </c>
      <c r="V35" s="519">
        <f t="shared" si="3"/>
        <v>0</v>
      </c>
      <c r="W35" s="519"/>
      <c r="X35" s="413"/>
      <c r="Y35" s="413"/>
      <c r="Z35" s="776">
        <f t="shared" si="7"/>
        <v>0</v>
      </c>
      <c r="AA35" s="1038"/>
      <c r="AB35" s="1038"/>
      <c r="AC35" s="1038"/>
    </row>
    <row r="36" spans="1:29" hidden="1" x14ac:dyDescent="0.35">
      <c r="A36" s="318">
        <v>29</v>
      </c>
      <c r="B36" s="550" t="s">
        <v>52</v>
      </c>
      <c r="C36" s="550"/>
      <c r="D36" s="318"/>
      <c r="E36" s="518">
        <v>0</v>
      </c>
      <c r="F36" s="518">
        <v>0</v>
      </c>
      <c r="G36" s="551">
        <f t="shared" si="31"/>
        <v>0</v>
      </c>
      <c r="H36" s="413">
        <f t="shared" si="0"/>
        <v>0</v>
      </c>
      <c r="I36" s="413">
        <f t="shared" si="1"/>
        <v>0</v>
      </c>
      <c r="J36" s="537"/>
      <c r="K36" s="39">
        <f t="shared" si="4"/>
        <v>0</v>
      </c>
      <c r="L36" s="39"/>
      <c r="M36" s="39">
        <f t="shared" si="5"/>
        <v>0</v>
      </c>
      <c r="N36" s="39"/>
      <c r="O36" s="538"/>
      <c r="P36" s="39">
        <f t="shared" si="6"/>
        <v>0</v>
      </c>
      <c r="Q36" s="1035"/>
      <c r="R36" s="413"/>
      <c r="S36" s="413"/>
      <c r="T36" s="413"/>
      <c r="U36" s="519">
        <f t="shared" si="32"/>
        <v>0</v>
      </c>
      <c r="V36" s="519">
        <f t="shared" si="3"/>
        <v>0</v>
      </c>
      <c r="W36" s="519"/>
      <c r="X36" s="413"/>
      <c r="Y36" s="413"/>
      <c r="Z36" s="776">
        <f t="shared" si="7"/>
        <v>0</v>
      </c>
      <c r="AA36" s="1038"/>
      <c r="AB36" s="1038"/>
      <c r="AC36" s="1038"/>
    </row>
    <row r="37" spans="1:29" hidden="1" x14ac:dyDescent="0.35">
      <c r="A37" s="318">
        <v>30</v>
      </c>
      <c r="B37" s="550" t="s">
        <v>53</v>
      </c>
      <c r="C37" s="550"/>
      <c r="D37" s="318"/>
      <c r="E37" s="518">
        <v>650000</v>
      </c>
      <c r="F37" s="518">
        <v>650000</v>
      </c>
      <c r="G37" s="551">
        <f t="shared" si="31"/>
        <v>650000</v>
      </c>
      <c r="H37" s="413">
        <f t="shared" si="0"/>
        <v>650000</v>
      </c>
      <c r="I37" s="413">
        <f t="shared" si="1"/>
        <v>286910</v>
      </c>
      <c r="J37" s="537">
        <f t="shared" si="10"/>
        <v>0.44140000000000001</v>
      </c>
      <c r="K37" s="39">
        <f t="shared" si="4"/>
        <v>363090</v>
      </c>
      <c r="L37" s="39">
        <v>570000</v>
      </c>
      <c r="M37" s="39">
        <f t="shared" si="5"/>
        <v>570000</v>
      </c>
      <c r="N37" s="39">
        <v>286910</v>
      </c>
      <c r="O37" s="538">
        <v>80000</v>
      </c>
      <c r="P37" s="39">
        <f t="shared" si="6"/>
        <v>80000</v>
      </c>
      <c r="Q37" s="1035"/>
      <c r="R37" s="413"/>
      <c r="S37" s="413"/>
      <c r="T37" s="413"/>
      <c r="U37" s="519">
        <f t="shared" si="32"/>
        <v>-650000</v>
      </c>
      <c r="V37" s="519">
        <f t="shared" si="3"/>
        <v>0</v>
      </c>
      <c r="W37" s="519"/>
      <c r="X37" s="413"/>
      <c r="Y37" s="413"/>
      <c r="Z37" s="776">
        <f t="shared" si="7"/>
        <v>0</v>
      </c>
      <c r="AA37" s="1038"/>
      <c r="AB37" s="1038"/>
      <c r="AC37" s="1038"/>
    </row>
    <row r="38" spans="1:29" hidden="1" x14ac:dyDescent="0.35">
      <c r="A38" s="318">
        <v>31</v>
      </c>
      <c r="B38" s="550" t="s">
        <v>54</v>
      </c>
      <c r="C38" s="550"/>
      <c r="D38" s="318"/>
      <c r="E38" s="518">
        <v>0</v>
      </c>
      <c r="F38" s="518">
        <v>0</v>
      </c>
      <c r="G38" s="551">
        <f t="shared" si="31"/>
        <v>0</v>
      </c>
      <c r="H38" s="413">
        <f t="shared" si="0"/>
        <v>0</v>
      </c>
      <c r="I38" s="413">
        <f t="shared" si="1"/>
        <v>0</v>
      </c>
      <c r="J38" s="537"/>
      <c r="K38" s="39">
        <f t="shared" si="4"/>
        <v>0</v>
      </c>
      <c r="L38" s="39"/>
      <c r="M38" s="39">
        <f t="shared" si="5"/>
        <v>0</v>
      </c>
      <c r="N38" s="39"/>
      <c r="O38" s="538"/>
      <c r="P38" s="39">
        <f t="shared" si="6"/>
        <v>0</v>
      </c>
      <c r="Q38" s="1035"/>
      <c r="R38" s="413"/>
      <c r="S38" s="413"/>
      <c r="T38" s="413"/>
      <c r="U38" s="519">
        <f t="shared" si="32"/>
        <v>0</v>
      </c>
      <c r="V38" s="519">
        <f t="shared" si="3"/>
        <v>0</v>
      </c>
      <c r="W38" s="519"/>
      <c r="X38" s="413"/>
      <c r="Y38" s="413"/>
      <c r="Z38" s="776">
        <f t="shared" si="7"/>
        <v>0</v>
      </c>
      <c r="AA38" s="1038"/>
      <c r="AB38" s="1038"/>
      <c r="AC38" s="1038"/>
    </row>
    <row r="39" spans="1:29" hidden="1" x14ac:dyDescent="0.35">
      <c r="A39" s="318">
        <v>32</v>
      </c>
      <c r="B39" s="550" t="s">
        <v>55</v>
      </c>
      <c r="C39" s="550"/>
      <c r="D39" s="318"/>
      <c r="E39" s="518">
        <v>0</v>
      </c>
      <c r="F39" s="518">
        <v>0</v>
      </c>
      <c r="G39" s="551">
        <f t="shared" si="31"/>
        <v>0</v>
      </c>
      <c r="H39" s="413">
        <f t="shared" ref="H39:H70" si="33">SUM(M39,P39,S39,)</f>
        <v>0</v>
      </c>
      <c r="I39" s="413">
        <f t="shared" ref="I39:I70" si="34">SUM(N39,Q39,T39,)</f>
        <v>0</v>
      </c>
      <c r="J39" s="537"/>
      <c r="K39" s="39">
        <f t="shared" si="4"/>
        <v>0</v>
      </c>
      <c r="L39" s="39"/>
      <c r="M39" s="39">
        <f t="shared" si="5"/>
        <v>0</v>
      </c>
      <c r="N39" s="39"/>
      <c r="O39" s="538"/>
      <c r="P39" s="39">
        <f t="shared" si="6"/>
        <v>0</v>
      </c>
      <c r="Q39" s="1035"/>
      <c r="R39" s="413"/>
      <c r="S39" s="413"/>
      <c r="T39" s="413"/>
      <c r="U39" s="519">
        <f t="shared" si="32"/>
        <v>0</v>
      </c>
      <c r="V39" s="519">
        <f t="shared" ref="V39:V70" si="35">G39+U39</f>
        <v>0</v>
      </c>
      <c r="W39" s="519"/>
      <c r="X39" s="413"/>
      <c r="Y39" s="413"/>
      <c r="Z39" s="776">
        <f t="shared" si="7"/>
        <v>0</v>
      </c>
      <c r="AA39" s="1038"/>
      <c r="AB39" s="1038"/>
      <c r="AC39" s="1038"/>
    </row>
    <row r="40" spans="1:29" hidden="1" x14ac:dyDescent="0.35">
      <c r="A40" s="318">
        <v>33</v>
      </c>
      <c r="B40" s="550" t="s">
        <v>56</v>
      </c>
      <c r="C40" s="550"/>
      <c r="D40" s="318"/>
      <c r="E40" s="518">
        <v>0</v>
      </c>
      <c r="F40" s="518">
        <v>0</v>
      </c>
      <c r="G40" s="551">
        <f t="shared" si="31"/>
        <v>0</v>
      </c>
      <c r="H40" s="413">
        <f t="shared" si="33"/>
        <v>0</v>
      </c>
      <c r="I40" s="413">
        <f t="shared" si="34"/>
        <v>0</v>
      </c>
      <c r="J40" s="537"/>
      <c r="K40" s="39">
        <f t="shared" si="4"/>
        <v>0</v>
      </c>
      <c r="L40" s="39"/>
      <c r="M40" s="39">
        <f t="shared" si="5"/>
        <v>0</v>
      </c>
      <c r="N40" s="39"/>
      <c r="O40" s="538"/>
      <c r="P40" s="39">
        <f t="shared" si="6"/>
        <v>0</v>
      </c>
      <c r="Q40" s="1035"/>
      <c r="R40" s="413"/>
      <c r="S40" s="413"/>
      <c r="T40" s="413"/>
      <c r="U40" s="519">
        <f t="shared" si="32"/>
        <v>0</v>
      </c>
      <c r="V40" s="519">
        <f t="shared" si="35"/>
        <v>0</v>
      </c>
      <c r="W40" s="519"/>
      <c r="X40" s="413"/>
      <c r="Y40" s="413"/>
      <c r="Z40" s="776">
        <f t="shared" si="7"/>
        <v>0</v>
      </c>
      <c r="AA40" s="1038"/>
      <c r="AB40" s="1038"/>
      <c r="AC40" s="1038"/>
    </row>
    <row r="41" spans="1:29" s="7" customFormat="1" ht="15.5" x14ac:dyDescent="0.35">
      <c r="A41" s="552">
        <v>33</v>
      </c>
      <c r="B41" s="553" t="s">
        <v>57</v>
      </c>
      <c r="C41" s="553"/>
      <c r="D41" s="552" t="s">
        <v>58</v>
      </c>
      <c r="E41" s="554">
        <v>900000</v>
      </c>
      <c r="F41" s="554">
        <v>1226871</v>
      </c>
      <c r="G41" s="555">
        <f>SUM(G34,G28)</f>
        <v>900000</v>
      </c>
      <c r="H41" s="555">
        <f t="shared" ref="H41:W41" si="36">SUM(H34,H28)</f>
        <v>1226871</v>
      </c>
      <c r="I41" s="555">
        <f t="shared" si="36"/>
        <v>338120</v>
      </c>
      <c r="J41" s="555">
        <f t="shared" si="36"/>
        <v>0.44140000000000001</v>
      </c>
      <c r="K41" s="555">
        <f t="shared" si="36"/>
        <v>888751</v>
      </c>
      <c r="L41" s="555">
        <f t="shared" si="36"/>
        <v>770000</v>
      </c>
      <c r="M41" s="555">
        <f t="shared" si="36"/>
        <v>777000</v>
      </c>
      <c r="N41" s="555">
        <f t="shared" si="36"/>
        <v>324720</v>
      </c>
      <c r="O41" s="555">
        <f t="shared" si="36"/>
        <v>130000</v>
      </c>
      <c r="P41" s="555">
        <f t="shared" si="36"/>
        <v>123000</v>
      </c>
      <c r="Q41" s="555">
        <f t="shared" si="36"/>
        <v>0</v>
      </c>
      <c r="R41" s="555">
        <f t="shared" si="36"/>
        <v>0</v>
      </c>
      <c r="S41" s="555">
        <f t="shared" si="36"/>
        <v>326871</v>
      </c>
      <c r="T41" s="555">
        <f t="shared" si="36"/>
        <v>13400</v>
      </c>
      <c r="U41" s="555">
        <f t="shared" si="36"/>
        <v>-691</v>
      </c>
      <c r="V41" s="555">
        <f t="shared" si="35"/>
        <v>899309</v>
      </c>
      <c r="W41" s="555">
        <f t="shared" si="36"/>
        <v>879000</v>
      </c>
      <c r="X41" s="555">
        <f t="shared" ref="X41:Y41" si="37">SUM(X34,X28)</f>
        <v>478300</v>
      </c>
      <c r="Y41" s="555">
        <f t="shared" si="37"/>
        <v>717545</v>
      </c>
      <c r="Z41" s="555">
        <f>SUM(Z34,Z28)</f>
        <v>830000</v>
      </c>
      <c r="AA41" s="555">
        <f t="shared" ref="AA41:AB41" si="38">SUM(AA34,AA28)</f>
        <v>-169425</v>
      </c>
      <c r="AB41" s="555">
        <f t="shared" si="38"/>
        <v>660575</v>
      </c>
      <c r="AC41" s="555">
        <f>SUM(AC34,AC28)</f>
        <v>660575</v>
      </c>
    </row>
    <row r="42" spans="1:29" ht="58" x14ac:dyDescent="0.35">
      <c r="A42" s="539">
        <v>34</v>
      </c>
      <c r="B42" s="540" t="s">
        <v>59</v>
      </c>
      <c r="C42" s="540" t="s">
        <v>928</v>
      </c>
      <c r="D42" s="539" t="s">
        <v>60</v>
      </c>
      <c r="E42" s="541">
        <v>1308000</v>
      </c>
      <c r="F42" s="541">
        <v>1308000</v>
      </c>
      <c r="G42" s="548">
        <f>SUM(G43:G44)</f>
        <v>1000000</v>
      </c>
      <c r="H42" s="549">
        <f t="shared" si="33"/>
        <v>1055000</v>
      </c>
      <c r="I42" s="549">
        <f t="shared" si="34"/>
        <v>518025</v>
      </c>
      <c r="J42" s="545">
        <f t="shared" ref="J42:Q42" si="39">SUM(J43:J44)</f>
        <v>0.49101895734597156</v>
      </c>
      <c r="K42" s="545">
        <f t="shared" si="39"/>
        <v>536975</v>
      </c>
      <c r="L42" s="545">
        <f t="shared" si="39"/>
        <v>1000000</v>
      </c>
      <c r="M42" s="545">
        <f t="shared" si="39"/>
        <v>1000000</v>
      </c>
      <c r="N42" s="545">
        <f t="shared" si="39"/>
        <v>518025</v>
      </c>
      <c r="O42" s="545">
        <f t="shared" si="39"/>
        <v>0</v>
      </c>
      <c r="P42" s="545">
        <f t="shared" si="39"/>
        <v>55000</v>
      </c>
      <c r="Q42" s="545">
        <f t="shared" si="39"/>
        <v>0</v>
      </c>
      <c r="R42" s="546">
        <f t="shared" ref="R42:T42" si="40">SUM(R43:R44)</f>
        <v>0</v>
      </c>
      <c r="S42" s="546">
        <f t="shared" si="40"/>
        <v>0</v>
      </c>
      <c r="T42" s="546">
        <f t="shared" si="40"/>
        <v>0</v>
      </c>
      <c r="U42" s="519">
        <f t="shared" ref="U42:U48" si="41">W42-G42</f>
        <v>-30000</v>
      </c>
      <c r="V42" s="519">
        <f t="shared" si="35"/>
        <v>970000</v>
      </c>
      <c r="W42" s="1052">
        <v>970000</v>
      </c>
      <c r="X42" s="413">
        <v>568371</v>
      </c>
      <c r="Y42" s="413">
        <v>835770</v>
      </c>
      <c r="Z42" s="776">
        <v>1100000</v>
      </c>
      <c r="AA42" s="508">
        <f>AB42-Z42</f>
        <v>-29513</v>
      </c>
      <c r="AB42" s="508">
        <f>AC42</f>
        <v>1070487</v>
      </c>
      <c r="AC42" s="591">
        <v>1070487</v>
      </c>
    </row>
    <row r="43" spans="1:29" hidden="1" x14ac:dyDescent="0.35">
      <c r="A43" s="318">
        <v>35</v>
      </c>
      <c r="B43" s="531" t="s">
        <v>61</v>
      </c>
      <c r="C43" s="531"/>
      <c r="D43" s="318"/>
      <c r="E43" s="518">
        <v>0</v>
      </c>
      <c r="F43" s="518">
        <v>0</v>
      </c>
      <c r="G43" s="551">
        <f>SUM(L43,O43,R43,)</f>
        <v>0</v>
      </c>
      <c r="H43" s="413">
        <f t="shared" si="33"/>
        <v>0</v>
      </c>
      <c r="I43" s="413">
        <f t="shared" si="34"/>
        <v>0</v>
      </c>
      <c r="J43" s="537"/>
      <c r="K43" s="39">
        <f t="shared" si="4"/>
        <v>0</v>
      </c>
      <c r="L43" s="39"/>
      <c r="M43" s="39">
        <f t="shared" si="5"/>
        <v>0</v>
      </c>
      <c r="N43" s="39"/>
      <c r="O43" s="538"/>
      <c r="P43" s="39">
        <f t="shared" si="6"/>
        <v>0</v>
      </c>
      <c r="Q43" s="1035"/>
      <c r="R43" s="413"/>
      <c r="S43" s="413"/>
      <c r="T43" s="413"/>
      <c r="U43" s="519">
        <f t="shared" si="41"/>
        <v>0</v>
      </c>
      <c r="V43" s="519">
        <f t="shared" si="35"/>
        <v>0</v>
      </c>
      <c r="W43" s="519"/>
      <c r="X43" s="413"/>
      <c r="Y43" s="413"/>
      <c r="Z43" s="776">
        <f t="shared" si="7"/>
        <v>0</v>
      </c>
      <c r="AA43" s="508">
        <f t="shared" ref="AA43:AA45" si="42">AB43-Z43</f>
        <v>0</v>
      </c>
      <c r="AB43" s="508">
        <f t="shared" ref="AB43:AB45" si="43">AC43</f>
        <v>0</v>
      </c>
      <c r="AC43" s="1038"/>
    </row>
    <row r="44" spans="1:29" ht="29" hidden="1" x14ac:dyDescent="0.35">
      <c r="A44" s="318">
        <v>36</v>
      </c>
      <c r="B44" s="531" t="s">
        <v>62</v>
      </c>
      <c r="C44" s="531"/>
      <c r="D44" s="318"/>
      <c r="E44" s="518">
        <v>1308000</v>
      </c>
      <c r="F44" s="518">
        <v>1308000</v>
      </c>
      <c r="G44" s="551">
        <v>1000000</v>
      </c>
      <c r="H44" s="413">
        <f t="shared" si="33"/>
        <v>1055000</v>
      </c>
      <c r="I44" s="413">
        <f t="shared" si="34"/>
        <v>518025</v>
      </c>
      <c r="J44" s="537">
        <f t="shared" si="10"/>
        <v>0.49101895734597156</v>
      </c>
      <c r="K44" s="39">
        <f t="shared" si="4"/>
        <v>536975</v>
      </c>
      <c r="L44" s="39">
        <v>1000000</v>
      </c>
      <c r="M44" s="39">
        <f t="shared" si="5"/>
        <v>1000000</v>
      </c>
      <c r="N44" s="39">
        <v>518025</v>
      </c>
      <c r="O44" s="538">
        <v>0</v>
      </c>
      <c r="P44" s="39">
        <v>55000</v>
      </c>
      <c r="Q44" s="1035"/>
      <c r="R44" s="413"/>
      <c r="S44" s="413"/>
      <c r="T44" s="413"/>
      <c r="U44" s="519">
        <f t="shared" si="41"/>
        <v>-1000000</v>
      </c>
      <c r="V44" s="519">
        <f t="shared" si="35"/>
        <v>0</v>
      </c>
      <c r="W44" s="519"/>
      <c r="X44" s="413"/>
      <c r="Y44" s="413"/>
      <c r="Z44" s="776">
        <f t="shared" si="7"/>
        <v>0</v>
      </c>
      <c r="AA44" s="508">
        <f t="shared" si="42"/>
        <v>0</v>
      </c>
      <c r="AB44" s="508">
        <f t="shared" si="43"/>
        <v>0</v>
      </c>
      <c r="AC44" s="1038"/>
    </row>
    <row r="45" spans="1:29" x14ac:dyDescent="0.35">
      <c r="A45" s="539">
        <v>37</v>
      </c>
      <c r="B45" s="540" t="s">
        <v>63</v>
      </c>
      <c r="C45" s="540" t="s">
        <v>915</v>
      </c>
      <c r="D45" s="539" t="s">
        <v>64</v>
      </c>
      <c r="E45" s="541">
        <v>408000</v>
      </c>
      <c r="F45" s="541">
        <v>408000</v>
      </c>
      <c r="G45" s="548">
        <f>SUM(G46:G48)</f>
        <v>408000</v>
      </c>
      <c r="H45" s="549">
        <f t="shared" si="33"/>
        <v>408000</v>
      </c>
      <c r="I45" s="549">
        <f t="shared" si="34"/>
        <v>313295</v>
      </c>
      <c r="J45" s="545">
        <f t="shared" ref="J45:Q45" si="44">SUM(J46:J48)</f>
        <v>0.76787990196078426</v>
      </c>
      <c r="K45" s="545">
        <f t="shared" si="44"/>
        <v>94705</v>
      </c>
      <c r="L45" s="545">
        <f t="shared" si="44"/>
        <v>356000</v>
      </c>
      <c r="M45" s="545">
        <f t="shared" si="44"/>
        <v>356000</v>
      </c>
      <c r="N45" s="545">
        <f t="shared" si="44"/>
        <v>313295</v>
      </c>
      <c r="O45" s="545">
        <f t="shared" si="44"/>
        <v>52000</v>
      </c>
      <c r="P45" s="545">
        <f t="shared" si="44"/>
        <v>52000</v>
      </c>
      <c r="Q45" s="545">
        <f t="shared" si="44"/>
        <v>0</v>
      </c>
      <c r="R45" s="546">
        <f t="shared" ref="R45:T45" si="45">SUM(R46:R48)</f>
        <v>0</v>
      </c>
      <c r="S45" s="546">
        <f t="shared" si="45"/>
        <v>0</v>
      </c>
      <c r="T45" s="546">
        <f t="shared" si="45"/>
        <v>0</v>
      </c>
      <c r="U45" s="519">
        <f t="shared" si="41"/>
        <v>0</v>
      </c>
      <c r="V45" s="519">
        <f t="shared" si="35"/>
        <v>408000</v>
      </c>
      <c r="W45" s="1052">
        <v>408000</v>
      </c>
      <c r="X45" s="413">
        <v>374507</v>
      </c>
      <c r="Y45" s="413">
        <v>440087</v>
      </c>
      <c r="Z45" s="776">
        <v>450000</v>
      </c>
      <c r="AA45" s="508">
        <f t="shared" si="42"/>
        <v>77168</v>
      </c>
      <c r="AB45" s="508">
        <f t="shared" si="43"/>
        <v>527168</v>
      </c>
      <c r="AC45" s="591">
        <v>527168</v>
      </c>
    </row>
    <row r="46" spans="1:29" hidden="1" x14ac:dyDescent="0.35">
      <c r="A46" s="318">
        <v>38</v>
      </c>
      <c r="B46" s="544" t="s">
        <v>65</v>
      </c>
      <c r="C46" s="544"/>
      <c r="D46" s="318"/>
      <c r="E46" s="518">
        <v>0</v>
      </c>
      <c r="F46" s="518">
        <v>0</v>
      </c>
      <c r="G46" s="551">
        <f>SUM(L46,O46,R46,)</f>
        <v>0</v>
      </c>
      <c r="H46" s="413">
        <f t="shared" si="33"/>
        <v>0</v>
      </c>
      <c r="I46" s="413">
        <f t="shared" si="34"/>
        <v>0</v>
      </c>
      <c r="J46" s="537"/>
      <c r="K46" s="39">
        <f t="shared" si="4"/>
        <v>0</v>
      </c>
      <c r="L46" s="39"/>
      <c r="M46" s="39">
        <f t="shared" si="5"/>
        <v>0</v>
      </c>
      <c r="N46" s="39"/>
      <c r="O46" s="538"/>
      <c r="P46" s="39">
        <f t="shared" si="6"/>
        <v>0</v>
      </c>
      <c r="Q46" s="1035"/>
      <c r="R46" s="413"/>
      <c r="S46" s="413"/>
      <c r="T46" s="413"/>
      <c r="U46" s="519">
        <f t="shared" si="41"/>
        <v>0</v>
      </c>
      <c r="V46" s="519">
        <f t="shared" si="35"/>
        <v>0</v>
      </c>
      <c r="W46" s="519"/>
      <c r="X46" s="413"/>
      <c r="Y46" s="413"/>
      <c r="Z46" s="776">
        <f t="shared" si="7"/>
        <v>0</v>
      </c>
      <c r="AA46" s="1038"/>
      <c r="AB46" s="1038"/>
      <c r="AC46" s="1038"/>
    </row>
    <row r="47" spans="1:29" hidden="1" x14ac:dyDescent="0.35">
      <c r="A47" s="318">
        <v>39</v>
      </c>
      <c r="B47" s="544" t="s">
        <v>66</v>
      </c>
      <c r="C47" s="544"/>
      <c r="D47" s="318"/>
      <c r="E47" s="518">
        <v>0</v>
      </c>
      <c r="F47" s="518">
        <v>0</v>
      </c>
      <c r="G47" s="551">
        <f>SUM(L47,O47,R47,)</f>
        <v>0</v>
      </c>
      <c r="H47" s="413">
        <f t="shared" si="33"/>
        <v>0</v>
      </c>
      <c r="I47" s="413">
        <f t="shared" si="34"/>
        <v>0</v>
      </c>
      <c r="J47" s="537"/>
      <c r="K47" s="39">
        <f t="shared" si="4"/>
        <v>0</v>
      </c>
      <c r="L47" s="39"/>
      <c r="M47" s="39">
        <f t="shared" si="5"/>
        <v>0</v>
      </c>
      <c r="N47" s="39"/>
      <c r="O47" s="538"/>
      <c r="P47" s="39">
        <f t="shared" si="6"/>
        <v>0</v>
      </c>
      <c r="Q47" s="1035"/>
      <c r="R47" s="413"/>
      <c r="S47" s="413"/>
      <c r="T47" s="413"/>
      <c r="U47" s="519">
        <f t="shared" si="41"/>
        <v>0</v>
      </c>
      <c r="V47" s="519">
        <f t="shared" si="35"/>
        <v>0</v>
      </c>
      <c r="W47" s="519"/>
      <c r="X47" s="413"/>
      <c r="Y47" s="413"/>
      <c r="Z47" s="776">
        <f t="shared" si="7"/>
        <v>0</v>
      </c>
      <c r="AA47" s="1038"/>
      <c r="AB47" s="1038"/>
      <c r="AC47" s="1038"/>
    </row>
    <row r="48" spans="1:29" hidden="1" x14ac:dyDescent="0.35">
      <c r="A48" s="318">
        <v>40</v>
      </c>
      <c r="B48" s="544" t="s">
        <v>67</v>
      </c>
      <c r="C48" s="544"/>
      <c r="D48" s="318"/>
      <c r="E48" s="518">
        <v>408000</v>
      </c>
      <c r="F48" s="518">
        <v>408000</v>
      </c>
      <c r="G48" s="551">
        <f>SUM(L48,O48,R48,)</f>
        <v>408000</v>
      </c>
      <c r="H48" s="413">
        <f t="shared" si="33"/>
        <v>408000</v>
      </c>
      <c r="I48" s="413">
        <f t="shared" si="34"/>
        <v>313295</v>
      </c>
      <c r="J48" s="537">
        <f t="shared" si="10"/>
        <v>0.76787990196078426</v>
      </c>
      <c r="K48" s="39">
        <f t="shared" si="4"/>
        <v>94705</v>
      </c>
      <c r="L48" s="39">
        <v>356000</v>
      </c>
      <c r="M48" s="39">
        <f t="shared" si="5"/>
        <v>356000</v>
      </c>
      <c r="N48" s="39">
        <v>313295</v>
      </c>
      <c r="O48" s="538">
        <v>52000</v>
      </c>
      <c r="P48" s="39">
        <f t="shared" si="6"/>
        <v>52000</v>
      </c>
      <c r="Q48" s="1035"/>
      <c r="R48" s="413"/>
      <c r="S48" s="413"/>
      <c r="T48" s="413"/>
      <c r="U48" s="519">
        <f t="shared" si="41"/>
        <v>-408000</v>
      </c>
      <c r="V48" s="519">
        <f t="shared" si="35"/>
        <v>0</v>
      </c>
      <c r="W48" s="519"/>
      <c r="X48" s="413"/>
      <c r="Y48" s="413"/>
      <c r="Z48" s="776">
        <f t="shared" si="7"/>
        <v>0</v>
      </c>
      <c r="AA48" s="1038"/>
      <c r="AB48" s="1038"/>
      <c r="AC48" s="1038"/>
    </row>
    <row r="49" spans="1:29" ht="15.5" x14ac:dyDescent="0.35">
      <c r="A49" s="552">
        <v>41</v>
      </c>
      <c r="B49" s="553" t="s">
        <v>68</v>
      </c>
      <c r="C49" s="553"/>
      <c r="D49" s="552" t="s">
        <v>69</v>
      </c>
      <c r="E49" s="554">
        <v>1716000</v>
      </c>
      <c r="F49" s="554">
        <v>1716000</v>
      </c>
      <c r="G49" s="555">
        <f>SUM(G45,G42)</f>
        <v>1408000</v>
      </c>
      <c r="H49" s="555">
        <f t="shared" ref="H49:W49" si="46">SUM(H45,H42)</f>
        <v>1463000</v>
      </c>
      <c r="I49" s="555">
        <f t="shared" si="46"/>
        <v>831320</v>
      </c>
      <c r="J49" s="555">
        <f t="shared" si="46"/>
        <v>1.2588988593067558</v>
      </c>
      <c r="K49" s="555">
        <f t="shared" si="46"/>
        <v>631680</v>
      </c>
      <c r="L49" s="555">
        <f t="shared" si="46"/>
        <v>1356000</v>
      </c>
      <c r="M49" s="555">
        <f t="shared" si="46"/>
        <v>1356000</v>
      </c>
      <c r="N49" s="555">
        <f t="shared" si="46"/>
        <v>831320</v>
      </c>
      <c r="O49" s="555">
        <f t="shared" si="46"/>
        <v>52000</v>
      </c>
      <c r="P49" s="555">
        <f t="shared" si="46"/>
        <v>107000</v>
      </c>
      <c r="Q49" s="555">
        <f t="shared" si="46"/>
        <v>0</v>
      </c>
      <c r="R49" s="555">
        <f t="shared" si="46"/>
        <v>0</v>
      </c>
      <c r="S49" s="555">
        <f t="shared" si="46"/>
        <v>0</v>
      </c>
      <c r="T49" s="555">
        <f t="shared" si="46"/>
        <v>0</v>
      </c>
      <c r="U49" s="555">
        <f t="shared" si="46"/>
        <v>-30000</v>
      </c>
      <c r="V49" s="555">
        <f t="shared" si="35"/>
        <v>1378000</v>
      </c>
      <c r="W49" s="555">
        <f t="shared" si="46"/>
        <v>1378000</v>
      </c>
      <c r="X49" s="555">
        <f t="shared" ref="X49:Y49" si="47">SUM(X45,X42)</f>
        <v>942878</v>
      </c>
      <c r="Y49" s="555">
        <f t="shared" si="47"/>
        <v>1275857</v>
      </c>
      <c r="Z49" s="555">
        <f>SUM(Z45,Z42)</f>
        <v>1550000</v>
      </c>
      <c r="AA49" s="555">
        <f t="shared" ref="AA49:AC49" si="48">SUM(AA45,AA42)</f>
        <v>47655</v>
      </c>
      <c r="AB49" s="555">
        <f t="shared" si="48"/>
        <v>1597655</v>
      </c>
      <c r="AC49" s="555">
        <f t="shared" si="48"/>
        <v>1597655</v>
      </c>
    </row>
    <row r="50" spans="1:29" x14ac:dyDescent="0.35">
      <c r="A50" s="539">
        <v>42</v>
      </c>
      <c r="B50" s="540" t="s">
        <v>70</v>
      </c>
      <c r="C50" s="540" t="s">
        <v>911</v>
      </c>
      <c r="D50" s="539" t="s">
        <v>71</v>
      </c>
      <c r="E50" s="541">
        <v>630000</v>
      </c>
      <c r="F50" s="541">
        <v>630000</v>
      </c>
      <c r="G50" s="548">
        <f>SUM(G51:G53)</f>
        <v>700000</v>
      </c>
      <c r="H50" s="549">
        <f t="shared" si="33"/>
        <v>700000</v>
      </c>
      <c r="I50" s="549">
        <f t="shared" si="34"/>
        <v>449154</v>
      </c>
      <c r="J50" s="545">
        <f t="shared" ref="J50:Q50" si="49">SUM(J51:J53)</f>
        <v>0.43143714285714285</v>
      </c>
      <c r="K50" s="545">
        <f t="shared" si="49"/>
        <v>250846</v>
      </c>
      <c r="L50" s="545">
        <f t="shared" si="49"/>
        <v>600000</v>
      </c>
      <c r="M50" s="545">
        <f t="shared" si="49"/>
        <v>600000</v>
      </c>
      <c r="N50" s="545">
        <f t="shared" si="49"/>
        <v>449154</v>
      </c>
      <c r="O50" s="545">
        <f t="shared" si="49"/>
        <v>100000</v>
      </c>
      <c r="P50" s="545">
        <f t="shared" si="49"/>
        <v>100000</v>
      </c>
      <c r="Q50" s="545">
        <f t="shared" si="49"/>
        <v>0</v>
      </c>
      <c r="R50" s="546">
        <f t="shared" ref="R50:T50" si="50">SUM(R51:R53)</f>
        <v>0</v>
      </c>
      <c r="S50" s="546">
        <f t="shared" si="50"/>
        <v>0</v>
      </c>
      <c r="T50" s="546">
        <f t="shared" si="50"/>
        <v>0</v>
      </c>
      <c r="U50" s="519">
        <f t="shared" ref="U50:U58" si="51">W50-G50</f>
        <v>40000</v>
      </c>
      <c r="V50" s="519">
        <f t="shared" si="35"/>
        <v>740000</v>
      </c>
      <c r="W50" s="1052">
        <v>740000</v>
      </c>
      <c r="X50" s="413">
        <v>581244</v>
      </c>
      <c r="Y50" s="413">
        <v>695113</v>
      </c>
      <c r="Z50" s="776">
        <v>800000</v>
      </c>
      <c r="AA50" s="508">
        <f t="shared" ref="AA50:AA63" si="52">AB50-Z50</f>
        <v>-11934</v>
      </c>
      <c r="AB50" s="508">
        <f t="shared" ref="AB50:AB62" si="53">AC50</f>
        <v>788066</v>
      </c>
      <c r="AC50" s="591">
        <v>788066</v>
      </c>
    </row>
    <row r="51" spans="1:29" hidden="1" x14ac:dyDescent="0.35">
      <c r="A51" s="318">
        <v>43</v>
      </c>
      <c r="B51" s="556" t="s">
        <v>72</v>
      </c>
      <c r="C51" s="556"/>
      <c r="D51" s="318"/>
      <c r="E51" s="518">
        <v>0</v>
      </c>
      <c r="F51" s="518">
        <v>0</v>
      </c>
      <c r="G51" s="1389">
        <v>700000</v>
      </c>
      <c r="H51" s="413">
        <f t="shared" si="33"/>
        <v>0</v>
      </c>
      <c r="I51" s="413">
        <f t="shared" si="34"/>
        <v>114726</v>
      </c>
      <c r="J51" s="537"/>
      <c r="K51" s="39">
        <f t="shared" si="4"/>
        <v>-114726</v>
      </c>
      <c r="L51" s="39"/>
      <c r="M51" s="39">
        <f t="shared" si="5"/>
        <v>0</v>
      </c>
      <c r="N51" s="39">
        <v>114726</v>
      </c>
      <c r="O51" s="538"/>
      <c r="P51" s="39">
        <f t="shared" si="6"/>
        <v>0</v>
      </c>
      <c r="Q51" s="1035"/>
      <c r="R51" s="413"/>
      <c r="S51" s="413"/>
      <c r="T51" s="413"/>
      <c r="U51" s="519">
        <f t="shared" si="51"/>
        <v>-700000</v>
      </c>
      <c r="V51" s="519">
        <f t="shared" si="35"/>
        <v>0</v>
      </c>
      <c r="W51" s="519"/>
      <c r="X51" s="413"/>
      <c r="Y51" s="413"/>
      <c r="Z51" s="776">
        <f t="shared" si="7"/>
        <v>0</v>
      </c>
      <c r="AA51" s="508">
        <f t="shared" si="52"/>
        <v>0</v>
      </c>
      <c r="AB51" s="508">
        <f t="shared" si="53"/>
        <v>0</v>
      </c>
      <c r="AC51" s="1038"/>
    </row>
    <row r="52" spans="1:29" hidden="1" x14ac:dyDescent="0.35">
      <c r="A52" s="318">
        <v>44</v>
      </c>
      <c r="B52" s="556" t="s">
        <v>73</v>
      </c>
      <c r="C52" s="556"/>
      <c r="D52" s="318"/>
      <c r="E52" s="518">
        <v>630000</v>
      </c>
      <c r="F52" s="518">
        <v>630000</v>
      </c>
      <c r="G52" s="1389"/>
      <c r="H52" s="413">
        <f t="shared" si="33"/>
        <v>700000</v>
      </c>
      <c r="I52" s="413">
        <f t="shared" si="34"/>
        <v>302006</v>
      </c>
      <c r="J52" s="537">
        <f t="shared" si="10"/>
        <v>0.43143714285714285</v>
      </c>
      <c r="K52" s="39">
        <f t="shared" si="4"/>
        <v>397994</v>
      </c>
      <c r="L52" s="39">
        <v>600000</v>
      </c>
      <c r="M52" s="39">
        <f t="shared" si="5"/>
        <v>600000</v>
      </c>
      <c r="N52" s="39">
        <v>302006</v>
      </c>
      <c r="O52" s="538">
        <v>100000</v>
      </c>
      <c r="P52" s="39">
        <f t="shared" si="6"/>
        <v>100000</v>
      </c>
      <c r="Q52" s="1035"/>
      <c r="R52" s="413"/>
      <c r="S52" s="413"/>
      <c r="T52" s="413"/>
      <c r="U52" s="519">
        <f t="shared" si="51"/>
        <v>0</v>
      </c>
      <c r="V52" s="519">
        <f t="shared" si="35"/>
        <v>0</v>
      </c>
      <c r="W52" s="519"/>
      <c r="X52" s="413"/>
      <c r="Y52" s="413"/>
      <c r="Z52" s="776">
        <f t="shared" si="7"/>
        <v>0</v>
      </c>
      <c r="AA52" s="508">
        <f t="shared" si="52"/>
        <v>0</v>
      </c>
      <c r="AB52" s="508">
        <f t="shared" si="53"/>
        <v>0</v>
      </c>
      <c r="AC52" s="1038"/>
    </row>
    <row r="53" spans="1:29" hidden="1" x14ac:dyDescent="0.35">
      <c r="A53" s="318">
        <v>45</v>
      </c>
      <c r="B53" s="556" t="s">
        <v>74</v>
      </c>
      <c r="C53" s="556"/>
      <c r="D53" s="318"/>
      <c r="E53" s="518">
        <v>0</v>
      </c>
      <c r="F53" s="518">
        <v>0</v>
      </c>
      <c r="G53" s="1389"/>
      <c r="H53" s="413">
        <f t="shared" si="33"/>
        <v>0</v>
      </c>
      <c r="I53" s="413">
        <f t="shared" si="34"/>
        <v>32422</v>
      </c>
      <c r="J53" s="537"/>
      <c r="K53" s="39">
        <f t="shared" si="4"/>
        <v>-32422</v>
      </c>
      <c r="L53" s="39"/>
      <c r="M53" s="39">
        <f t="shared" si="5"/>
        <v>0</v>
      </c>
      <c r="N53" s="39">
        <v>32422</v>
      </c>
      <c r="O53" s="538"/>
      <c r="P53" s="39">
        <f t="shared" si="6"/>
        <v>0</v>
      </c>
      <c r="Q53" s="1035"/>
      <c r="R53" s="413"/>
      <c r="S53" s="413"/>
      <c r="T53" s="413"/>
      <c r="U53" s="519">
        <f t="shared" si="51"/>
        <v>0</v>
      </c>
      <c r="V53" s="519">
        <f t="shared" si="35"/>
        <v>0</v>
      </c>
      <c r="W53" s="519"/>
      <c r="X53" s="413"/>
      <c r="Y53" s="413"/>
      <c r="Z53" s="776">
        <f t="shared" si="7"/>
        <v>0</v>
      </c>
      <c r="AA53" s="508">
        <f t="shared" si="52"/>
        <v>0</v>
      </c>
      <c r="AB53" s="508">
        <f t="shared" si="53"/>
        <v>0</v>
      </c>
      <c r="AC53" s="1038"/>
    </row>
    <row r="54" spans="1:29" x14ac:dyDescent="0.35">
      <c r="A54" s="539">
        <v>46</v>
      </c>
      <c r="B54" s="540" t="s">
        <v>75</v>
      </c>
      <c r="C54" s="540"/>
      <c r="D54" s="539" t="s">
        <v>76</v>
      </c>
      <c r="E54" s="541">
        <v>0</v>
      </c>
      <c r="F54" s="541">
        <v>0</v>
      </c>
      <c r="G54" s="548">
        <f>SUM(G55)</f>
        <v>0</v>
      </c>
      <c r="H54" s="549">
        <f t="shared" si="33"/>
        <v>0</v>
      </c>
      <c r="I54" s="549">
        <f t="shared" si="34"/>
        <v>0</v>
      </c>
      <c r="J54" s="545">
        <f t="shared" ref="J54:T54" si="54">J55</f>
        <v>0</v>
      </c>
      <c r="K54" s="545">
        <f t="shared" si="54"/>
        <v>0</v>
      </c>
      <c r="L54" s="545">
        <f t="shared" si="54"/>
        <v>0</v>
      </c>
      <c r="M54" s="545">
        <f t="shared" si="54"/>
        <v>0</v>
      </c>
      <c r="N54" s="545">
        <f t="shared" si="54"/>
        <v>0</v>
      </c>
      <c r="O54" s="545">
        <f t="shared" si="54"/>
        <v>0</v>
      </c>
      <c r="P54" s="545">
        <f t="shared" si="54"/>
        <v>0</v>
      </c>
      <c r="Q54" s="545">
        <f t="shared" si="54"/>
        <v>0</v>
      </c>
      <c r="R54" s="546">
        <f t="shared" si="54"/>
        <v>0</v>
      </c>
      <c r="S54" s="546">
        <f t="shared" si="54"/>
        <v>0</v>
      </c>
      <c r="T54" s="546">
        <f t="shared" si="54"/>
        <v>0</v>
      </c>
      <c r="U54" s="519">
        <f t="shared" si="51"/>
        <v>0</v>
      </c>
      <c r="V54" s="519">
        <f t="shared" si="35"/>
        <v>0</v>
      </c>
      <c r="W54" s="519"/>
      <c r="X54" s="413"/>
      <c r="Y54" s="413"/>
      <c r="Z54" s="776">
        <f t="shared" si="7"/>
        <v>0</v>
      </c>
      <c r="AA54" s="508">
        <f t="shared" si="52"/>
        <v>0</v>
      </c>
      <c r="AB54" s="508">
        <f t="shared" si="53"/>
        <v>0</v>
      </c>
      <c r="AC54" s="1038"/>
    </row>
    <row r="55" spans="1:29" hidden="1" x14ac:dyDescent="0.35">
      <c r="A55" s="318">
        <v>47</v>
      </c>
      <c r="B55" s="531" t="s">
        <v>77</v>
      </c>
      <c r="C55" s="531"/>
      <c r="D55" s="318"/>
      <c r="E55" s="518">
        <v>0</v>
      </c>
      <c r="F55" s="518">
        <v>0</v>
      </c>
      <c r="G55" s="551">
        <f>SUM(L55,O55,R55,)</f>
        <v>0</v>
      </c>
      <c r="H55" s="413">
        <f t="shared" si="33"/>
        <v>0</v>
      </c>
      <c r="I55" s="413">
        <f t="shared" si="34"/>
        <v>0</v>
      </c>
      <c r="J55" s="537"/>
      <c r="K55" s="39">
        <f t="shared" si="4"/>
        <v>0</v>
      </c>
      <c r="L55" s="39"/>
      <c r="M55" s="39">
        <f t="shared" si="5"/>
        <v>0</v>
      </c>
      <c r="N55" s="39"/>
      <c r="O55" s="538"/>
      <c r="P55" s="39">
        <f t="shared" si="6"/>
        <v>0</v>
      </c>
      <c r="Q55" s="1035"/>
      <c r="R55" s="413"/>
      <c r="S55" s="413"/>
      <c r="T55" s="413"/>
      <c r="U55" s="519">
        <f t="shared" si="51"/>
        <v>0</v>
      </c>
      <c r="V55" s="519">
        <f t="shared" si="35"/>
        <v>0</v>
      </c>
      <c r="W55" s="519"/>
      <c r="X55" s="413"/>
      <c r="Y55" s="413"/>
      <c r="Z55" s="776">
        <f t="shared" si="7"/>
        <v>0</v>
      </c>
      <c r="AA55" s="508">
        <f t="shared" si="52"/>
        <v>0</v>
      </c>
      <c r="AB55" s="508">
        <f t="shared" si="53"/>
        <v>0</v>
      </c>
      <c r="AC55" s="1038"/>
    </row>
    <row r="56" spans="1:29" hidden="1" x14ac:dyDescent="0.35">
      <c r="A56" s="318">
        <v>48</v>
      </c>
      <c r="B56" s="531" t="s">
        <v>78</v>
      </c>
      <c r="C56" s="531"/>
      <c r="D56" s="318" t="s">
        <v>79</v>
      </c>
      <c r="E56" s="518">
        <v>0</v>
      </c>
      <c r="F56" s="518">
        <v>0</v>
      </c>
      <c r="G56" s="551">
        <f>SUM(L56,O56,R56,)</f>
        <v>0</v>
      </c>
      <c r="H56" s="413">
        <f t="shared" si="33"/>
        <v>0</v>
      </c>
      <c r="I56" s="413">
        <f t="shared" si="34"/>
        <v>0</v>
      </c>
      <c r="J56" s="537"/>
      <c r="K56" s="39">
        <f t="shared" si="4"/>
        <v>0</v>
      </c>
      <c r="L56" s="39"/>
      <c r="M56" s="39">
        <f t="shared" si="5"/>
        <v>0</v>
      </c>
      <c r="N56" s="39"/>
      <c r="O56" s="538"/>
      <c r="P56" s="39">
        <f t="shared" si="6"/>
        <v>0</v>
      </c>
      <c r="Q56" s="1035"/>
      <c r="R56" s="413"/>
      <c r="S56" s="413"/>
      <c r="T56" s="413"/>
      <c r="U56" s="519">
        <f t="shared" si="51"/>
        <v>0</v>
      </c>
      <c r="V56" s="519">
        <f t="shared" si="35"/>
        <v>0</v>
      </c>
      <c r="W56" s="519"/>
      <c r="X56" s="413"/>
      <c r="Y56" s="413"/>
      <c r="Z56" s="776">
        <f t="shared" si="7"/>
        <v>0</v>
      </c>
      <c r="AA56" s="508">
        <f t="shared" si="52"/>
        <v>0</v>
      </c>
      <c r="AB56" s="508">
        <f t="shared" si="53"/>
        <v>0</v>
      </c>
      <c r="AC56" s="1038"/>
    </row>
    <row r="57" spans="1:29" x14ac:dyDescent="0.35">
      <c r="A57" s="318">
        <v>49</v>
      </c>
      <c r="B57" s="544" t="s">
        <v>159</v>
      </c>
      <c r="C57" s="544"/>
      <c r="D57" s="318" t="s">
        <v>80</v>
      </c>
      <c r="E57" s="518">
        <v>250000</v>
      </c>
      <c r="F57" s="518">
        <v>250000</v>
      </c>
      <c r="G57" s="551">
        <f>SUM(L57,O57,R57,)</f>
        <v>250000</v>
      </c>
      <c r="H57" s="413">
        <f t="shared" si="33"/>
        <v>250000</v>
      </c>
      <c r="I57" s="413">
        <f t="shared" si="34"/>
        <v>96084</v>
      </c>
      <c r="J57" s="537">
        <f t="shared" si="10"/>
        <v>0.38433600000000001</v>
      </c>
      <c r="K57" s="39">
        <f t="shared" si="4"/>
        <v>153916</v>
      </c>
      <c r="L57" s="39">
        <v>250000</v>
      </c>
      <c r="M57" s="39">
        <f t="shared" si="5"/>
        <v>250000</v>
      </c>
      <c r="N57" s="39">
        <v>96084</v>
      </c>
      <c r="O57" s="538"/>
      <c r="P57" s="39">
        <f t="shared" si="6"/>
        <v>0</v>
      </c>
      <c r="Q57" s="1035"/>
      <c r="R57" s="413"/>
      <c r="S57" s="413"/>
      <c r="T57" s="413"/>
      <c r="U57" s="519">
        <f t="shared" si="51"/>
        <v>-47494</v>
      </c>
      <c r="V57" s="519">
        <f t="shared" si="35"/>
        <v>202506</v>
      </c>
      <c r="W57" s="1052">
        <v>202506</v>
      </c>
      <c r="X57" s="413">
        <v>35000</v>
      </c>
      <c r="Y57" s="413">
        <v>35000</v>
      </c>
      <c r="Z57" s="776">
        <v>50000</v>
      </c>
      <c r="AA57" s="508">
        <f t="shared" si="52"/>
        <v>-36500</v>
      </c>
      <c r="AB57" s="508">
        <f t="shared" si="53"/>
        <v>13500</v>
      </c>
      <c r="AC57" s="591">
        <v>13500</v>
      </c>
    </row>
    <row r="58" spans="1:29" ht="29" x14ac:dyDescent="0.35">
      <c r="A58" s="318">
        <v>50</v>
      </c>
      <c r="B58" s="531" t="s">
        <v>81</v>
      </c>
      <c r="C58" s="531" t="s">
        <v>916</v>
      </c>
      <c r="D58" s="318" t="s">
        <v>82</v>
      </c>
      <c r="E58" s="518">
        <v>0</v>
      </c>
      <c r="F58" s="518">
        <v>0</v>
      </c>
      <c r="G58" s="551">
        <f>SUM(L58,O58,R58,)</f>
        <v>0</v>
      </c>
      <c r="H58" s="413">
        <f t="shared" si="33"/>
        <v>0</v>
      </c>
      <c r="I58" s="413">
        <f t="shared" si="34"/>
        <v>133978</v>
      </c>
      <c r="J58" s="537"/>
      <c r="K58" s="39">
        <f t="shared" si="4"/>
        <v>-133978</v>
      </c>
      <c r="L58" s="39"/>
      <c r="M58" s="39">
        <f t="shared" si="5"/>
        <v>0</v>
      </c>
      <c r="N58" s="39">
        <v>133978</v>
      </c>
      <c r="O58" s="538"/>
      <c r="P58" s="39">
        <f t="shared" si="6"/>
        <v>0</v>
      </c>
      <c r="Q58" s="1035"/>
      <c r="R58" s="413"/>
      <c r="S58" s="413"/>
      <c r="T58" s="413"/>
      <c r="U58" s="519">
        <f t="shared" si="51"/>
        <v>175000</v>
      </c>
      <c r="V58" s="519">
        <f t="shared" si="35"/>
        <v>175000</v>
      </c>
      <c r="W58" s="1052">
        <v>175000</v>
      </c>
      <c r="X58" s="413">
        <v>164436</v>
      </c>
      <c r="Y58" s="413">
        <v>190992</v>
      </c>
      <c r="Z58" s="776">
        <v>200000</v>
      </c>
      <c r="AA58" s="508">
        <f t="shared" si="52"/>
        <v>-93176</v>
      </c>
      <c r="AB58" s="508">
        <f t="shared" si="53"/>
        <v>106824</v>
      </c>
      <c r="AC58" s="591">
        <v>106824</v>
      </c>
    </row>
    <row r="59" spans="1:29" s="7" customFormat="1" ht="29" x14ac:dyDescent="0.35">
      <c r="A59" s="539">
        <v>51</v>
      </c>
      <c r="B59" s="540" t="s">
        <v>83</v>
      </c>
      <c r="C59" s="540" t="s">
        <v>932</v>
      </c>
      <c r="D59" s="539" t="s">
        <v>84</v>
      </c>
      <c r="E59" s="541">
        <v>650000</v>
      </c>
      <c r="F59" s="541">
        <v>650000</v>
      </c>
      <c r="G59" s="548">
        <f>SUM(G60:G62)</f>
        <v>500000</v>
      </c>
      <c r="H59" s="549">
        <f t="shared" si="33"/>
        <v>500000</v>
      </c>
      <c r="I59" s="549">
        <f t="shared" si="34"/>
        <v>114906</v>
      </c>
      <c r="J59" s="545">
        <f t="shared" ref="J59:Q59" si="55">SUM(J60:J62)</f>
        <v>0.22981199999999999</v>
      </c>
      <c r="K59" s="545">
        <f t="shared" si="55"/>
        <v>385094</v>
      </c>
      <c r="L59" s="545">
        <f t="shared" si="55"/>
        <v>400000</v>
      </c>
      <c r="M59" s="545">
        <f t="shared" si="55"/>
        <v>400000</v>
      </c>
      <c r="N59" s="545">
        <f t="shared" si="55"/>
        <v>114906</v>
      </c>
      <c r="O59" s="545">
        <f t="shared" si="55"/>
        <v>100000</v>
      </c>
      <c r="P59" s="545">
        <f t="shared" si="55"/>
        <v>100000</v>
      </c>
      <c r="Q59" s="545">
        <f t="shared" si="55"/>
        <v>0</v>
      </c>
      <c r="R59" s="546">
        <f t="shared" ref="R59:T59" si="56">SUM(R60:R62)</f>
        <v>0</v>
      </c>
      <c r="S59" s="546">
        <f t="shared" si="56"/>
        <v>0</v>
      </c>
      <c r="T59" s="546">
        <f t="shared" si="56"/>
        <v>0</v>
      </c>
      <c r="U59" s="519">
        <v>840000</v>
      </c>
      <c r="V59" s="519">
        <f t="shared" si="35"/>
        <v>1340000</v>
      </c>
      <c r="W59" s="1052">
        <v>500000</v>
      </c>
      <c r="X59" s="413">
        <v>179451</v>
      </c>
      <c r="Y59" s="413">
        <v>1017333</v>
      </c>
      <c r="Z59" s="776">
        <v>700000</v>
      </c>
      <c r="AA59" s="508">
        <f t="shared" si="52"/>
        <v>-347930</v>
      </c>
      <c r="AB59" s="508">
        <f t="shared" si="53"/>
        <v>352070</v>
      </c>
      <c r="AC59" s="591">
        <v>352070</v>
      </c>
    </row>
    <row r="60" spans="1:29" hidden="1" x14ac:dyDescent="0.35">
      <c r="A60" s="318">
        <v>52</v>
      </c>
      <c r="B60" s="550" t="s">
        <v>85</v>
      </c>
      <c r="C60" s="550"/>
      <c r="D60" s="318"/>
      <c r="E60" s="518">
        <v>0</v>
      </c>
      <c r="F60" s="518">
        <v>0</v>
      </c>
      <c r="G60" s="551">
        <f>SUM(L60,O60,R60,)</f>
        <v>0</v>
      </c>
      <c r="H60" s="413">
        <f t="shared" si="33"/>
        <v>0</v>
      </c>
      <c r="I60" s="413">
        <f t="shared" si="34"/>
        <v>0</v>
      </c>
      <c r="J60" s="537"/>
      <c r="K60" s="39">
        <f t="shared" si="4"/>
        <v>0</v>
      </c>
      <c r="L60" s="39"/>
      <c r="M60" s="39">
        <f t="shared" si="5"/>
        <v>0</v>
      </c>
      <c r="N60" s="39"/>
      <c r="O60" s="538"/>
      <c r="P60" s="39">
        <f t="shared" si="6"/>
        <v>0</v>
      </c>
      <c r="Q60" s="1035"/>
      <c r="R60" s="413"/>
      <c r="S60" s="413"/>
      <c r="T60" s="413"/>
      <c r="U60" s="519">
        <f>W60-G60</f>
        <v>0</v>
      </c>
      <c r="V60" s="519">
        <f t="shared" si="35"/>
        <v>0</v>
      </c>
      <c r="W60" s="519"/>
      <c r="X60" s="413"/>
      <c r="Y60" s="413"/>
      <c r="Z60" s="776">
        <f t="shared" si="7"/>
        <v>0</v>
      </c>
      <c r="AA60" s="508">
        <f t="shared" si="52"/>
        <v>0</v>
      </c>
      <c r="AB60" s="508">
        <f t="shared" si="53"/>
        <v>0</v>
      </c>
      <c r="AC60" s="1038"/>
    </row>
    <row r="61" spans="1:29" ht="29" hidden="1" x14ac:dyDescent="0.35">
      <c r="A61" s="318">
        <v>53</v>
      </c>
      <c r="B61" s="550" t="s">
        <v>814</v>
      </c>
      <c r="C61" s="550"/>
      <c r="D61" s="318"/>
      <c r="E61" s="518">
        <v>650000</v>
      </c>
      <c r="F61" s="518">
        <v>650000</v>
      </c>
      <c r="G61" s="551">
        <v>500000</v>
      </c>
      <c r="H61" s="413">
        <f t="shared" si="33"/>
        <v>500000</v>
      </c>
      <c r="I61" s="413">
        <f t="shared" si="34"/>
        <v>114906</v>
      </c>
      <c r="J61" s="537">
        <f t="shared" si="10"/>
        <v>0.22981199999999999</v>
      </c>
      <c r="K61" s="39">
        <f t="shared" si="4"/>
        <v>385094</v>
      </c>
      <c r="L61" s="39">
        <v>400000</v>
      </c>
      <c r="M61" s="39">
        <f t="shared" si="5"/>
        <v>400000</v>
      </c>
      <c r="N61" s="39">
        <v>114906</v>
      </c>
      <c r="O61" s="538">
        <v>100000</v>
      </c>
      <c r="P61" s="39">
        <f t="shared" si="6"/>
        <v>100000</v>
      </c>
      <c r="Q61" s="1035"/>
      <c r="R61" s="413"/>
      <c r="S61" s="413"/>
      <c r="T61" s="413"/>
      <c r="U61" s="519">
        <f>W61-G61</f>
        <v>-500000</v>
      </c>
      <c r="V61" s="519">
        <f t="shared" si="35"/>
        <v>0</v>
      </c>
      <c r="W61" s="519"/>
      <c r="X61" s="413"/>
      <c r="Y61" s="413"/>
      <c r="Z61" s="776">
        <f t="shared" si="7"/>
        <v>0</v>
      </c>
      <c r="AA61" s="508">
        <f t="shared" si="52"/>
        <v>0</v>
      </c>
      <c r="AB61" s="508">
        <f t="shared" si="53"/>
        <v>0</v>
      </c>
      <c r="AC61" s="1038"/>
    </row>
    <row r="62" spans="1:29" hidden="1" x14ac:dyDescent="0.35">
      <c r="A62" s="318">
        <v>54</v>
      </c>
      <c r="B62" s="550" t="s">
        <v>86</v>
      </c>
      <c r="C62" s="550"/>
      <c r="D62" s="318"/>
      <c r="E62" s="518">
        <v>0</v>
      </c>
      <c r="F62" s="518">
        <v>0</v>
      </c>
      <c r="G62" s="551">
        <f>SUM(L62,O62,R62,)</f>
        <v>0</v>
      </c>
      <c r="H62" s="413">
        <f t="shared" si="33"/>
        <v>0</v>
      </c>
      <c r="I62" s="413">
        <f t="shared" si="34"/>
        <v>0</v>
      </c>
      <c r="J62" s="537"/>
      <c r="K62" s="39">
        <f t="shared" si="4"/>
        <v>0</v>
      </c>
      <c r="L62" s="39"/>
      <c r="M62" s="39">
        <f t="shared" si="5"/>
        <v>0</v>
      </c>
      <c r="N62" s="39"/>
      <c r="O62" s="538"/>
      <c r="P62" s="39">
        <f t="shared" si="6"/>
        <v>0</v>
      </c>
      <c r="Q62" s="1035"/>
      <c r="R62" s="413"/>
      <c r="S62" s="413"/>
      <c r="T62" s="413"/>
      <c r="U62" s="519">
        <f>W62-G62</f>
        <v>0</v>
      </c>
      <c r="V62" s="519">
        <f t="shared" si="35"/>
        <v>0</v>
      </c>
      <c r="W62" s="519"/>
      <c r="X62" s="413"/>
      <c r="Y62" s="413"/>
      <c r="Z62" s="776">
        <f t="shared" si="7"/>
        <v>0</v>
      </c>
      <c r="AA62" s="508">
        <f t="shared" si="52"/>
        <v>0</v>
      </c>
      <c r="AB62" s="508">
        <f t="shared" si="53"/>
        <v>0</v>
      </c>
      <c r="AC62" s="1038"/>
    </row>
    <row r="63" spans="1:29" s="7" customFormat="1" ht="43.5" x14ac:dyDescent="0.35">
      <c r="A63" s="539">
        <v>55</v>
      </c>
      <c r="B63" s="540" t="s">
        <v>87</v>
      </c>
      <c r="C63" s="540" t="s">
        <v>917</v>
      </c>
      <c r="D63" s="539" t="s">
        <v>88</v>
      </c>
      <c r="E63" s="541">
        <v>1348000</v>
      </c>
      <c r="F63" s="541">
        <v>1349028</v>
      </c>
      <c r="G63" s="548">
        <f>SUM(G68)</f>
        <v>1900000</v>
      </c>
      <c r="H63" s="549">
        <f t="shared" si="33"/>
        <v>1901028</v>
      </c>
      <c r="I63" s="549">
        <f t="shared" si="34"/>
        <v>1111280</v>
      </c>
      <c r="J63" s="557">
        <f>I63/H63</f>
        <v>0.58456792851025863</v>
      </c>
      <c r="K63" s="545">
        <f t="shared" ref="K63:Q63" si="57">SUM(K64:K68)</f>
        <v>789748</v>
      </c>
      <c r="L63" s="545">
        <f t="shared" si="57"/>
        <v>1700000</v>
      </c>
      <c r="M63" s="545">
        <f t="shared" si="57"/>
        <v>1700000</v>
      </c>
      <c r="N63" s="545">
        <f t="shared" si="57"/>
        <v>1110252</v>
      </c>
      <c r="O63" s="545">
        <f t="shared" si="57"/>
        <v>200000</v>
      </c>
      <c r="P63" s="545">
        <f t="shared" si="57"/>
        <v>200000</v>
      </c>
      <c r="Q63" s="545">
        <f t="shared" si="57"/>
        <v>0</v>
      </c>
      <c r="R63" s="546">
        <f t="shared" ref="R63:T63" si="58">SUM(R64:R68)</f>
        <v>0</v>
      </c>
      <c r="S63" s="546">
        <f t="shared" si="58"/>
        <v>1028</v>
      </c>
      <c r="T63" s="546">
        <f t="shared" si="58"/>
        <v>1028</v>
      </c>
      <c r="U63" s="519">
        <f>W63-G63+620479-661417+31853-240157</f>
        <v>-299242</v>
      </c>
      <c r="V63" s="519">
        <f t="shared" si="35"/>
        <v>1600758</v>
      </c>
      <c r="W63" s="1052">
        <v>1850000</v>
      </c>
      <c r="X63" s="413">
        <v>1516166</v>
      </c>
      <c r="Y63" s="413">
        <v>1675566</v>
      </c>
      <c r="Z63" s="776">
        <v>1900000</v>
      </c>
      <c r="AA63" s="508">
        <f t="shared" si="52"/>
        <v>628557</v>
      </c>
      <c r="AB63" s="591">
        <v>2528557</v>
      </c>
      <c r="AC63" s="591">
        <v>1511290</v>
      </c>
    </row>
    <row r="64" spans="1:29" hidden="1" x14ac:dyDescent="0.35">
      <c r="A64" s="318">
        <v>56</v>
      </c>
      <c r="B64" s="550" t="s">
        <v>89</v>
      </c>
      <c r="C64" s="550"/>
      <c r="D64" s="318"/>
      <c r="E64" s="518">
        <v>0</v>
      </c>
      <c r="F64" s="518">
        <v>0</v>
      </c>
      <c r="G64" s="551">
        <f>SUM(L64,O64,R64,)</f>
        <v>0</v>
      </c>
      <c r="H64" s="413">
        <f t="shared" si="33"/>
        <v>0</v>
      </c>
      <c r="I64" s="413">
        <f t="shared" si="34"/>
        <v>0</v>
      </c>
      <c r="J64" s="537" t="e">
        <f t="shared" si="10"/>
        <v>#DIV/0!</v>
      </c>
      <c r="K64" s="39">
        <f t="shared" si="4"/>
        <v>0</v>
      </c>
      <c r="L64" s="39"/>
      <c r="M64" s="39">
        <f t="shared" si="5"/>
        <v>0</v>
      </c>
      <c r="N64" s="39"/>
      <c r="O64" s="538"/>
      <c r="P64" s="39">
        <f t="shared" si="6"/>
        <v>0</v>
      </c>
      <c r="Q64" s="1035"/>
      <c r="R64" s="413"/>
      <c r="S64" s="413"/>
      <c r="T64" s="413"/>
      <c r="U64" s="519">
        <f>W64-G64</f>
        <v>0</v>
      </c>
      <c r="V64" s="519">
        <f t="shared" si="35"/>
        <v>0</v>
      </c>
      <c r="W64" s="519"/>
      <c r="X64" s="413"/>
      <c r="Y64" s="413"/>
      <c r="Z64" s="776">
        <f t="shared" si="7"/>
        <v>0</v>
      </c>
      <c r="AA64" s="1038"/>
      <c r="AB64" s="1038"/>
      <c r="AC64" s="1038"/>
    </row>
    <row r="65" spans="1:29" hidden="1" x14ac:dyDescent="0.35">
      <c r="A65" s="318">
        <v>57</v>
      </c>
      <c r="B65" s="550" t="s">
        <v>90</v>
      </c>
      <c r="C65" s="550"/>
      <c r="D65" s="318"/>
      <c r="E65" s="518">
        <v>0</v>
      </c>
      <c r="F65" s="518">
        <v>0</v>
      </c>
      <c r="G65" s="551">
        <f>SUM(L65,O65,R65,)</f>
        <v>0</v>
      </c>
      <c r="H65" s="413">
        <f t="shared" si="33"/>
        <v>0</v>
      </c>
      <c r="I65" s="413">
        <f t="shared" si="34"/>
        <v>0</v>
      </c>
      <c r="J65" s="537" t="e">
        <f t="shared" si="10"/>
        <v>#DIV/0!</v>
      </c>
      <c r="K65" s="39">
        <f t="shared" si="4"/>
        <v>0</v>
      </c>
      <c r="L65" s="39"/>
      <c r="M65" s="39">
        <f t="shared" si="5"/>
        <v>0</v>
      </c>
      <c r="N65" s="39"/>
      <c r="O65" s="538"/>
      <c r="P65" s="39">
        <f t="shared" si="6"/>
        <v>0</v>
      </c>
      <c r="Q65" s="1035"/>
      <c r="R65" s="413"/>
      <c r="S65" s="413"/>
      <c r="T65" s="413"/>
      <c r="U65" s="519">
        <f>W65-G65</f>
        <v>0</v>
      </c>
      <c r="V65" s="519">
        <f t="shared" si="35"/>
        <v>0</v>
      </c>
      <c r="W65" s="519"/>
      <c r="X65" s="413"/>
      <c r="Y65" s="413"/>
      <c r="Z65" s="776">
        <f t="shared" si="7"/>
        <v>0</v>
      </c>
      <c r="AA65" s="1038"/>
      <c r="AB65" s="1038"/>
      <c r="AC65" s="1038"/>
    </row>
    <row r="66" spans="1:29" hidden="1" x14ac:dyDescent="0.35">
      <c r="A66" s="318">
        <v>58</v>
      </c>
      <c r="B66" s="550" t="s">
        <v>91</v>
      </c>
      <c r="C66" s="550"/>
      <c r="D66" s="318"/>
      <c r="E66" s="518">
        <v>0</v>
      </c>
      <c r="F66" s="518">
        <v>0</v>
      </c>
      <c r="G66" s="551">
        <f>SUM(L66,O66,R66,)</f>
        <v>0</v>
      </c>
      <c r="H66" s="413">
        <f t="shared" si="33"/>
        <v>0</v>
      </c>
      <c r="I66" s="413">
        <f t="shared" si="34"/>
        <v>0</v>
      </c>
      <c r="J66" s="537" t="e">
        <f t="shared" si="10"/>
        <v>#DIV/0!</v>
      </c>
      <c r="K66" s="39">
        <f t="shared" si="4"/>
        <v>0</v>
      </c>
      <c r="L66" s="39"/>
      <c r="M66" s="39">
        <f t="shared" si="5"/>
        <v>0</v>
      </c>
      <c r="N66" s="39"/>
      <c r="O66" s="538"/>
      <c r="P66" s="39">
        <f t="shared" si="6"/>
        <v>0</v>
      </c>
      <c r="Q66" s="1035"/>
      <c r="R66" s="413"/>
      <c r="S66" s="413"/>
      <c r="T66" s="413"/>
      <c r="U66" s="519">
        <f>W66-G66</f>
        <v>0</v>
      </c>
      <c r="V66" s="519">
        <f t="shared" si="35"/>
        <v>0</v>
      </c>
      <c r="W66" s="519"/>
      <c r="X66" s="413"/>
      <c r="Y66" s="413"/>
      <c r="Z66" s="776">
        <f t="shared" si="7"/>
        <v>0</v>
      </c>
      <c r="AA66" s="1038"/>
      <c r="AB66" s="1038"/>
      <c r="AC66" s="1038"/>
    </row>
    <row r="67" spans="1:29" hidden="1" x14ac:dyDescent="0.35">
      <c r="A67" s="318">
        <v>59</v>
      </c>
      <c r="B67" s="550" t="s">
        <v>92</v>
      </c>
      <c r="C67" s="550"/>
      <c r="D67" s="318"/>
      <c r="E67" s="518">
        <v>0</v>
      </c>
      <c r="F67" s="518">
        <v>0</v>
      </c>
      <c r="G67" s="551">
        <f>SUM(L67,O67,R67,)</f>
        <v>0</v>
      </c>
      <c r="H67" s="413">
        <f t="shared" si="33"/>
        <v>0</v>
      </c>
      <c r="I67" s="413">
        <f t="shared" si="34"/>
        <v>0</v>
      </c>
      <c r="J67" s="537" t="e">
        <f t="shared" si="10"/>
        <v>#DIV/0!</v>
      </c>
      <c r="K67" s="39">
        <f t="shared" si="4"/>
        <v>0</v>
      </c>
      <c r="L67" s="39"/>
      <c r="M67" s="39">
        <f t="shared" si="5"/>
        <v>0</v>
      </c>
      <c r="N67" s="39"/>
      <c r="O67" s="538"/>
      <c r="P67" s="39">
        <f t="shared" si="6"/>
        <v>0</v>
      </c>
      <c r="Q67" s="1035"/>
      <c r="R67" s="413"/>
      <c r="S67" s="413"/>
      <c r="T67" s="413"/>
      <c r="U67" s="519">
        <f>W67-G67</f>
        <v>0</v>
      </c>
      <c r="V67" s="519">
        <f t="shared" si="35"/>
        <v>0</v>
      </c>
      <c r="W67" s="519"/>
      <c r="X67" s="413"/>
      <c r="Y67" s="413"/>
      <c r="Z67" s="776">
        <f t="shared" si="7"/>
        <v>0</v>
      </c>
      <c r="AA67" s="1038"/>
      <c r="AB67" s="1038"/>
      <c r="AC67" s="1038"/>
    </row>
    <row r="68" spans="1:29" ht="43.5" hidden="1" x14ac:dyDescent="0.35">
      <c r="A68" s="318">
        <v>60</v>
      </c>
      <c r="B68" s="550" t="s">
        <v>93</v>
      </c>
      <c r="C68" s="550"/>
      <c r="D68" s="318"/>
      <c r="E68" s="518">
        <v>1348000</v>
      </c>
      <c r="F68" s="518">
        <v>1349028</v>
      </c>
      <c r="G68" s="551">
        <v>1900000</v>
      </c>
      <c r="H68" s="413">
        <f t="shared" si="33"/>
        <v>1901028</v>
      </c>
      <c r="I68" s="413">
        <f t="shared" si="34"/>
        <v>1111280</v>
      </c>
      <c r="J68" s="537">
        <f t="shared" si="10"/>
        <v>0.58456792851025863</v>
      </c>
      <c r="K68" s="39">
        <f t="shared" si="4"/>
        <v>789748</v>
      </c>
      <c r="L68" s="39">
        <v>1700000</v>
      </c>
      <c r="M68" s="39">
        <f t="shared" si="5"/>
        <v>1700000</v>
      </c>
      <c r="N68" s="39">
        <f>1098838+11414</f>
        <v>1110252</v>
      </c>
      <c r="O68" s="538">
        <v>200000</v>
      </c>
      <c r="P68" s="39">
        <f t="shared" si="6"/>
        <v>200000</v>
      </c>
      <c r="Q68" s="1035"/>
      <c r="R68" s="413"/>
      <c r="S68" s="413">
        <v>1028</v>
      </c>
      <c r="T68" s="413">
        <v>1028</v>
      </c>
      <c r="U68" s="519">
        <f>W68-G68</f>
        <v>-1900000</v>
      </c>
      <c r="V68" s="519">
        <f t="shared" si="35"/>
        <v>0</v>
      </c>
      <c r="W68" s="519"/>
      <c r="X68" s="413"/>
      <c r="Y68" s="413"/>
      <c r="Z68" s="776">
        <f t="shared" si="7"/>
        <v>0</v>
      </c>
      <c r="AA68" s="1038"/>
      <c r="AB68" s="1038"/>
      <c r="AC68" s="1038"/>
    </row>
    <row r="69" spans="1:29" ht="15.5" x14ac:dyDescent="0.35">
      <c r="A69" s="552">
        <v>61</v>
      </c>
      <c r="B69" s="553" t="s">
        <v>94</v>
      </c>
      <c r="C69" s="553"/>
      <c r="D69" s="552" t="s">
        <v>95</v>
      </c>
      <c r="E69" s="554">
        <v>2878000</v>
      </c>
      <c r="F69" s="554">
        <v>2879028</v>
      </c>
      <c r="G69" s="555">
        <f>SUM(G63,G59,G56:G58,G54,G50)</f>
        <v>3350000</v>
      </c>
      <c r="H69" s="555">
        <f t="shared" ref="H69:W69" si="59">SUM(H63,H59,H56:H58,H54,H50)</f>
        <v>3351028</v>
      </c>
      <c r="I69" s="555">
        <f t="shared" si="59"/>
        <v>1905402</v>
      </c>
      <c r="J69" s="555">
        <f t="shared" si="59"/>
        <v>1.6301530713674015</v>
      </c>
      <c r="K69" s="555">
        <f t="shared" si="59"/>
        <v>1445626</v>
      </c>
      <c r="L69" s="555">
        <f t="shared" si="59"/>
        <v>2950000</v>
      </c>
      <c r="M69" s="555">
        <f t="shared" si="59"/>
        <v>2950000</v>
      </c>
      <c r="N69" s="555">
        <f t="shared" si="59"/>
        <v>1904374</v>
      </c>
      <c r="O69" s="555">
        <f t="shared" si="59"/>
        <v>400000</v>
      </c>
      <c r="P69" s="555">
        <f t="shared" si="59"/>
        <v>400000</v>
      </c>
      <c r="Q69" s="555">
        <f t="shared" si="59"/>
        <v>0</v>
      </c>
      <c r="R69" s="555">
        <f t="shared" si="59"/>
        <v>0</v>
      </c>
      <c r="S69" s="555">
        <f t="shared" si="59"/>
        <v>1028</v>
      </c>
      <c r="T69" s="555">
        <f t="shared" si="59"/>
        <v>1028</v>
      </c>
      <c r="U69" s="555">
        <f t="shared" si="59"/>
        <v>708264</v>
      </c>
      <c r="V69" s="555">
        <f t="shared" si="35"/>
        <v>4058264</v>
      </c>
      <c r="W69" s="555">
        <f t="shared" si="59"/>
        <v>3467506</v>
      </c>
      <c r="X69" s="555">
        <f t="shared" ref="X69:Y69" si="60">SUM(X63,X59,X56:X58,X54,X50)</f>
        <v>2476297</v>
      </c>
      <c r="Y69" s="555">
        <f t="shared" si="60"/>
        <v>3614004</v>
      </c>
      <c r="Z69" s="555">
        <f>SUM(Z63,Z59,Z56:Z58,Z54,Z50)</f>
        <v>3650000</v>
      </c>
      <c r="AA69" s="555">
        <f t="shared" ref="AA69:AC69" si="61">SUM(AA63,AA59,AA56:AA58,AA54,AA50)</f>
        <v>139017</v>
      </c>
      <c r="AB69" s="555">
        <f t="shared" si="61"/>
        <v>3789017</v>
      </c>
      <c r="AC69" s="555">
        <f t="shared" si="61"/>
        <v>2771750</v>
      </c>
    </row>
    <row r="70" spans="1:29" hidden="1" x14ac:dyDescent="0.35">
      <c r="A70" s="318">
        <v>62</v>
      </c>
      <c r="B70" s="531" t="s">
        <v>96</v>
      </c>
      <c r="C70" s="531"/>
      <c r="D70" s="318" t="s">
        <v>97</v>
      </c>
      <c r="E70" s="518">
        <v>80000</v>
      </c>
      <c r="F70" s="518">
        <v>82550</v>
      </c>
      <c r="G70" s="551">
        <v>50000</v>
      </c>
      <c r="H70" s="413">
        <f t="shared" si="33"/>
        <v>52550</v>
      </c>
      <c r="I70" s="413">
        <f t="shared" si="34"/>
        <v>7891</v>
      </c>
      <c r="J70" s="537">
        <f t="shared" si="10"/>
        <v>0.1501617507136061</v>
      </c>
      <c r="K70" s="39">
        <f t="shared" si="4"/>
        <v>44659</v>
      </c>
      <c r="L70" s="39">
        <v>45000</v>
      </c>
      <c r="M70" s="39">
        <f t="shared" si="5"/>
        <v>45000</v>
      </c>
      <c r="N70" s="39">
        <v>5341</v>
      </c>
      <c r="O70" s="538">
        <v>5000</v>
      </c>
      <c r="P70" s="39">
        <f t="shared" si="6"/>
        <v>5000</v>
      </c>
      <c r="Q70" s="1035"/>
      <c r="R70" s="413"/>
      <c r="S70" s="413">
        <v>2550</v>
      </c>
      <c r="T70" s="413">
        <v>2550</v>
      </c>
      <c r="U70" s="519">
        <f>W70-G70</f>
        <v>-50000</v>
      </c>
      <c r="V70" s="519">
        <f t="shared" si="35"/>
        <v>0</v>
      </c>
      <c r="W70" s="519"/>
      <c r="X70" s="413">
        <v>9807</v>
      </c>
      <c r="Y70" s="413"/>
      <c r="Z70" s="776">
        <f t="shared" si="7"/>
        <v>11768.400000000001</v>
      </c>
      <c r="AA70" s="1038"/>
      <c r="AB70" s="1038"/>
      <c r="AC70" s="1038"/>
    </row>
    <row r="71" spans="1:29" hidden="1" x14ac:dyDescent="0.35">
      <c r="A71" s="318">
        <v>63</v>
      </c>
      <c r="B71" s="531" t="s">
        <v>98</v>
      </c>
      <c r="C71" s="531"/>
      <c r="D71" s="318" t="s">
        <v>99</v>
      </c>
      <c r="E71" s="518">
        <v>0</v>
      </c>
      <c r="F71" s="518">
        <v>0</v>
      </c>
      <c r="G71" s="551">
        <f>SUM(L71,O71,R71,)</f>
        <v>0</v>
      </c>
      <c r="H71" s="413">
        <f t="shared" ref="H71:H102" si="62">SUM(M71,P71,S71,)</f>
        <v>0</v>
      </c>
      <c r="I71" s="413">
        <f t="shared" ref="I71:I102" si="63">SUM(N71,Q71,T71,)</f>
        <v>0</v>
      </c>
      <c r="J71" s="537"/>
      <c r="K71" s="39">
        <f t="shared" si="4"/>
        <v>0</v>
      </c>
      <c r="L71" s="39"/>
      <c r="M71" s="39">
        <f t="shared" si="5"/>
        <v>0</v>
      </c>
      <c r="N71" s="39"/>
      <c r="O71" s="538"/>
      <c r="P71" s="39">
        <f t="shared" si="6"/>
        <v>0</v>
      </c>
      <c r="Q71" s="1035"/>
      <c r="R71" s="413"/>
      <c r="S71" s="413"/>
      <c r="T71" s="413"/>
      <c r="U71" s="519">
        <f>W71-G71</f>
        <v>0</v>
      </c>
      <c r="V71" s="519">
        <f t="shared" ref="V71:V102" si="64">G71+U71</f>
        <v>0</v>
      </c>
      <c r="W71" s="519"/>
      <c r="X71" s="413"/>
      <c r="Y71" s="413"/>
      <c r="Z71" s="776">
        <f t="shared" si="7"/>
        <v>0</v>
      </c>
      <c r="AA71" s="1038"/>
      <c r="AB71" s="1038"/>
      <c r="AC71" s="1038"/>
    </row>
    <row r="72" spans="1:29" ht="29" x14ac:dyDescent="0.35">
      <c r="A72" s="539">
        <v>64</v>
      </c>
      <c r="B72" s="540" t="s">
        <v>100</v>
      </c>
      <c r="C72" s="540"/>
      <c r="D72" s="539" t="s">
        <v>101</v>
      </c>
      <c r="E72" s="541">
        <v>80000</v>
      </c>
      <c r="F72" s="541">
        <v>82550</v>
      </c>
      <c r="G72" s="548">
        <f>SUM(G70:G71)</f>
        <v>50000</v>
      </c>
      <c r="H72" s="548">
        <f t="shared" ref="H72:X72" si="65">SUM(H70:H71)</f>
        <v>52550</v>
      </c>
      <c r="I72" s="548">
        <f t="shared" si="65"/>
        <v>7891</v>
      </c>
      <c r="J72" s="548">
        <f t="shared" si="65"/>
        <v>0.1501617507136061</v>
      </c>
      <c r="K72" s="548">
        <f t="shared" si="65"/>
        <v>44659</v>
      </c>
      <c r="L72" s="548">
        <f t="shared" si="65"/>
        <v>45000</v>
      </c>
      <c r="M72" s="548">
        <f t="shared" si="65"/>
        <v>45000</v>
      </c>
      <c r="N72" s="548">
        <f t="shared" si="65"/>
        <v>5341</v>
      </c>
      <c r="O72" s="548">
        <f t="shared" si="65"/>
        <v>5000</v>
      </c>
      <c r="P72" s="548">
        <f t="shared" si="65"/>
        <v>5000</v>
      </c>
      <c r="Q72" s="548">
        <f t="shared" si="65"/>
        <v>0</v>
      </c>
      <c r="R72" s="548">
        <f t="shared" si="65"/>
        <v>0</v>
      </c>
      <c r="S72" s="548">
        <f t="shared" si="65"/>
        <v>2550</v>
      </c>
      <c r="T72" s="548">
        <f t="shared" si="65"/>
        <v>2550</v>
      </c>
      <c r="U72" s="519">
        <f>W72-G72</f>
        <v>-118</v>
      </c>
      <c r="V72" s="519">
        <f t="shared" si="64"/>
        <v>49882</v>
      </c>
      <c r="W72" s="1052">
        <v>49882</v>
      </c>
      <c r="X72" s="548">
        <f t="shared" si="65"/>
        <v>9807</v>
      </c>
      <c r="Y72" s="548">
        <v>20012</v>
      </c>
      <c r="Z72" s="776">
        <v>20000</v>
      </c>
      <c r="AA72" s="508">
        <f t="shared" ref="AA72:AA77" si="66">AB72-Z72</f>
        <v>7260</v>
      </c>
      <c r="AB72" s="508">
        <f t="shared" ref="AB72:AB77" si="67">AC72</f>
        <v>27260</v>
      </c>
      <c r="AC72" s="591">
        <v>27260</v>
      </c>
    </row>
    <row r="73" spans="1:29" ht="29" x14ac:dyDescent="0.35">
      <c r="A73" s="318">
        <v>65</v>
      </c>
      <c r="B73" s="531" t="s">
        <v>102</v>
      </c>
      <c r="C73" s="531" t="s">
        <v>913</v>
      </c>
      <c r="D73" s="318" t="s">
        <v>103</v>
      </c>
      <c r="E73" s="518">
        <v>535000</v>
      </c>
      <c r="F73" s="518">
        <v>535000</v>
      </c>
      <c r="G73" s="551">
        <f>SUM(G72,G69,G49,G41)*0.27</f>
        <v>1541160</v>
      </c>
      <c r="H73" s="413">
        <f t="shared" si="62"/>
        <v>1541160</v>
      </c>
      <c r="I73" s="413">
        <f t="shared" si="63"/>
        <v>486524</v>
      </c>
      <c r="J73" s="537">
        <f t="shared" ref="J73:J102" si="68">I73/H73</f>
        <v>0.31568688520335331</v>
      </c>
      <c r="K73" s="39">
        <f t="shared" ref="K73:K102" si="69">H73-I73</f>
        <v>1054636</v>
      </c>
      <c r="L73" s="39">
        <v>1541160</v>
      </c>
      <c r="M73" s="39">
        <f t="shared" ref="M73:M102" si="70">L73</f>
        <v>1541160</v>
      </c>
      <c r="N73" s="39">
        <v>486524</v>
      </c>
      <c r="O73" s="538"/>
      <c r="P73" s="39">
        <f t="shared" ref="P73:P102" si="71">O73</f>
        <v>0</v>
      </c>
      <c r="Q73" s="1035"/>
      <c r="R73" s="413"/>
      <c r="S73" s="413"/>
      <c r="T73" s="413"/>
      <c r="U73" s="519">
        <f>W73-G73+167529-178583+5483+6890-64843</f>
        <v>-238742</v>
      </c>
      <c r="V73" s="519">
        <f t="shared" si="64"/>
        <v>1302418</v>
      </c>
      <c r="W73" s="1052">
        <v>1365942</v>
      </c>
      <c r="X73" s="413">
        <v>590146</v>
      </c>
      <c r="Y73" s="413">
        <v>796293</v>
      </c>
      <c r="Z73" s="776">
        <v>1519066</v>
      </c>
      <c r="AA73" s="508">
        <f t="shared" si="66"/>
        <v>-787112</v>
      </c>
      <c r="AB73" s="508">
        <f t="shared" si="67"/>
        <v>731954</v>
      </c>
      <c r="AC73" s="591">
        <v>731954</v>
      </c>
    </row>
    <row r="74" spans="1:29" hidden="1" x14ac:dyDescent="0.35">
      <c r="A74" s="318">
        <v>66</v>
      </c>
      <c r="B74" s="531" t="s">
        <v>104</v>
      </c>
      <c r="C74" s="531"/>
      <c r="D74" s="318" t="s">
        <v>105</v>
      </c>
      <c r="E74" s="518">
        <v>0</v>
      </c>
      <c r="F74" s="518">
        <v>0</v>
      </c>
      <c r="G74" s="551">
        <f>SUM(L74,O74,R74,)</f>
        <v>0</v>
      </c>
      <c r="H74" s="413">
        <f t="shared" si="62"/>
        <v>0</v>
      </c>
      <c r="I74" s="413">
        <f t="shared" si="63"/>
        <v>0</v>
      </c>
      <c r="J74" s="537" t="e">
        <f t="shared" si="68"/>
        <v>#DIV/0!</v>
      </c>
      <c r="K74" s="39">
        <f t="shared" si="69"/>
        <v>0</v>
      </c>
      <c r="L74" s="39"/>
      <c r="M74" s="39">
        <f t="shared" si="70"/>
        <v>0</v>
      </c>
      <c r="N74" s="39"/>
      <c r="O74" s="538"/>
      <c r="P74" s="39">
        <f t="shared" si="71"/>
        <v>0</v>
      </c>
      <c r="Q74" s="1035"/>
      <c r="R74" s="413"/>
      <c r="S74" s="413"/>
      <c r="T74" s="413"/>
      <c r="U74" s="519">
        <f t="shared" ref="U74:U82" si="72">W74-G74</f>
        <v>0</v>
      </c>
      <c r="V74" s="519">
        <f t="shared" si="64"/>
        <v>0</v>
      </c>
      <c r="W74" s="519"/>
      <c r="X74" s="413"/>
      <c r="Y74" s="413"/>
      <c r="Z74" s="776">
        <f t="shared" ref="Z74:Z110" si="73">X74/10*12</f>
        <v>0</v>
      </c>
      <c r="AA74" s="508">
        <f t="shared" si="66"/>
        <v>0</v>
      </c>
      <c r="AB74" s="508">
        <f t="shared" si="67"/>
        <v>0</v>
      </c>
      <c r="AC74" s="1038"/>
    </row>
    <row r="75" spans="1:29" hidden="1" x14ac:dyDescent="0.35">
      <c r="A75" s="318">
        <v>67</v>
      </c>
      <c r="B75" s="531" t="s">
        <v>106</v>
      </c>
      <c r="C75" s="531"/>
      <c r="D75" s="318" t="s">
        <v>107</v>
      </c>
      <c r="E75" s="518">
        <v>0</v>
      </c>
      <c r="F75" s="518">
        <v>0</v>
      </c>
      <c r="G75" s="551">
        <f>SUM(L75,O75,R75,)</f>
        <v>0</v>
      </c>
      <c r="H75" s="413">
        <f t="shared" si="62"/>
        <v>0</v>
      </c>
      <c r="I75" s="413">
        <f t="shared" si="63"/>
        <v>0</v>
      </c>
      <c r="J75" s="537" t="e">
        <f t="shared" si="68"/>
        <v>#DIV/0!</v>
      </c>
      <c r="K75" s="39">
        <f t="shared" si="69"/>
        <v>0</v>
      </c>
      <c r="L75" s="39"/>
      <c r="M75" s="39">
        <f t="shared" si="70"/>
        <v>0</v>
      </c>
      <c r="N75" s="39"/>
      <c r="O75" s="538"/>
      <c r="P75" s="39">
        <f t="shared" si="71"/>
        <v>0</v>
      </c>
      <c r="Q75" s="1035"/>
      <c r="R75" s="413"/>
      <c r="S75" s="413"/>
      <c r="T75" s="413"/>
      <c r="U75" s="519">
        <f t="shared" si="72"/>
        <v>0</v>
      </c>
      <c r="V75" s="519">
        <f t="shared" si="64"/>
        <v>0</v>
      </c>
      <c r="W75" s="519"/>
      <c r="X75" s="413"/>
      <c r="Y75" s="413"/>
      <c r="Z75" s="776">
        <f t="shared" si="73"/>
        <v>0</v>
      </c>
      <c r="AA75" s="508">
        <f t="shared" si="66"/>
        <v>0</v>
      </c>
      <c r="AB75" s="508">
        <f t="shared" si="67"/>
        <v>0</v>
      </c>
      <c r="AC75" s="1038"/>
    </row>
    <row r="76" spans="1:29" x14ac:dyDescent="0.35">
      <c r="A76" s="318">
        <v>68</v>
      </c>
      <c r="B76" s="531" t="s">
        <v>104</v>
      </c>
      <c r="C76" s="531" t="s">
        <v>918</v>
      </c>
      <c r="D76" s="318" t="s">
        <v>105</v>
      </c>
      <c r="E76" s="518">
        <v>7000</v>
      </c>
      <c r="F76" s="518">
        <v>10895</v>
      </c>
      <c r="G76" s="551">
        <v>0</v>
      </c>
      <c r="H76" s="413">
        <f t="shared" si="62"/>
        <v>10895</v>
      </c>
      <c r="I76" s="413">
        <f t="shared" si="63"/>
        <v>81895</v>
      </c>
      <c r="J76" s="537">
        <f t="shared" si="68"/>
        <v>7.516750803120698</v>
      </c>
      <c r="K76" s="39">
        <f t="shared" si="69"/>
        <v>-71000</v>
      </c>
      <c r="L76" s="39"/>
      <c r="M76" s="39">
        <f t="shared" si="70"/>
        <v>0</v>
      </c>
      <c r="N76" s="39">
        <v>78000</v>
      </c>
      <c r="O76" s="538">
        <v>0</v>
      </c>
      <c r="P76" s="39">
        <v>7000</v>
      </c>
      <c r="Q76" s="1035"/>
      <c r="R76" s="413"/>
      <c r="S76" s="413">
        <v>3895</v>
      </c>
      <c r="T76" s="413">
        <v>3895</v>
      </c>
      <c r="U76" s="519">
        <f t="shared" si="72"/>
        <v>21000</v>
      </c>
      <c r="V76" s="519">
        <f t="shared" si="64"/>
        <v>21000</v>
      </c>
      <c r="W76" s="1052">
        <v>21000</v>
      </c>
      <c r="X76" s="413">
        <v>21000</v>
      </c>
      <c r="Y76" s="413">
        <v>21000</v>
      </c>
      <c r="Z76" s="776">
        <v>30000</v>
      </c>
      <c r="AA76" s="508">
        <f t="shared" si="66"/>
        <v>-12000</v>
      </c>
      <c r="AB76" s="508">
        <f t="shared" si="67"/>
        <v>18000</v>
      </c>
      <c r="AC76" s="591">
        <v>18000</v>
      </c>
    </row>
    <row r="77" spans="1:29" x14ac:dyDescent="0.35">
      <c r="A77" s="539">
        <v>69</v>
      </c>
      <c r="B77" s="540" t="s">
        <v>110</v>
      </c>
      <c r="C77" s="540"/>
      <c r="D77" s="539" t="s">
        <v>111</v>
      </c>
      <c r="E77" s="541">
        <v>43000</v>
      </c>
      <c r="F77" s="541">
        <v>181960</v>
      </c>
      <c r="G77" s="548">
        <f>SUM(G78:G80)</f>
        <v>50000</v>
      </c>
      <c r="H77" s="549">
        <f t="shared" si="62"/>
        <v>188960</v>
      </c>
      <c r="I77" s="549">
        <f t="shared" si="63"/>
        <v>100000</v>
      </c>
      <c r="J77" s="557">
        <f>I77/H77</f>
        <v>0.52921253175275196</v>
      </c>
      <c r="K77" s="545">
        <f t="shared" ref="K77:Q77" si="74">SUM(K78:K82)</f>
        <v>88960</v>
      </c>
      <c r="L77" s="545">
        <f t="shared" si="74"/>
        <v>50000</v>
      </c>
      <c r="M77" s="545">
        <f t="shared" si="74"/>
        <v>188960</v>
      </c>
      <c r="N77" s="545">
        <f t="shared" si="74"/>
        <v>100000</v>
      </c>
      <c r="O77" s="545">
        <f t="shared" si="74"/>
        <v>0</v>
      </c>
      <c r="P77" s="545">
        <f t="shared" si="74"/>
        <v>0</v>
      </c>
      <c r="Q77" s="545">
        <f t="shared" si="74"/>
        <v>0</v>
      </c>
      <c r="R77" s="546">
        <f t="shared" ref="R77:T77" si="75">SUM(R78:R82)</f>
        <v>0</v>
      </c>
      <c r="S77" s="546">
        <f t="shared" si="75"/>
        <v>0</v>
      </c>
      <c r="T77" s="546">
        <f t="shared" si="75"/>
        <v>0</v>
      </c>
      <c r="U77" s="519">
        <f t="shared" si="72"/>
        <v>42830</v>
      </c>
      <c r="V77" s="519">
        <f t="shared" si="64"/>
        <v>92830</v>
      </c>
      <c r="W77" s="1052">
        <v>92830</v>
      </c>
      <c r="X77" s="413">
        <v>92778</v>
      </c>
      <c r="Y77" s="413">
        <v>92916</v>
      </c>
      <c r="Z77" s="776">
        <v>100000</v>
      </c>
      <c r="AA77" s="508">
        <f t="shared" si="66"/>
        <v>-89429</v>
      </c>
      <c r="AB77" s="508">
        <f t="shared" si="67"/>
        <v>10571</v>
      </c>
      <c r="AC77" s="591">
        <v>10571</v>
      </c>
    </row>
    <row r="78" spans="1:29" ht="29" hidden="1" x14ac:dyDescent="0.35">
      <c r="A78" s="318">
        <v>70</v>
      </c>
      <c r="B78" s="550" t="s">
        <v>732</v>
      </c>
      <c r="C78" s="550"/>
      <c r="D78" s="318"/>
      <c r="E78" s="518">
        <v>0</v>
      </c>
      <c r="F78" s="518">
        <v>0</v>
      </c>
      <c r="G78" s="551">
        <v>50000</v>
      </c>
      <c r="H78" s="413">
        <f t="shared" si="62"/>
        <v>50000</v>
      </c>
      <c r="I78" s="413">
        <f t="shared" si="63"/>
        <v>0</v>
      </c>
      <c r="J78" s="537">
        <f t="shared" si="68"/>
        <v>0</v>
      </c>
      <c r="K78" s="39">
        <f t="shared" si="69"/>
        <v>50000</v>
      </c>
      <c r="L78" s="39">
        <v>50000</v>
      </c>
      <c r="M78" s="39">
        <f t="shared" si="70"/>
        <v>50000</v>
      </c>
      <c r="N78" s="39"/>
      <c r="O78" s="538"/>
      <c r="P78" s="39">
        <f t="shared" si="71"/>
        <v>0</v>
      </c>
      <c r="Q78" s="1035"/>
      <c r="R78" s="413"/>
      <c r="S78" s="413"/>
      <c r="T78" s="413"/>
      <c r="U78" s="519">
        <f t="shared" si="72"/>
        <v>-50000</v>
      </c>
      <c r="V78" s="519">
        <f t="shared" si="64"/>
        <v>0</v>
      </c>
      <c r="W78" s="519"/>
      <c r="X78" s="413"/>
      <c r="Y78" s="413"/>
      <c r="Z78" s="776">
        <f t="shared" si="73"/>
        <v>0</v>
      </c>
      <c r="AA78" s="1038"/>
      <c r="AB78" s="1038"/>
      <c r="AC78" s="1038"/>
    </row>
    <row r="79" spans="1:29" hidden="1" x14ac:dyDescent="0.35">
      <c r="A79" s="318">
        <v>71</v>
      </c>
      <c r="B79" s="550"/>
      <c r="C79" s="550"/>
      <c r="D79" s="318"/>
      <c r="E79" s="518">
        <v>0</v>
      </c>
      <c r="F79" s="518">
        <v>0</v>
      </c>
      <c r="G79" s="551">
        <f>SUM(L79,O79,R79,)</f>
        <v>0</v>
      </c>
      <c r="H79" s="413">
        <f t="shared" si="62"/>
        <v>0</v>
      </c>
      <c r="I79" s="413">
        <f t="shared" si="63"/>
        <v>0</v>
      </c>
      <c r="J79" s="537" t="e">
        <f t="shared" si="68"/>
        <v>#DIV/0!</v>
      </c>
      <c r="K79" s="39">
        <f t="shared" si="69"/>
        <v>0</v>
      </c>
      <c r="L79" s="39"/>
      <c r="M79" s="39">
        <f t="shared" si="70"/>
        <v>0</v>
      </c>
      <c r="N79" s="39"/>
      <c r="O79" s="538"/>
      <c r="P79" s="39">
        <f t="shared" si="71"/>
        <v>0</v>
      </c>
      <c r="Q79" s="1035"/>
      <c r="R79" s="413"/>
      <c r="S79" s="413"/>
      <c r="T79" s="413"/>
      <c r="U79" s="519">
        <f t="shared" si="72"/>
        <v>0</v>
      </c>
      <c r="V79" s="519">
        <f t="shared" si="64"/>
        <v>0</v>
      </c>
      <c r="W79" s="519"/>
      <c r="X79" s="413"/>
      <c r="Y79" s="413"/>
      <c r="Z79" s="776">
        <f t="shared" si="73"/>
        <v>0</v>
      </c>
      <c r="AA79" s="1038"/>
      <c r="AB79" s="1038"/>
      <c r="AC79" s="1038"/>
    </row>
    <row r="80" spans="1:29" hidden="1" x14ac:dyDescent="0.35">
      <c r="A80" s="318">
        <v>72</v>
      </c>
      <c r="B80" s="550" t="s">
        <v>522</v>
      </c>
      <c r="C80" s="550"/>
      <c r="D80" s="318"/>
      <c r="E80" s="518">
        <v>43000</v>
      </c>
      <c r="F80" s="518">
        <v>181960</v>
      </c>
      <c r="G80" s="551">
        <v>0</v>
      </c>
      <c r="H80" s="413">
        <f t="shared" si="62"/>
        <v>138960</v>
      </c>
      <c r="I80" s="413">
        <f t="shared" si="63"/>
        <v>100000</v>
      </c>
      <c r="J80" s="537">
        <f t="shared" si="68"/>
        <v>0.71963154864709267</v>
      </c>
      <c r="K80" s="39">
        <f t="shared" si="69"/>
        <v>38960</v>
      </c>
      <c r="L80" s="39">
        <v>0</v>
      </c>
      <c r="M80" s="39">
        <f>L80+138961-1</f>
        <v>138960</v>
      </c>
      <c r="N80" s="39">
        <v>100000</v>
      </c>
      <c r="O80" s="538"/>
      <c r="P80" s="39">
        <f t="shared" si="71"/>
        <v>0</v>
      </c>
      <c r="Q80" s="1035"/>
      <c r="R80" s="413"/>
      <c r="S80" s="413"/>
      <c r="T80" s="413"/>
      <c r="U80" s="519">
        <f t="shared" si="72"/>
        <v>0</v>
      </c>
      <c r="V80" s="519">
        <f t="shared" si="64"/>
        <v>0</v>
      </c>
      <c r="W80" s="519"/>
      <c r="X80" s="413"/>
      <c r="Y80" s="413"/>
      <c r="Z80" s="776">
        <f t="shared" si="73"/>
        <v>0</v>
      </c>
      <c r="AA80" s="1038"/>
      <c r="AB80" s="1038"/>
      <c r="AC80" s="1038"/>
    </row>
    <row r="81" spans="1:29" hidden="1" x14ac:dyDescent="0.35">
      <c r="A81" s="318">
        <v>73</v>
      </c>
      <c r="B81" s="550" t="s">
        <v>114</v>
      </c>
      <c r="C81" s="550"/>
      <c r="D81" s="318"/>
      <c r="E81" s="518">
        <v>0</v>
      </c>
      <c r="F81" s="518">
        <v>0</v>
      </c>
      <c r="G81" s="551">
        <f>SUM(L81,O81,R81,)</f>
        <v>0</v>
      </c>
      <c r="H81" s="413">
        <f t="shared" si="62"/>
        <v>0</v>
      </c>
      <c r="I81" s="413">
        <f t="shared" si="63"/>
        <v>0</v>
      </c>
      <c r="J81" s="537" t="e">
        <f t="shared" si="68"/>
        <v>#DIV/0!</v>
      </c>
      <c r="K81" s="39">
        <f t="shared" si="69"/>
        <v>0</v>
      </c>
      <c r="L81" s="39"/>
      <c r="M81" s="39">
        <f t="shared" si="70"/>
        <v>0</v>
      </c>
      <c r="N81" s="39"/>
      <c r="O81" s="538"/>
      <c r="P81" s="39">
        <f t="shared" si="71"/>
        <v>0</v>
      </c>
      <c r="Q81" s="1035"/>
      <c r="R81" s="413"/>
      <c r="S81" s="413"/>
      <c r="T81" s="413"/>
      <c r="U81" s="519">
        <f t="shared" si="72"/>
        <v>0</v>
      </c>
      <c r="V81" s="519">
        <f t="shared" si="64"/>
        <v>0</v>
      </c>
      <c r="W81" s="519"/>
      <c r="X81" s="413"/>
      <c r="Y81" s="413"/>
      <c r="Z81" s="776">
        <f t="shared" si="73"/>
        <v>0</v>
      </c>
      <c r="AA81" s="1038"/>
      <c r="AB81" s="1038"/>
      <c r="AC81" s="1038"/>
    </row>
    <row r="82" spans="1:29" hidden="1" x14ac:dyDescent="0.35">
      <c r="A82" s="318">
        <v>74</v>
      </c>
      <c r="B82" s="550" t="s">
        <v>115</v>
      </c>
      <c r="C82" s="550"/>
      <c r="D82" s="318"/>
      <c r="E82" s="518">
        <v>0</v>
      </c>
      <c r="F82" s="518">
        <v>0</v>
      </c>
      <c r="G82" s="551">
        <f>SUM(L82,O82,R82,)</f>
        <v>0</v>
      </c>
      <c r="H82" s="413">
        <f t="shared" si="62"/>
        <v>0</v>
      </c>
      <c r="I82" s="413">
        <f t="shared" si="63"/>
        <v>0</v>
      </c>
      <c r="J82" s="537" t="e">
        <f t="shared" si="68"/>
        <v>#DIV/0!</v>
      </c>
      <c r="K82" s="39">
        <f t="shared" si="69"/>
        <v>0</v>
      </c>
      <c r="L82" s="39"/>
      <c r="M82" s="39">
        <f t="shared" si="70"/>
        <v>0</v>
      </c>
      <c r="N82" s="39"/>
      <c r="O82" s="538"/>
      <c r="P82" s="39">
        <f t="shared" si="71"/>
        <v>0</v>
      </c>
      <c r="Q82" s="1035"/>
      <c r="R82" s="413"/>
      <c r="S82" s="413"/>
      <c r="T82" s="413"/>
      <c r="U82" s="519">
        <f t="shared" si="72"/>
        <v>0</v>
      </c>
      <c r="V82" s="519">
        <f t="shared" si="64"/>
        <v>0</v>
      </c>
      <c r="W82" s="519"/>
      <c r="X82" s="413"/>
      <c r="Y82" s="413"/>
      <c r="Z82" s="776">
        <f t="shared" si="73"/>
        <v>0</v>
      </c>
      <c r="AA82" s="1038"/>
      <c r="AB82" s="1038"/>
      <c r="AC82" s="1038"/>
    </row>
    <row r="83" spans="1:29" ht="29" x14ac:dyDescent="0.35">
      <c r="A83" s="539">
        <v>75</v>
      </c>
      <c r="B83" s="540" t="s">
        <v>116</v>
      </c>
      <c r="C83" s="540"/>
      <c r="D83" s="539" t="s">
        <v>117</v>
      </c>
      <c r="E83" s="541">
        <v>585000</v>
      </c>
      <c r="F83" s="541">
        <v>727855</v>
      </c>
      <c r="G83" s="548">
        <f>SUM(G77,G73:G76)</f>
        <v>1591160</v>
      </c>
      <c r="H83" s="548">
        <f t="shared" ref="H83:W83" si="76">SUM(H77,H73:H76)</f>
        <v>1741015</v>
      </c>
      <c r="I83" s="548">
        <f t="shared" si="76"/>
        <v>668419</v>
      </c>
      <c r="J83" s="548" t="e">
        <f t="shared" si="76"/>
        <v>#DIV/0!</v>
      </c>
      <c r="K83" s="548">
        <f t="shared" si="76"/>
        <v>1072596</v>
      </c>
      <c r="L83" s="548">
        <f t="shared" si="76"/>
        <v>1591160</v>
      </c>
      <c r="M83" s="548">
        <f t="shared" si="76"/>
        <v>1730120</v>
      </c>
      <c r="N83" s="548">
        <f t="shared" si="76"/>
        <v>664524</v>
      </c>
      <c r="O83" s="548">
        <f t="shared" si="76"/>
        <v>0</v>
      </c>
      <c r="P83" s="548">
        <f t="shared" si="76"/>
        <v>7000</v>
      </c>
      <c r="Q83" s="548">
        <f t="shared" si="76"/>
        <v>0</v>
      </c>
      <c r="R83" s="548">
        <f t="shared" si="76"/>
        <v>0</v>
      </c>
      <c r="S83" s="548">
        <f t="shared" si="76"/>
        <v>3895</v>
      </c>
      <c r="T83" s="548">
        <f t="shared" si="76"/>
        <v>3895</v>
      </c>
      <c r="U83" s="548">
        <f t="shared" si="76"/>
        <v>-174912</v>
      </c>
      <c r="V83" s="548">
        <f t="shared" si="64"/>
        <v>1416248</v>
      </c>
      <c r="W83" s="548">
        <f t="shared" si="76"/>
        <v>1479772</v>
      </c>
      <c r="X83" s="548">
        <f>SUM(X77,X73:X76)</f>
        <v>703924</v>
      </c>
      <c r="Y83" s="548">
        <f>SUM(Y77,Y73:Y76)</f>
        <v>910209</v>
      </c>
      <c r="Z83" s="548">
        <f>SUM(Z77,Z73:Z76)</f>
        <v>1649066</v>
      </c>
      <c r="AA83" s="548">
        <f t="shared" ref="AA83:AC83" si="77">SUM(AA77,AA73:AA76)</f>
        <v>-888541</v>
      </c>
      <c r="AB83" s="548">
        <f t="shared" si="77"/>
        <v>760525</v>
      </c>
      <c r="AC83" s="548">
        <f t="shared" si="77"/>
        <v>760525</v>
      </c>
    </row>
    <row r="84" spans="1:29" s="8" customFormat="1" ht="18.5" x14ac:dyDescent="0.45">
      <c r="A84" s="1385" t="s">
        <v>118</v>
      </c>
      <c r="B84" s="1385"/>
      <c r="C84" s="638"/>
      <c r="D84" s="558" t="s">
        <v>119</v>
      </c>
      <c r="E84" s="559">
        <v>6159000</v>
      </c>
      <c r="F84" s="559">
        <v>6632304</v>
      </c>
      <c r="G84" s="560">
        <f>SUM(G83,G72,G69,G49,G41)</f>
        <v>7299160</v>
      </c>
      <c r="H84" s="560">
        <f t="shared" ref="H84:W84" si="78">SUM(H83,H72,H69,H49,H41)</f>
        <v>7834464</v>
      </c>
      <c r="I84" s="560">
        <f t="shared" si="78"/>
        <v>3751152</v>
      </c>
      <c r="J84" s="560" t="e">
        <f t="shared" si="78"/>
        <v>#DIV/0!</v>
      </c>
      <c r="K84" s="560">
        <f t="shared" si="78"/>
        <v>4083312</v>
      </c>
      <c r="L84" s="560">
        <f t="shared" si="78"/>
        <v>6712160</v>
      </c>
      <c r="M84" s="560">
        <f t="shared" si="78"/>
        <v>6858120</v>
      </c>
      <c r="N84" s="560">
        <f t="shared" si="78"/>
        <v>3730279</v>
      </c>
      <c r="O84" s="560">
        <f t="shared" si="78"/>
        <v>587000</v>
      </c>
      <c r="P84" s="560">
        <f t="shared" si="78"/>
        <v>642000</v>
      </c>
      <c r="Q84" s="560">
        <f t="shared" si="78"/>
        <v>0</v>
      </c>
      <c r="R84" s="560">
        <f t="shared" si="78"/>
        <v>0</v>
      </c>
      <c r="S84" s="560">
        <f t="shared" si="78"/>
        <v>334344</v>
      </c>
      <c r="T84" s="560">
        <f t="shared" si="78"/>
        <v>20873</v>
      </c>
      <c r="U84" s="560">
        <f t="shared" si="78"/>
        <v>502543</v>
      </c>
      <c r="V84" s="560">
        <f t="shared" si="64"/>
        <v>7801703</v>
      </c>
      <c r="W84" s="560">
        <f t="shared" si="78"/>
        <v>7254160</v>
      </c>
      <c r="X84" s="560">
        <f>SUM(X83,X72,X69,X49,X41)</f>
        <v>4611206</v>
      </c>
      <c r="Y84" s="560">
        <f>SUM(Y83,Y72,Y69,Y49,Y41)</f>
        <v>6537627</v>
      </c>
      <c r="Z84" s="560">
        <f>SUM(Z83,Z72,Z69,Z49,Z41)</f>
        <v>7699066</v>
      </c>
      <c r="AA84" s="560">
        <f t="shared" ref="AA84:AC84" si="79">SUM(AA83,AA72,AA69,AA49,AA41)</f>
        <v>-864034</v>
      </c>
      <c r="AB84" s="560">
        <f t="shared" si="79"/>
        <v>6835032</v>
      </c>
      <c r="AC84" s="560">
        <f t="shared" si="79"/>
        <v>5817765</v>
      </c>
    </row>
    <row r="85" spans="1:29" ht="29" hidden="1" x14ac:dyDescent="0.35">
      <c r="A85" s="539">
        <v>76</v>
      </c>
      <c r="B85" s="540" t="s">
        <v>120</v>
      </c>
      <c r="C85" s="540"/>
      <c r="D85" s="539" t="s">
        <v>121</v>
      </c>
      <c r="E85" s="541">
        <v>0</v>
      </c>
      <c r="F85" s="541">
        <v>0</v>
      </c>
      <c r="G85" s="548">
        <f t="shared" ref="G85:G94" si="80">SUM(L85,O85,R85,)</f>
        <v>0</v>
      </c>
      <c r="H85" s="549">
        <f t="shared" si="62"/>
        <v>0</v>
      </c>
      <c r="I85" s="549">
        <f t="shared" si="63"/>
        <v>0</v>
      </c>
      <c r="J85" s="537" t="e">
        <f t="shared" si="68"/>
        <v>#DIV/0!</v>
      </c>
      <c r="K85" s="39">
        <f t="shared" si="69"/>
        <v>0</v>
      </c>
      <c r="L85" s="545">
        <f t="shared" ref="L85:O85" si="81">SUM(L86)</f>
        <v>0</v>
      </c>
      <c r="M85" s="39">
        <f t="shared" si="70"/>
        <v>0</v>
      </c>
      <c r="N85" s="545"/>
      <c r="O85" s="545">
        <f t="shared" si="81"/>
        <v>0</v>
      </c>
      <c r="P85" s="39">
        <f t="shared" si="71"/>
        <v>0</v>
      </c>
      <c r="Q85" s="1035"/>
      <c r="R85" s="413"/>
      <c r="S85" s="413"/>
      <c r="T85" s="413"/>
      <c r="U85" s="519">
        <f t="shared" ref="U85:U102" si="82">W85-G85</f>
        <v>0</v>
      </c>
      <c r="V85" s="519">
        <f t="shared" si="64"/>
        <v>0</v>
      </c>
      <c r="W85" s="519"/>
      <c r="X85" s="413"/>
      <c r="Y85" s="413"/>
      <c r="Z85" s="776">
        <f t="shared" si="73"/>
        <v>0</v>
      </c>
      <c r="AA85" s="1038"/>
      <c r="AB85" s="1038"/>
      <c r="AC85" s="1038"/>
    </row>
    <row r="86" spans="1:29" hidden="1" x14ac:dyDescent="0.35">
      <c r="A86" s="318">
        <v>77</v>
      </c>
      <c r="B86" s="531"/>
      <c r="C86" s="531"/>
      <c r="D86" s="318"/>
      <c r="E86" s="518">
        <v>0</v>
      </c>
      <c r="F86" s="518">
        <v>0</v>
      </c>
      <c r="G86" s="551">
        <f t="shared" si="80"/>
        <v>0</v>
      </c>
      <c r="H86" s="413">
        <f t="shared" si="62"/>
        <v>0</v>
      </c>
      <c r="I86" s="413">
        <f t="shared" si="63"/>
        <v>0</v>
      </c>
      <c r="J86" s="537" t="e">
        <f t="shared" si="68"/>
        <v>#DIV/0!</v>
      </c>
      <c r="K86" s="39">
        <f t="shared" si="69"/>
        <v>0</v>
      </c>
      <c r="L86" s="39"/>
      <c r="M86" s="39">
        <f t="shared" si="70"/>
        <v>0</v>
      </c>
      <c r="N86" s="39"/>
      <c r="O86" s="538"/>
      <c r="P86" s="39">
        <f t="shared" si="71"/>
        <v>0</v>
      </c>
      <c r="Q86" s="1035"/>
      <c r="R86" s="413"/>
      <c r="S86" s="413"/>
      <c r="T86" s="413"/>
      <c r="U86" s="519">
        <f t="shared" si="82"/>
        <v>0</v>
      </c>
      <c r="V86" s="519">
        <f t="shared" si="64"/>
        <v>0</v>
      </c>
      <c r="W86" s="519"/>
      <c r="X86" s="413"/>
      <c r="Y86" s="413"/>
      <c r="Z86" s="776">
        <f t="shared" si="73"/>
        <v>0</v>
      </c>
      <c r="AA86" s="1038"/>
      <c r="AB86" s="1038"/>
      <c r="AC86" s="1038"/>
    </row>
    <row r="87" spans="1:29" hidden="1" x14ac:dyDescent="0.35">
      <c r="A87" s="318">
        <v>78</v>
      </c>
      <c r="B87" s="531" t="s">
        <v>122</v>
      </c>
      <c r="C87" s="531"/>
      <c r="D87" s="318" t="s">
        <v>123</v>
      </c>
      <c r="E87" s="518">
        <v>0</v>
      </c>
      <c r="F87" s="518">
        <v>0</v>
      </c>
      <c r="G87" s="551">
        <f t="shared" si="80"/>
        <v>0</v>
      </c>
      <c r="H87" s="413">
        <f t="shared" si="62"/>
        <v>0</v>
      </c>
      <c r="I87" s="413">
        <f t="shared" si="63"/>
        <v>0</v>
      </c>
      <c r="J87" s="537" t="e">
        <f t="shared" si="68"/>
        <v>#DIV/0!</v>
      </c>
      <c r="K87" s="39">
        <f t="shared" si="69"/>
        <v>0</v>
      </c>
      <c r="L87" s="39"/>
      <c r="M87" s="39">
        <f t="shared" si="70"/>
        <v>0</v>
      </c>
      <c r="N87" s="39"/>
      <c r="O87" s="538"/>
      <c r="P87" s="39">
        <f t="shared" si="71"/>
        <v>0</v>
      </c>
      <c r="Q87" s="1035"/>
      <c r="R87" s="413"/>
      <c r="S87" s="413"/>
      <c r="T87" s="413"/>
      <c r="U87" s="519">
        <f t="shared" si="82"/>
        <v>0</v>
      </c>
      <c r="V87" s="519">
        <f t="shared" si="64"/>
        <v>0</v>
      </c>
      <c r="W87" s="519"/>
      <c r="X87" s="413"/>
      <c r="Y87" s="413"/>
      <c r="Z87" s="776">
        <f t="shared" si="73"/>
        <v>0</v>
      </c>
      <c r="AA87" s="1038"/>
      <c r="AB87" s="1038"/>
      <c r="AC87" s="1038"/>
    </row>
    <row r="88" spans="1:29" s="9" customFormat="1" ht="29" hidden="1" x14ac:dyDescent="0.35">
      <c r="A88" s="539">
        <v>79</v>
      </c>
      <c r="B88" s="540" t="s">
        <v>124</v>
      </c>
      <c r="C88" s="540"/>
      <c r="D88" s="539" t="s">
        <v>125</v>
      </c>
      <c r="E88" s="541">
        <v>0</v>
      </c>
      <c r="F88" s="541">
        <v>0</v>
      </c>
      <c r="G88" s="548">
        <f t="shared" si="80"/>
        <v>0</v>
      </c>
      <c r="H88" s="549">
        <f t="shared" si="62"/>
        <v>0</v>
      </c>
      <c r="I88" s="549">
        <f t="shared" si="63"/>
        <v>0</v>
      </c>
      <c r="J88" s="537" t="e">
        <f t="shared" si="68"/>
        <v>#DIV/0!</v>
      </c>
      <c r="K88" s="39">
        <f t="shared" si="69"/>
        <v>0</v>
      </c>
      <c r="L88" s="545">
        <f t="shared" ref="L88:O88" si="83">SUM(L89:L94)</f>
        <v>0</v>
      </c>
      <c r="M88" s="39">
        <f t="shared" si="70"/>
        <v>0</v>
      </c>
      <c r="N88" s="545"/>
      <c r="O88" s="545">
        <f t="shared" si="83"/>
        <v>0</v>
      </c>
      <c r="P88" s="39">
        <f t="shared" si="71"/>
        <v>0</v>
      </c>
      <c r="Q88" s="539"/>
      <c r="R88" s="549"/>
      <c r="S88" s="549"/>
      <c r="T88" s="549"/>
      <c r="U88" s="519">
        <f t="shared" si="82"/>
        <v>0</v>
      </c>
      <c r="V88" s="519">
        <f t="shared" si="64"/>
        <v>0</v>
      </c>
      <c r="W88" s="519"/>
      <c r="X88" s="549"/>
      <c r="Y88" s="549"/>
      <c r="Z88" s="776">
        <f t="shared" si="73"/>
        <v>0</v>
      </c>
      <c r="AA88" s="1053"/>
      <c r="AB88" s="1053"/>
      <c r="AC88" s="1053"/>
    </row>
    <row r="89" spans="1:29" hidden="1" x14ac:dyDescent="0.35">
      <c r="A89" s="318">
        <v>80</v>
      </c>
      <c r="B89" s="544"/>
      <c r="C89" s="544"/>
      <c r="D89" s="318"/>
      <c r="E89" s="518">
        <v>0</v>
      </c>
      <c r="F89" s="518">
        <v>0</v>
      </c>
      <c r="G89" s="551">
        <f t="shared" si="80"/>
        <v>0</v>
      </c>
      <c r="H89" s="413">
        <f t="shared" si="62"/>
        <v>0</v>
      </c>
      <c r="I89" s="413">
        <f t="shared" si="63"/>
        <v>0</v>
      </c>
      <c r="J89" s="537" t="e">
        <f t="shared" si="68"/>
        <v>#DIV/0!</v>
      </c>
      <c r="K89" s="39">
        <f t="shared" si="69"/>
        <v>0</v>
      </c>
      <c r="L89" s="39"/>
      <c r="M89" s="39">
        <f t="shared" si="70"/>
        <v>0</v>
      </c>
      <c r="N89" s="39"/>
      <c r="O89" s="538"/>
      <c r="P89" s="39">
        <f t="shared" si="71"/>
        <v>0</v>
      </c>
      <c r="Q89" s="1035"/>
      <c r="R89" s="413"/>
      <c r="S89" s="413"/>
      <c r="T89" s="413"/>
      <c r="U89" s="519">
        <f t="shared" si="82"/>
        <v>0</v>
      </c>
      <c r="V89" s="519">
        <f t="shared" si="64"/>
        <v>0</v>
      </c>
      <c r="W89" s="519"/>
      <c r="X89" s="413"/>
      <c r="Y89" s="413"/>
      <c r="Z89" s="776">
        <f t="shared" si="73"/>
        <v>0</v>
      </c>
      <c r="AA89" s="1038"/>
      <c r="AB89" s="1038"/>
      <c r="AC89" s="1038"/>
    </row>
    <row r="90" spans="1:29" hidden="1" x14ac:dyDescent="0.35">
      <c r="A90" s="318">
        <v>81</v>
      </c>
      <c r="B90" s="531"/>
      <c r="C90" s="531"/>
      <c r="D90" s="318"/>
      <c r="E90" s="518">
        <v>0</v>
      </c>
      <c r="F90" s="518">
        <v>0</v>
      </c>
      <c r="G90" s="551">
        <f t="shared" si="80"/>
        <v>0</v>
      </c>
      <c r="H90" s="413">
        <f t="shared" si="62"/>
        <v>0</v>
      </c>
      <c r="I90" s="413">
        <f t="shared" si="63"/>
        <v>0</v>
      </c>
      <c r="J90" s="537" t="e">
        <f t="shared" si="68"/>
        <v>#DIV/0!</v>
      </c>
      <c r="K90" s="39">
        <f t="shared" si="69"/>
        <v>0</v>
      </c>
      <c r="L90" s="39"/>
      <c r="M90" s="39">
        <f t="shared" si="70"/>
        <v>0</v>
      </c>
      <c r="N90" s="39"/>
      <c r="O90" s="538"/>
      <c r="P90" s="39">
        <f t="shared" si="71"/>
        <v>0</v>
      </c>
      <c r="Q90" s="1035"/>
      <c r="R90" s="413"/>
      <c r="S90" s="413"/>
      <c r="T90" s="413"/>
      <c r="U90" s="519">
        <f t="shared" si="82"/>
        <v>0</v>
      </c>
      <c r="V90" s="519">
        <f t="shared" si="64"/>
        <v>0</v>
      </c>
      <c r="W90" s="519"/>
      <c r="X90" s="413"/>
      <c r="Y90" s="413"/>
      <c r="Z90" s="776">
        <f t="shared" si="73"/>
        <v>0</v>
      </c>
      <c r="AA90" s="1038"/>
      <c r="AB90" s="1038"/>
      <c r="AC90" s="1038"/>
    </row>
    <row r="91" spans="1:29" hidden="1" x14ac:dyDescent="0.35">
      <c r="A91" s="318">
        <v>82</v>
      </c>
      <c r="B91" s="531"/>
      <c r="C91" s="531"/>
      <c r="D91" s="318"/>
      <c r="E91" s="518">
        <v>0</v>
      </c>
      <c r="F91" s="518">
        <v>0</v>
      </c>
      <c r="G91" s="551">
        <f t="shared" si="80"/>
        <v>0</v>
      </c>
      <c r="H91" s="413">
        <f t="shared" si="62"/>
        <v>0</v>
      </c>
      <c r="I91" s="413">
        <f t="shared" si="63"/>
        <v>0</v>
      </c>
      <c r="J91" s="537" t="e">
        <f t="shared" si="68"/>
        <v>#DIV/0!</v>
      </c>
      <c r="K91" s="39">
        <f t="shared" si="69"/>
        <v>0</v>
      </c>
      <c r="L91" s="39"/>
      <c r="M91" s="39">
        <f t="shared" si="70"/>
        <v>0</v>
      </c>
      <c r="N91" s="39"/>
      <c r="O91" s="538"/>
      <c r="P91" s="39">
        <f t="shared" si="71"/>
        <v>0</v>
      </c>
      <c r="Q91" s="1035"/>
      <c r="R91" s="413"/>
      <c r="S91" s="413"/>
      <c r="T91" s="413"/>
      <c r="U91" s="519">
        <f t="shared" si="82"/>
        <v>0</v>
      </c>
      <c r="V91" s="519">
        <f t="shared" si="64"/>
        <v>0</v>
      </c>
      <c r="W91" s="519"/>
      <c r="X91" s="413"/>
      <c r="Y91" s="413"/>
      <c r="Z91" s="776">
        <f t="shared" si="73"/>
        <v>0</v>
      </c>
      <c r="AA91" s="1038"/>
      <c r="AB91" s="1038"/>
      <c r="AC91" s="1038"/>
    </row>
    <row r="92" spans="1:29" hidden="1" x14ac:dyDescent="0.35">
      <c r="A92" s="318">
        <v>83</v>
      </c>
      <c r="B92" s="544"/>
      <c r="C92" s="544"/>
      <c r="D92" s="318"/>
      <c r="E92" s="518">
        <v>0</v>
      </c>
      <c r="F92" s="518">
        <v>0</v>
      </c>
      <c r="G92" s="551">
        <f t="shared" si="80"/>
        <v>0</v>
      </c>
      <c r="H92" s="413">
        <f t="shared" si="62"/>
        <v>0</v>
      </c>
      <c r="I92" s="413">
        <f t="shared" si="63"/>
        <v>0</v>
      </c>
      <c r="J92" s="537" t="e">
        <f t="shared" si="68"/>
        <v>#DIV/0!</v>
      </c>
      <c r="K92" s="39">
        <f t="shared" si="69"/>
        <v>0</v>
      </c>
      <c r="L92" s="39"/>
      <c r="M92" s="39">
        <f t="shared" si="70"/>
        <v>0</v>
      </c>
      <c r="N92" s="39"/>
      <c r="O92" s="538"/>
      <c r="P92" s="39">
        <f t="shared" si="71"/>
        <v>0</v>
      </c>
      <c r="Q92" s="1035"/>
      <c r="R92" s="413"/>
      <c r="S92" s="413"/>
      <c r="T92" s="413"/>
      <c r="U92" s="519">
        <f t="shared" si="82"/>
        <v>0</v>
      </c>
      <c r="V92" s="519">
        <f t="shared" si="64"/>
        <v>0</v>
      </c>
      <c r="W92" s="519"/>
      <c r="X92" s="413"/>
      <c r="Y92" s="413"/>
      <c r="Z92" s="776">
        <f t="shared" si="73"/>
        <v>0</v>
      </c>
      <c r="AA92" s="1038"/>
      <c r="AB92" s="1038"/>
      <c r="AC92" s="1038"/>
    </row>
    <row r="93" spans="1:29" hidden="1" x14ac:dyDescent="0.35">
      <c r="A93" s="318">
        <v>84</v>
      </c>
      <c r="B93" s="544"/>
      <c r="C93" s="544"/>
      <c r="D93" s="318"/>
      <c r="E93" s="518">
        <v>0</v>
      </c>
      <c r="F93" s="518">
        <v>0</v>
      </c>
      <c r="G93" s="551">
        <f t="shared" si="80"/>
        <v>0</v>
      </c>
      <c r="H93" s="413">
        <f t="shared" si="62"/>
        <v>0</v>
      </c>
      <c r="I93" s="413">
        <f t="shared" si="63"/>
        <v>0</v>
      </c>
      <c r="J93" s="537" t="e">
        <f t="shared" si="68"/>
        <v>#DIV/0!</v>
      </c>
      <c r="K93" s="39">
        <f t="shared" si="69"/>
        <v>0</v>
      </c>
      <c r="L93" s="39"/>
      <c r="M93" s="39">
        <f t="shared" si="70"/>
        <v>0</v>
      </c>
      <c r="N93" s="39"/>
      <c r="O93" s="538"/>
      <c r="P93" s="39">
        <f t="shared" si="71"/>
        <v>0</v>
      </c>
      <c r="Q93" s="1035"/>
      <c r="R93" s="413"/>
      <c r="S93" s="413"/>
      <c r="T93" s="413"/>
      <c r="U93" s="519">
        <f t="shared" si="82"/>
        <v>0</v>
      </c>
      <c r="V93" s="519">
        <f t="shared" si="64"/>
        <v>0</v>
      </c>
      <c r="W93" s="519"/>
      <c r="X93" s="413"/>
      <c r="Y93" s="413"/>
      <c r="Z93" s="776">
        <f t="shared" si="73"/>
        <v>0</v>
      </c>
      <c r="AA93" s="1038"/>
      <c r="AB93" s="1038"/>
      <c r="AC93" s="1038"/>
    </row>
    <row r="94" spans="1:29" hidden="1" x14ac:dyDescent="0.35">
      <c r="A94" s="318">
        <v>85</v>
      </c>
      <c r="B94" s="544"/>
      <c r="C94" s="544"/>
      <c r="D94" s="318"/>
      <c r="E94" s="518">
        <v>0</v>
      </c>
      <c r="F94" s="518">
        <v>0</v>
      </c>
      <c r="G94" s="551">
        <f t="shared" si="80"/>
        <v>0</v>
      </c>
      <c r="H94" s="413">
        <f t="shared" si="62"/>
        <v>0</v>
      </c>
      <c r="I94" s="413">
        <f t="shared" si="63"/>
        <v>0</v>
      </c>
      <c r="J94" s="537" t="e">
        <f t="shared" si="68"/>
        <v>#DIV/0!</v>
      </c>
      <c r="K94" s="39">
        <f t="shared" si="69"/>
        <v>0</v>
      </c>
      <c r="L94" s="39"/>
      <c r="M94" s="39">
        <f t="shared" si="70"/>
        <v>0</v>
      </c>
      <c r="N94" s="39"/>
      <c r="O94" s="538"/>
      <c r="P94" s="39">
        <f t="shared" si="71"/>
        <v>0</v>
      </c>
      <c r="Q94" s="1035"/>
      <c r="R94" s="413"/>
      <c r="S94" s="413"/>
      <c r="T94" s="413"/>
      <c r="U94" s="519">
        <f t="shared" si="82"/>
        <v>0</v>
      </c>
      <c r="V94" s="519">
        <f t="shared" si="64"/>
        <v>0</v>
      </c>
      <c r="W94" s="519"/>
      <c r="X94" s="413"/>
      <c r="Y94" s="413"/>
      <c r="Z94" s="776">
        <f t="shared" si="73"/>
        <v>0</v>
      </c>
      <c r="AA94" s="1038"/>
      <c r="AB94" s="1038"/>
      <c r="AC94" s="1038"/>
    </row>
    <row r="95" spans="1:29" s="9" customFormat="1" ht="43.5" x14ac:dyDescent="0.35">
      <c r="A95" s="539">
        <v>86</v>
      </c>
      <c r="B95" s="540" t="s">
        <v>126</v>
      </c>
      <c r="C95" s="540" t="s">
        <v>933</v>
      </c>
      <c r="D95" s="539" t="s">
        <v>127</v>
      </c>
      <c r="E95" s="541">
        <v>273000</v>
      </c>
      <c r="F95" s="541">
        <v>273000</v>
      </c>
      <c r="G95" s="548">
        <f>SUM(G96)</f>
        <v>500000</v>
      </c>
      <c r="H95" s="549">
        <f t="shared" si="62"/>
        <v>500000</v>
      </c>
      <c r="I95" s="549">
        <f t="shared" si="63"/>
        <v>34543</v>
      </c>
      <c r="J95" s="557">
        <f>I95/H95</f>
        <v>6.9085999999999995E-2</v>
      </c>
      <c r="K95" s="545">
        <f t="shared" ref="K95:Q95" si="84">SUM(K96:K99)</f>
        <v>465457</v>
      </c>
      <c r="L95" s="545">
        <f t="shared" si="84"/>
        <v>500000</v>
      </c>
      <c r="M95" s="545">
        <f t="shared" si="84"/>
        <v>500000</v>
      </c>
      <c r="N95" s="545">
        <f t="shared" si="84"/>
        <v>34543</v>
      </c>
      <c r="O95" s="545">
        <f t="shared" si="84"/>
        <v>0</v>
      </c>
      <c r="P95" s="545">
        <f t="shared" si="84"/>
        <v>0</v>
      </c>
      <c r="Q95" s="545">
        <f t="shared" si="84"/>
        <v>0</v>
      </c>
      <c r="R95" s="546">
        <f t="shared" ref="R95:T95" si="85">SUM(R96:R99)</f>
        <v>0</v>
      </c>
      <c r="S95" s="546">
        <f t="shared" si="85"/>
        <v>0</v>
      </c>
      <c r="T95" s="546">
        <f t="shared" si="85"/>
        <v>0</v>
      </c>
      <c r="U95" s="519">
        <f t="shared" si="82"/>
        <v>0</v>
      </c>
      <c r="V95" s="519">
        <f t="shared" si="64"/>
        <v>500000</v>
      </c>
      <c r="W95" s="1052">
        <v>500000</v>
      </c>
      <c r="X95" s="549">
        <v>15739</v>
      </c>
      <c r="Y95" s="549">
        <v>32179</v>
      </c>
      <c r="Z95" s="776">
        <v>800000</v>
      </c>
      <c r="AA95" s="508">
        <f t="shared" ref="AA95:AA102" si="86">AB95-Z95</f>
        <v>-454805</v>
      </c>
      <c r="AB95" s="508">
        <f t="shared" ref="AB95:AB102" si="87">AC95</f>
        <v>345195</v>
      </c>
      <c r="AC95" s="592">
        <v>345195</v>
      </c>
    </row>
    <row r="96" spans="1:29" hidden="1" x14ac:dyDescent="0.35">
      <c r="A96" s="318">
        <v>87</v>
      </c>
      <c r="B96" s="544"/>
      <c r="C96" s="544"/>
      <c r="D96" s="318"/>
      <c r="E96" s="518">
        <v>273000</v>
      </c>
      <c r="F96" s="518">
        <v>273000</v>
      </c>
      <c r="G96" s="551">
        <v>500000</v>
      </c>
      <c r="H96" s="413">
        <f t="shared" si="62"/>
        <v>500000</v>
      </c>
      <c r="I96" s="413">
        <f t="shared" si="63"/>
        <v>34543</v>
      </c>
      <c r="J96" s="537">
        <f t="shared" si="68"/>
        <v>6.9085999999999995E-2</v>
      </c>
      <c r="K96" s="39">
        <f t="shared" si="69"/>
        <v>465457</v>
      </c>
      <c r="L96" s="39">
        <v>500000</v>
      </c>
      <c r="M96" s="39">
        <f t="shared" si="70"/>
        <v>500000</v>
      </c>
      <c r="N96" s="39">
        <v>34543</v>
      </c>
      <c r="O96" s="538"/>
      <c r="P96" s="39">
        <f t="shared" si="71"/>
        <v>0</v>
      </c>
      <c r="Q96" s="1035"/>
      <c r="R96" s="413"/>
      <c r="S96" s="413"/>
      <c r="T96" s="413"/>
      <c r="U96" s="519">
        <f t="shared" si="82"/>
        <v>-500000</v>
      </c>
      <c r="V96" s="519">
        <f t="shared" si="64"/>
        <v>0</v>
      </c>
      <c r="W96" s="519"/>
      <c r="X96" s="413"/>
      <c r="Y96" s="413"/>
      <c r="Z96" s="776">
        <f t="shared" si="73"/>
        <v>0</v>
      </c>
      <c r="AA96" s="508">
        <f t="shared" si="86"/>
        <v>0</v>
      </c>
      <c r="AB96" s="508">
        <f t="shared" si="87"/>
        <v>0</v>
      </c>
      <c r="AC96" s="1038"/>
    </row>
    <row r="97" spans="1:29" hidden="1" x14ac:dyDescent="0.35">
      <c r="A97" s="318">
        <v>88</v>
      </c>
      <c r="B97" s="544"/>
      <c r="C97" s="544"/>
      <c r="D97" s="318"/>
      <c r="E97" s="518">
        <v>0</v>
      </c>
      <c r="F97" s="518">
        <v>0</v>
      </c>
      <c r="G97" s="551">
        <f>SUM(L97,O97,R97,)</f>
        <v>0</v>
      </c>
      <c r="H97" s="413">
        <f t="shared" si="62"/>
        <v>0</v>
      </c>
      <c r="I97" s="413">
        <f t="shared" si="63"/>
        <v>0</v>
      </c>
      <c r="J97" s="537" t="e">
        <f t="shared" si="68"/>
        <v>#DIV/0!</v>
      </c>
      <c r="K97" s="39">
        <f t="shared" si="69"/>
        <v>0</v>
      </c>
      <c r="L97" s="39"/>
      <c r="M97" s="39">
        <f t="shared" si="70"/>
        <v>0</v>
      </c>
      <c r="N97" s="39"/>
      <c r="O97" s="538"/>
      <c r="P97" s="39">
        <f t="shared" si="71"/>
        <v>0</v>
      </c>
      <c r="Q97" s="1035"/>
      <c r="R97" s="413"/>
      <c r="S97" s="413"/>
      <c r="T97" s="413"/>
      <c r="U97" s="519">
        <f t="shared" si="82"/>
        <v>0</v>
      </c>
      <c r="V97" s="519">
        <f t="shared" si="64"/>
        <v>0</v>
      </c>
      <c r="W97" s="519"/>
      <c r="X97" s="413"/>
      <c r="Y97" s="413"/>
      <c r="Z97" s="776">
        <f t="shared" si="73"/>
        <v>0</v>
      </c>
      <c r="AA97" s="508">
        <f t="shared" si="86"/>
        <v>0</v>
      </c>
      <c r="AB97" s="508">
        <f t="shared" si="87"/>
        <v>0</v>
      </c>
      <c r="AC97" s="1038"/>
    </row>
    <row r="98" spans="1:29" hidden="1" x14ac:dyDescent="0.35">
      <c r="A98" s="318">
        <v>89</v>
      </c>
      <c r="B98" s="544"/>
      <c r="C98" s="544"/>
      <c r="D98" s="318"/>
      <c r="E98" s="518">
        <v>0</v>
      </c>
      <c r="F98" s="518">
        <v>0</v>
      </c>
      <c r="G98" s="551">
        <f>SUM(L98,O98,R98,)</f>
        <v>0</v>
      </c>
      <c r="H98" s="413">
        <f t="shared" si="62"/>
        <v>0</v>
      </c>
      <c r="I98" s="413">
        <f t="shared" si="63"/>
        <v>0</v>
      </c>
      <c r="J98" s="537" t="e">
        <f t="shared" si="68"/>
        <v>#DIV/0!</v>
      </c>
      <c r="K98" s="39">
        <f t="shared" si="69"/>
        <v>0</v>
      </c>
      <c r="L98" s="39"/>
      <c r="M98" s="39">
        <f t="shared" si="70"/>
        <v>0</v>
      </c>
      <c r="N98" s="39"/>
      <c r="O98" s="538"/>
      <c r="P98" s="39">
        <f t="shared" si="71"/>
        <v>0</v>
      </c>
      <c r="Q98" s="1035"/>
      <c r="R98" s="413"/>
      <c r="S98" s="413"/>
      <c r="T98" s="413"/>
      <c r="U98" s="519">
        <f t="shared" si="82"/>
        <v>0</v>
      </c>
      <c r="V98" s="519">
        <f t="shared" si="64"/>
        <v>0</v>
      </c>
      <c r="W98" s="519"/>
      <c r="X98" s="413"/>
      <c r="Y98" s="413"/>
      <c r="Z98" s="776">
        <f t="shared" si="73"/>
        <v>0</v>
      </c>
      <c r="AA98" s="508">
        <f t="shared" si="86"/>
        <v>0</v>
      </c>
      <c r="AB98" s="508">
        <f t="shared" si="87"/>
        <v>0</v>
      </c>
      <c r="AC98" s="1038"/>
    </row>
    <row r="99" spans="1:29" hidden="1" x14ac:dyDescent="0.35">
      <c r="A99" s="318">
        <v>90</v>
      </c>
      <c r="B99" s="544"/>
      <c r="C99" s="544"/>
      <c r="D99" s="318"/>
      <c r="E99" s="518">
        <v>0</v>
      </c>
      <c r="F99" s="518">
        <v>0</v>
      </c>
      <c r="G99" s="551">
        <f>SUM(L99,O99,R99,)</f>
        <v>0</v>
      </c>
      <c r="H99" s="413">
        <f t="shared" si="62"/>
        <v>0</v>
      </c>
      <c r="I99" s="413">
        <f t="shared" si="63"/>
        <v>0</v>
      </c>
      <c r="J99" s="537" t="e">
        <f t="shared" si="68"/>
        <v>#DIV/0!</v>
      </c>
      <c r="K99" s="39">
        <f t="shared" si="69"/>
        <v>0</v>
      </c>
      <c r="L99" s="39"/>
      <c r="M99" s="39">
        <f t="shared" si="70"/>
        <v>0</v>
      </c>
      <c r="N99" s="39"/>
      <c r="O99" s="538"/>
      <c r="P99" s="39">
        <f t="shared" si="71"/>
        <v>0</v>
      </c>
      <c r="Q99" s="1035"/>
      <c r="R99" s="413"/>
      <c r="S99" s="413"/>
      <c r="T99" s="413"/>
      <c r="U99" s="519">
        <f t="shared" si="82"/>
        <v>0</v>
      </c>
      <c r="V99" s="519">
        <f t="shared" si="64"/>
        <v>0</v>
      </c>
      <c r="W99" s="519"/>
      <c r="X99" s="413"/>
      <c r="Y99" s="413"/>
      <c r="Z99" s="776">
        <f t="shared" si="73"/>
        <v>0</v>
      </c>
      <c r="AA99" s="508">
        <f t="shared" si="86"/>
        <v>0</v>
      </c>
      <c r="AB99" s="508">
        <f t="shared" si="87"/>
        <v>0</v>
      </c>
      <c r="AC99" s="1038"/>
    </row>
    <row r="100" spans="1:29" hidden="1" x14ac:dyDescent="0.35">
      <c r="A100" s="318">
        <v>91</v>
      </c>
      <c r="B100" s="531" t="s">
        <v>128</v>
      </c>
      <c r="C100" s="531"/>
      <c r="D100" s="318" t="s">
        <v>129</v>
      </c>
      <c r="E100" s="518">
        <v>0</v>
      </c>
      <c r="F100" s="518">
        <v>0</v>
      </c>
      <c r="G100" s="551">
        <f>SUM(L100,O100,R100,)</f>
        <v>0</v>
      </c>
      <c r="H100" s="413">
        <f t="shared" si="62"/>
        <v>0</v>
      </c>
      <c r="I100" s="413">
        <f t="shared" si="63"/>
        <v>0</v>
      </c>
      <c r="J100" s="537" t="e">
        <f t="shared" si="68"/>
        <v>#DIV/0!</v>
      </c>
      <c r="K100" s="39">
        <f t="shared" si="69"/>
        <v>0</v>
      </c>
      <c r="L100" s="39"/>
      <c r="M100" s="39">
        <f t="shared" si="70"/>
        <v>0</v>
      </c>
      <c r="N100" s="39"/>
      <c r="O100" s="538"/>
      <c r="P100" s="39">
        <f t="shared" si="71"/>
        <v>0</v>
      </c>
      <c r="Q100" s="1035"/>
      <c r="R100" s="413"/>
      <c r="S100" s="413"/>
      <c r="T100" s="413"/>
      <c r="U100" s="519">
        <f t="shared" si="82"/>
        <v>0</v>
      </c>
      <c r="V100" s="519">
        <f t="shared" si="64"/>
        <v>0</v>
      </c>
      <c r="W100" s="519"/>
      <c r="X100" s="413"/>
      <c r="Y100" s="413"/>
      <c r="Z100" s="776">
        <f t="shared" si="73"/>
        <v>0</v>
      </c>
      <c r="AA100" s="508">
        <f t="shared" si="86"/>
        <v>0</v>
      </c>
      <c r="AB100" s="508">
        <f t="shared" si="87"/>
        <v>0</v>
      </c>
      <c r="AC100" s="1038"/>
    </row>
    <row r="101" spans="1:29" ht="29" hidden="1" x14ac:dyDescent="0.35">
      <c r="A101" s="318">
        <v>92</v>
      </c>
      <c r="B101" s="531" t="s">
        <v>130</v>
      </c>
      <c r="C101" s="531"/>
      <c r="D101" s="318" t="s">
        <v>131</v>
      </c>
      <c r="E101" s="518">
        <v>0</v>
      </c>
      <c r="F101" s="518">
        <v>0</v>
      </c>
      <c r="G101" s="551">
        <f>SUM(L101,O101,R101,)</f>
        <v>0</v>
      </c>
      <c r="H101" s="413">
        <f t="shared" si="62"/>
        <v>0</v>
      </c>
      <c r="I101" s="413">
        <f t="shared" si="63"/>
        <v>0</v>
      </c>
      <c r="J101" s="537" t="e">
        <f t="shared" si="68"/>
        <v>#DIV/0!</v>
      </c>
      <c r="K101" s="39">
        <f t="shared" si="69"/>
        <v>0</v>
      </c>
      <c r="L101" s="39"/>
      <c r="M101" s="39">
        <f t="shared" si="70"/>
        <v>0</v>
      </c>
      <c r="N101" s="39"/>
      <c r="O101" s="538"/>
      <c r="P101" s="39">
        <f t="shared" si="71"/>
        <v>0</v>
      </c>
      <c r="Q101" s="1035"/>
      <c r="R101" s="413"/>
      <c r="S101" s="413"/>
      <c r="T101" s="413"/>
      <c r="U101" s="519">
        <f t="shared" si="82"/>
        <v>0</v>
      </c>
      <c r="V101" s="519">
        <f t="shared" si="64"/>
        <v>0</v>
      </c>
      <c r="W101" s="519"/>
      <c r="X101" s="413"/>
      <c r="Y101" s="413"/>
      <c r="Z101" s="776">
        <f t="shared" si="73"/>
        <v>0</v>
      </c>
      <c r="AA101" s="508">
        <f t="shared" si="86"/>
        <v>0</v>
      </c>
      <c r="AB101" s="508">
        <f t="shared" si="87"/>
        <v>0</v>
      </c>
      <c r="AC101" s="1038"/>
    </row>
    <row r="102" spans="1:29" ht="29" x14ac:dyDescent="0.35">
      <c r="A102" s="318">
        <v>93</v>
      </c>
      <c r="B102" s="531" t="s">
        <v>132</v>
      </c>
      <c r="C102" s="531"/>
      <c r="D102" s="318" t="s">
        <v>133</v>
      </c>
      <c r="E102" s="518">
        <v>74000</v>
      </c>
      <c r="F102" s="518">
        <v>74000</v>
      </c>
      <c r="G102" s="551">
        <f>G96*0.27</f>
        <v>135000</v>
      </c>
      <c r="H102" s="413">
        <f t="shared" si="62"/>
        <v>135000</v>
      </c>
      <c r="I102" s="413">
        <f t="shared" si="63"/>
        <v>9326</v>
      </c>
      <c r="J102" s="537">
        <f t="shared" si="68"/>
        <v>6.908148148148148E-2</v>
      </c>
      <c r="K102" s="39">
        <f t="shared" si="69"/>
        <v>125674</v>
      </c>
      <c r="L102" s="39">
        <v>135000</v>
      </c>
      <c r="M102" s="39">
        <f t="shared" si="70"/>
        <v>135000</v>
      </c>
      <c r="N102" s="39">
        <v>9326</v>
      </c>
      <c r="O102" s="538"/>
      <c r="P102" s="39">
        <f t="shared" si="71"/>
        <v>0</v>
      </c>
      <c r="Q102" s="1035"/>
      <c r="R102" s="413"/>
      <c r="S102" s="413"/>
      <c r="T102" s="413"/>
      <c r="U102" s="519">
        <f t="shared" si="82"/>
        <v>0</v>
      </c>
      <c r="V102" s="519">
        <f t="shared" si="64"/>
        <v>135000</v>
      </c>
      <c r="W102" s="1052">
        <v>135000</v>
      </c>
      <c r="X102" s="413">
        <v>4250</v>
      </c>
      <c r="Y102" s="413">
        <v>8689</v>
      </c>
      <c r="Z102" s="776">
        <f>Z95*0.27</f>
        <v>216000</v>
      </c>
      <c r="AA102" s="508">
        <f t="shared" si="86"/>
        <v>-122797</v>
      </c>
      <c r="AB102" s="508">
        <f t="shared" si="87"/>
        <v>93203</v>
      </c>
      <c r="AC102" s="591">
        <v>93203</v>
      </c>
    </row>
    <row r="103" spans="1:29" s="10" customFormat="1" ht="24" thickBot="1" x14ac:dyDescent="0.6">
      <c r="A103" s="561">
        <v>94</v>
      </c>
      <c r="B103" s="562" t="s">
        <v>134</v>
      </c>
      <c r="C103" s="562"/>
      <c r="D103" s="561" t="s">
        <v>135</v>
      </c>
      <c r="E103" s="563">
        <v>347000</v>
      </c>
      <c r="F103" s="563">
        <v>347000</v>
      </c>
      <c r="G103" s="564">
        <f>SUM(G95,G102)</f>
        <v>635000</v>
      </c>
      <c r="H103" s="564">
        <f t="shared" ref="H103:W103" si="88">SUM(H95,H102)</f>
        <v>635000</v>
      </c>
      <c r="I103" s="564">
        <f t="shared" si="88"/>
        <v>43869</v>
      </c>
      <c r="J103" s="564">
        <f t="shared" si="88"/>
        <v>0.13816748148148147</v>
      </c>
      <c r="K103" s="564">
        <f t="shared" si="88"/>
        <v>591131</v>
      </c>
      <c r="L103" s="564">
        <f t="shared" si="88"/>
        <v>635000</v>
      </c>
      <c r="M103" s="564">
        <f t="shared" si="88"/>
        <v>635000</v>
      </c>
      <c r="N103" s="564">
        <f t="shared" si="88"/>
        <v>43869</v>
      </c>
      <c r="O103" s="564">
        <f t="shared" si="88"/>
        <v>0</v>
      </c>
      <c r="P103" s="564">
        <f t="shared" si="88"/>
        <v>0</v>
      </c>
      <c r="Q103" s="564">
        <f t="shared" si="88"/>
        <v>0</v>
      </c>
      <c r="R103" s="564">
        <f t="shared" si="88"/>
        <v>0</v>
      </c>
      <c r="S103" s="564">
        <f t="shared" si="88"/>
        <v>0</v>
      </c>
      <c r="T103" s="564">
        <f t="shared" si="88"/>
        <v>0</v>
      </c>
      <c r="U103" s="564">
        <f t="shared" si="88"/>
        <v>0</v>
      </c>
      <c r="V103" s="564">
        <f t="shared" ref="V103:V116" si="89">G103+U103</f>
        <v>635000</v>
      </c>
      <c r="W103" s="564">
        <f t="shared" si="88"/>
        <v>635000</v>
      </c>
      <c r="X103" s="564">
        <f>SUM(X95,X102)</f>
        <v>19989</v>
      </c>
      <c r="Y103" s="564">
        <f t="shared" ref="Y103" si="90">SUM(Y95,Y102)</f>
        <v>40868</v>
      </c>
      <c r="Z103" s="564">
        <f>SUM(Z95,Z102)</f>
        <v>1016000</v>
      </c>
      <c r="AA103" s="564">
        <f t="shared" ref="AA103:AC103" si="91">SUM(AA95,AA102)</f>
        <v>-577602</v>
      </c>
      <c r="AB103" s="564">
        <f t="shared" si="91"/>
        <v>438398</v>
      </c>
      <c r="AC103" s="564">
        <f t="shared" si="91"/>
        <v>438398</v>
      </c>
    </row>
    <row r="104" spans="1:29" ht="15" hidden="1" thickBot="1" x14ac:dyDescent="0.4">
      <c r="A104" s="318">
        <v>95</v>
      </c>
      <c r="B104" s="531" t="s">
        <v>136</v>
      </c>
      <c r="C104" s="531"/>
      <c r="D104" s="318" t="s">
        <v>137</v>
      </c>
      <c r="E104" s="518">
        <v>0</v>
      </c>
      <c r="F104" s="518">
        <v>0</v>
      </c>
      <c r="G104" s="551" t="e">
        <f>SUM(L104,O104,R104,)</f>
        <v>#REF!</v>
      </c>
      <c r="H104" s="551" t="e">
        <f t="shared" ref="H104:I108" si="92">SUM(M104,P104,S104,)</f>
        <v>#REF!</v>
      </c>
      <c r="I104" s="551" t="e">
        <f t="shared" si="92"/>
        <v>#REF!</v>
      </c>
      <c r="J104" s="551" t="e">
        <f>SUM(O104,R104,U104,)</f>
        <v>#REF!</v>
      </c>
      <c r="K104" s="551" t="e">
        <f t="shared" ref="K104:L108" si="93">SUM(P104,S104,W104,)</f>
        <v>#REF!</v>
      </c>
      <c r="L104" s="551" t="e">
        <f t="shared" si="93"/>
        <v>#REF!</v>
      </c>
      <c r="M104" s="551" t="e">
        <f>SUM(R104,U104,Z104,)</f>
        <v>#REF!</v>
      </c>
      <c r="N104" s="551" t="e">
        <f>SUM(S104,W104,#REF!,)</f>
        <v>#REF!</v>
      </c>
      <c r="O104" s="551" t="e">
        <f>SUM(T104,X104,#REF!,)</f>
        <v>#REF!</v>
      </c>
      <c r="P104" s="551" t="e">
        <f>SUM(U104,Z104,#REF!,)</f>
        <v>#REF!</v>
      </c>
      <c r="Q104" s="551" t="e">
        <f>SUM(W104,#REF!,AA104,)</f>
        <v>#REF!</v>
      </c>
      <c r="R104" s="551" t="e">
        <f>SUM(X104,#REF!,AB104,)</f>
        <v>#REF!</v>
      </c>
      <c r="S104" s="551" t="e">
        <f>SUM(Z104,#REF!,AC104,)</f>
        <v>#REF!</v>
      </c>
      <c r="T104" s="551" t="e">
        <f>SUM(#REF!,AA104,AD104,)</f>
        <v>#REF!</v>
      </c>
      <c r="U104" s="551" t="e">
        <f>SUM(#REF!,AB104,AE104,)</f>
        <v>#REF!</v>
      </c>
      <c r="V104" s="551" t="e">
        <f t="shared" si="89"/>
        <v>#REF!</v>
      </c>
      <c r="W104" s="551" t="e">
        <f>SUM(#REF!,AC104,AF104,)</f>
        <v>#REF!</v>
      </c>
      <c r="X104" s="413"/>
      <c r="Y104" s="413"/>
      <c r="Z104" s="551"/>
      <c r="AA104" s="1038"/>
      <c r="AB104" s="1038"/>
      <c r="AC104" s="1038"/>
    </row>
    <row r="105" spans="1:29" ht="15" hidden="1" thickBot="1" x14ac:dyDescent="0.4">
      <c r="A105" s="318">
        <v>96</v>
      </c>
      <c r="B105" s="531" t="s">
        <v>138</v>
      </c>
      <c r="C105" s="531"/>
      <c r="D105" s="318" t="s">
        <v>139</v>
      </c>
      <c r="E105" s="518">
        <v>0</v>
      </c>
      <c r="F105" s="518">
        <v>0</v>
      </c>
      <c r="G105" s="551" t="e">
        <f>SUM(L105,O105,R105,)</f>
        <v>#REF!</v>
      </c>
      <c r="H105" s="551" t="e">
        <f t="shared" si="92"/>
        <v>#REF!</v>
      </c>
      <c r="I105" s="551" t="e">
        <f t="shared" si="92"/>
        <v>#REF!</v>
      </c>
      <c r="J105" s="551" t="e">
        <f>SUM(O105,R105,U105,)</f>
        <v>#REF!</v>
      </c>
      <c r="K105" s="551" t="e">
        <f t="shared" si="93"/>
        <v>#REF!</v>
      </c>
      <c r="L105" s="551" t="e">
        <f t="shared" si="93"/>
        <v>#REF!</v>
      </c>
      <c r="M105" s="551" t="e">
        <f>SUM(R105,U105,Z105,)</f>
        <v>#REF!</v>
      </c>
      <c r="N105" s="551" t="e">
        <f>SUM(S105,W105,#REF!,)</f>
        <v>#REF!</v>
      </c>
      <c r="O105" s="551" t="e">
        <f>SUM(T105,X105,#REF!,)</f>
        <v>#REF!</v>
      </c>
      <c r="P105" s="551" t="e">
        <f>SUM(U105,Z105,#REF!,)</f>
        <v>#REF!</v>
      </c>
      <c r="Q105" s="551" t="e">
        <f>SUM(W105,#REF!,AA105,)</f>
        <v>#REF!</v>
      </c>
      <c r="R105" s="551" t="e">
        <f>SUM(X105,#REF!,AB105,)</f>
        <v>#REF!</v>
      </c>
      <c r="S105" s="551" t="e">
        <f>SUM(Z105,#REF!,AC105,)</f>
        <v>#REF!</v>
      </c>
      <c r="T105" s="551" t="e">
        <f>SUM(#REF!,AA105,AD105,)</f>
        <v>#REF!</v>
      </c>
      <c r="U105" s="551" t="e">
        <f>SUM(#REF!,AB105,AE105,)</f>
        <v>#REF!</v>
      </c>
      <c r="V105" s="551" t="e">
        <f t="shared" si="89"/>
        <v>#REF!</v>
      </c>
      <c r="W105" s="551" t="e">
        <f>SUM(#REF!,AC105,AF105,)</f>
        <v>#REF!</v>
      </c>
      <c r="X105" s="413"/>
      <c r="Y105" s="413"/>
      <c r="Z105" s="551"/>
      <c r="AA105" s="1038"/>
      <c r="AB105" s="1038"/>
      <c r="AC105" s="1038"/>
    </row>
    <row r="106" spans="1:29" ht="15" hidden="1" thickBot="1" x14ac:dyDescent="0.4">
      <c r="A106" s="318">
        <v>97</v>
      </c>
      <c r="B106" s="531" t="s">
        <v>140</v>
      </c>
      <c r="C106" s="531"/>
      <c r="D106" s="318" t="s">
        <v>141</v>
      </c>
      <c r="E106" s="518">
        <v>0</v>
      </c>
      <c r="F106" s="518">
        <v>0</v>
      </c>
      <c r="G106" s="551" t="e">
        <f>SUM(L106,O106,R106,)</f>
        <v>#REF!</v>
      </c>
      <c r="H106" s="551" t="e">
        <f t="shared" si="92"/>
        <v>#REF!</v>
      </c>
      <c r="I106" s="551" t="e">
        <f t="shared" si="92"/>
        <v>#REF!</v>
      </c>
      <c r="J106" s="551" t="e">
        <f>SUM(O106,R106,U106,)</f>
        <v>#REF!</v>
      </c>
      <c r="K106" s="551" t="e">
        <f t="shared" si="93"/>
        <v>#REF!</v>
      </c>
      <c r="L106" s="551" t="e">
        <f t="shared" si="93"/>
        <v>#REF!</v>
      </c>
      <c r="M106" s="551" t="e">
        <f>SUM(R106,U106,Z106,)</f>
        <v>#REF!</v>
      </c>
      <c r="N106" s="551" t="e">
        <f>SUM(S106,W106,#REF!,)</f>
        <v>#REF!</v>
      </c>
      <c r="O106" s="551" t="e">
        <f>SUM(T106,X106,#REF!,)</f>
        <v>#REF!</v>
      </c>
      <c r="P106" s="551" t="e">
        <f>SUM(U106,Z106,#REF!,)</f>
        <v>#REF!</v>
      </c>
      <c r="Q106" s="551" t="e">
        <f>SUM(W106,#REF!,AA106,)</f>
        <v>#REF!</v>
      </c>
      <c r="R106" s="551" t="e">
        <f>SUM(X106,#REF!,AB106,)</f>
        <v>#REF!</v>
      </c>
      <c r="S106" s="551" t="e">
        <f>SUM(Z106,#REF!,AC106,)</f>
        <v>#REF!</v>
      </c>
      <c r="T106" s="551" t="e">
        <f>SUM(#REF!,AA106,AD106,)</f>
        <v>#REF!</v>
      </c>
      <c r="U106" s="551" t="e">
        <f>SUM(#REF!,AB106,AE106,)</f>
        <v>#REF!</v>
      </c>
      <c r="V106" s="551" t="e">
        <f t="shared" si="89"/>
        <v>#REF!</v>
      </c>
      <c r="W106" s="551" t="e">
        <f>SUM(#REF!,AC106,AF106,)</f>
        <v>#REF!</v>
      </c>
      <c r="X106" s="413"/>
      <c r="Y106" s="413"/>
      <c r="Z106" s="551"/>
      <c r="AA106" s="1038"/>
      <c r="AB106" s="1038"/>
      <c r="AC106" s="1038"/>
    </row>
    <row r="107" spans="1:29" ht="29.5" hidden="1" thickBot="1" x14ac:dyDescent="0.4">
      <c r="A107" s="318">
        <v>98</v>
      </c>
      <c r="B107" s="531" t="s">
        <v>142</v>
      </c>
      <c r="C107" s="531"/>
      <c r="D107" s="318" t="s">
        <v>143</v>
      </c>
      <c r="E107" s="518">
        <v>0</v>
      </c>
      <c r="F107" s="518">
        <v>0</v>
      </c>
      <c r="G107" s="551" t="e">
        <f>SUM(L107,O107,R107,)</f>
        <v>#REF!</v>
      </c>
      <c r="H107" s="551" t="e">
        <f t="shared" si="92"/>
        <v>#REF!</v>
      </c>
      <c r="I107" s="551" t="e">
        <f t="shared" si="92"/>
        <v>#REF!</v>
      </c>
      <c r="J107" s="551" t="e">
        <f>SUM(O107,R107,U107,)</f>
        <v>#REF!</v>
      </c>
      <c r="K107" s="551" t="e">
        <f t="shared" si="93"/>
        <v>#REF!</v>
      </c>
      <c r="L107" s="551" t="e">
        <f t="shared" si="93"/>
        <v>#REF!</v>
      </c>
      <c r="M107" s="551" t="e">
        <f>SUM(R107,U107,Z107,)</f>
        <v>#REF!</v>
      </c>
      <c r="N107" s="551" t="e">
        <f>SUM(S107,W107,#REF!,)</f>
        <v>#REF!</v>
      </c>
      <c r="O107" s="551" t="e">
        <f>SUM(T107,X107,#REF!,)</f>
        <v>#REF!</v>
      </c>
      <c r="P107" s="551" t="e">
        <f>SUM(U107,Z107,#REF!,)</f>
        <v>#REF!</v>
      </c>
      <c r="Q107" s="551" t="e">
        <f>SUM(W107,#REF!,AA107,)</f>
        <v>#REF!</v>
      </c>
      <c r="R107" s="551" t="e">
        <f>SUM(X107,#REF!,AB107,)</f>
        <v>#REF!</v>
      </c>
      <c r="S107" s="551" t="e">
        <f>SUM(Z107,#REF!,AC107,)</f>
        <v>#REF!</v>
      </c>
      <c r="T107" s="551" t="e">
        <f>SUM(#REF!,AA107,AD107,)</f>
        <v>#REF!</v>
      </c>
      <c r="U107" s="551" t="e">
        <f>SUM(#REF!,AB107,AE107,)</f>
        <v>#REF!</v>
      </c>
      <c r="V107" s="551" t="e">
        <f t="shared" si="89"/>
        <v>#REF!</v>
      </c>
      <c r="W107" s="551" t="e">
        <f>SUM(#REF!,AC107,AF107,)</f>
        <v>#REF!</v>
      </c>
      <c r="X107" s="413"/>
      <c r="Y107" s="413"/>
      <c r="Z107" s="551"/>
      <c r="AA107" s="1038"/>
      <c r="AB107" s="1038"/>
      <c r="AC107" s="1038"/>
    </row>
    <row r="108" spans="1:29" ht="15" hidden="1" thickBot="1" x14ac:dyDescent="0.4">
      <c r="A108" s="567">
        <v>99</v>
      </c>
      <c r="B108" s="568" t="s">
        <v>144</v>
      </c>
      <c r="C108" s="568"/>
      <c r="D108" s="567" t="s">
        <v>145</v>
      </c>
      <c r="E108" s="518">
        <v>0</v>
      </c>
      <c r="F108" s="518">
        <v>0</v>
      </c>
      <c r="G108" s="551" t="e">
        <f>SUM(L108,O108,R108,)</f>
        <v>#REF!</v>
      </c>
      <c r="H108" s="551" t="e">
        <f t="shared" si="92"/>
        <v>#REF!</v>
      </c>
      <c r="I108" s="551" t="e">
        <f t="shared" si="92"/>
        <v>#REF!</v>
      </c>
      <c r="J108" s="551" t="e">
        <f>SUM(O108,R108,U108,)</f>
        <v>#REF!</v>
      </c>
      <c r="K108" s="551" t="e">
        <f t="shared" si="93"/>
        <v>#REF!</v>
      </c>
      <c r="L108" s="551" t="e">
        <f t="shared" si="93"/>
        <v>#REF!</v>
      </c>
      <c r="M108" s="551" t="e">
        <f>SUM(R108,U108,Z108,)</f>
        <v>#REF!</v>
      </c>
      <c r="N108" s="551" t="e">
        <f>SUM(S108,W108,#REF!,)</f>
        <v>#REF!</v>
      </c>
      <c r="O108" s="551" t="e">
        <f>SUM(T108,X108,#REF!,)</f>
        <v>#REF!</v>
      </c>
      <c r="P108" s="551" t="e">
        <f>SUM(U108,Z108,#REF!,)</f>
        <v>#REF!</v>
      </c>
      <c r="Q108" s="551" t="e">
        <f>SUM(W108,#REF!,AA108,)</f>
        <v>#REF!</v>
      </c>
      <c r="R108" s="551" t="e">
        <f>SUM(X108,#REF!,AB108,)</f>
        <v>#REF!</v>
      </c>
      <c r="S108" s="551" t="e">
        <f>SUM(Z108,#REF!,AC108,)</f>
        <v>#REF!</v>
      </c>
      <c r="T108" s="551" t="e">
        <f>SUM(#REF!,AA108,AD108,)</f>
        <v>#REF!</v>
      </c>
      <c r="U108" s="551" t="e">
        <f>SUM(#REF!,AB108,AE108,)</f>
        <v>#REF!</v>
      </c>
      <c r="V108" s="551" t="e">
        <f t="shared" si="89"/>
        <v>#REF!</v>
      </c>
      <c r="W108" s="551" t="e">
        <f>SUM(#REF!,AC108,AF108,)</f>
        <v>#REF!</v>
      </c>
      <c r="X108" s="413"/>
      <c r="Y108" s="413"/>
      <c r="Z108" s="551"/>
      <c r="AA108" s="1038"/>
      <c r="AB108" s="1038"/>
      <c r="AC108" s="1038"/>
    </row>
    <row r="109" spans="1:29" ht="47.5" thickBot="1" x14ac:dyDescent="0.6">
      <c r="A109" s="574">
        <v>100</v>
      </c>
      <c r="B109" s="575" t="s">
        <v>146</v>
      </c>
      <c r="C109" s="575"/>
      <c r="D109" s="576" t="s">
        <v>147</v>
      </c>
      <c r="E109" s="1054">
        <v>33861516.799999997</v>
      </c>
      <c r="F109" s="1054">
        <v>34914115.799999997</v>
      </c>
      <c r="G109" s="1054">
        <f>SUM(G103,G84,G26,G25)</f>
        <v>38803858.120000005</v>
      </c>
      <c r="H109" s="1054">
        <f t="shared" ref="H109:W109" si="94">SUM(H103,H84,H26,H25)</f>
        <v>36284555.799999997</v>
      </c>
      <c r="I109" s="1054">
        <f t="shared" si="94"/>
        <v>22906102</v>
      </c>
      <c r="J109" s="1054" t="e">
        <f t="shared" si="94"/>
        <v>#DIV/0!</v>
      </c>
      <c r="K109" s="1054">
        <f t="shared" si="94"/>
        <v>13378453.800000001</v>
      </c>
      <c r="L109" s="1054">
        <f t="shared" si="94"/>
        <v>34353128</v>
      </c>
      <c r="M109" s="1054">
        <f t="shared" si="94"/>
        <v>31131593.800000001</v>
      </c>
      <c r="N109" s="1054">
        <f t="shared" si="94"/>
        <v>19655491</v>
      </c>
      <c r="O109" s="1054">
        <f t="shared" si="94"/>
        <v>4440980</v>
      </c>
      <c r="P109" s="1054">
        <f t="shared" si="94"/>
        <v>4239324</v>
      </c>
      <c r="Q109" s="1054">
        <f t="shared" si="94"/>
        <v>2650444</v>
      </c>
      <c r="R109" s="1054">
        <f t="shared" si="94"/>
        <v>0</v>
      </c>
      <c r="S109" s="1054">
        <f t="shared" si="94"/>
        <v>913638</v>
      </c>
      <c r="T109" s="1054">
        <f t="shared" si="94"/>
        <v>600167</v>
      </c>
      <c r="U109" s="1054">
        <f t="shared" si="94"/>
        <v>2708240</v>
      </c>
      <c r="V109" s="1054">
        <f t="shared" si="89"/>
        <v>41512098.120000005</v>
      </c>
      <c r="W109" s="1054">
        <f t="shared" si="94"/>
        <v>38853858</v>
      </c>
      <c r="X109" s="1055">
        <f>SUM(X103,X84,X26,X25)</f>
        <v>30793473</v>
      </c>
      <c r="Y109" s="1055">
        <f t="shared" ref="Y109" si="95">SUM(Y103,Y84,Y26,Y25)</f>
        <v>36465323</v>
      </c>
      <c r="Z109" s="1056">
        <f>SUM(Z103,Z84,Z26,Z25)</f>
        <v>44170974.424999997</v>
      </c>
      <c r="AA109" s="1056">
        <f t="shared" ref="AA109:AC109" si="96">SUM(AA103,AA84,AA26,AA25)</f>
        <v>-4504380.4249999998</v>
      </c>
      <c r="AB109" s="1056">
        <f t="shared" si="96"/>
        <v>39666594</v>
      </c>
      <c r="AC109" s="1056">
        <f t="shared" si="96"/>
        <v>38649327</v>
      </c>
    </row>
    <row r="110" spans="1:29" ht="21" x14ac:dyDescent="0.5">
      <c r="A110" s="1390" t="s">
        <v>148</v>
      </c>
      <c r="B110" s="1390"/>
      <c r="C110" s="1390"/>
      <c r="D110" s="1390"/>
      <c r="E110" s="1390"/>
      <c r="F110" s="1390"/>
      <c r="G110" s="1390"/>
      <c r="H110" s="1390"/>
      <c r="I110" s="1390"/>
      <c r="J110" s="1390"/>
      <c r="K110" s="1390"/>
      <c r="L110" s="1390"/>
      <c r="M110" s="1390"/>
      <c r="N110" s="1390"/>
      <c r="O110" s="1390"/>
      <c r="P110" s="1390"/>
      <c r="Q110" s="1390"/>
      <c r="R110" s="1390"/>
      <c r="S110" s="1390"/>
      <c r="T110" s="1390"/>
      <c r="U110" s="572">
        <f>W110-G110</f>
        <v>0</v>
      </c>
      <c r="V110" s="572">
        <f t="shared" si="89"/>
        <v>0</v>
      </c>
      <c r="W110" s="572"/>
      <c r="X110" s="573"/>
      <c r="Y110" s="573"/>
      <c r="Z110" s="1051">
        <f t="shared" si="73"/>
        <v>0</v>
      </c>
      <c r="AA110" s="1038"/>
      <c r="AB110" s="1038"/>
      <c r="AC110" s="1038"/>
    </row>
    <row r="111" spans="1:29" ht="21" x14ac:dyDescent="0.5">
      <c r="A111" s="405"/>
      <c r="B111" s="407" t="s">
        <v>886</v>
      </c>
      <c r="C111" s="14" t="s">
        <v>956</v>
      </c>
      <c r="D111" s="405" t="s">
        <v>227</v>
      </c>
      <c r="E111" s="474">
        <v>0</v>
      </c>
      <c r="F111" s="474">
        <v>913638</v>
      </c>
      <c r="G111" s="536">
        <f>SUM(L111,O111,R111)</f>
        <v>0</v>
      </c>
      <c r="H111" s="39">
        <f>SUM(M111,P111,S111)</f>
        <v>913638</v>
      </c>
      <c r="I111" s="39">
        <f>SUM(N111,Q111,T111)</f>
        <v>913638</v>
      </c>
      <c r="J111" s="406">
        <f>I111/H111</f>
        <v>1</v>
      </c>
      <c r="K111" s="405"/>
      <c r="L111" s="39"/>
      <c r="M111" s="39"/>
      <c r="N111" s="39"/>
      <c r="O111" s="538"/>
      <c r="P111" s="519"/>
      <c r="Q111" s="318"/>
      <c r="R111" s="413"/>
      <c r="S111" s="413">
        <v>913638</v>
      </c>
      <c r="T111" s="413">
        <v>913638</v>
      </c>
      <c r="U111" s="519">
        <v>2175232</v>
      </c>
      <c r="V111" s="519">
        <f t="shared" si="89"/>
        <v>2175232</v>
      </c>
      <c r="W111" s="519"/>
      <c r="X111" s="518">
        <v>2010732</v>
      </c>
      <c r="Y111" s="518"/>
      <c r="Z111" s="776">
        <v>0</v>
      </c>
      <c r="AA111" s="508">
        <f t="shared" ref="AA111:AA116" si="97">AB111-Z111</f>
        <v>458826</v>
      </c>
      <c r="AB111" s="508">
        <f t="shared" ref="AB111:AB116" si="98">AC111</f>
        <v>458826</v>
      </c>
      <c r="AC111" s="591">
        <v>458826</v>
      </c>
    </row>
    <row r="112" spans="1:29" s="11" customFormat="1" ht="21" x14ac:dyDescent="0.5">
      <c r="A112" s="14">
        <v>101</v>
      </c>
      <c r="B112" s="14" t="s">
        <v>149</v>
      </c>
      <c r="C112" s="14"/>
      <c r="D112" s="14" t="s">
        <v>361</v>
      </c>
      <c r="E112" s="475">
        <v>60000</v>
      </c>
      <c r="F112" s="475">
        <v>60000</v>
      </c>
      <c r="G112" s="536"/>
      <c r="H112" s="39">
        <f t="shared" ref="H112:I113" si="99">SUM(M112,P112,S112)</f>
        <v>0</v>
      </c>
      <c r="I112" s="39">
        <f t="shared" si="99"/>
        <v>286421</v>
      </c>
      <c r="J112" s="406" t="e">
        <f t="shared" ref="J112:J113" si="100">I112/H112</f>
        <v>#DIV/0!</v>
      </c>
      <c r="K112" s="39"/>
      <c r="L112" s="41">
        <v>60000</v>
      </c>
      <c r="M112" s="41">
        <f>L112</f>
        <v>60000</v>
      </c>
      <c r="N112" s="41">
        <v>286421</v>
      </c>
      <c r="O112" s="40"/>
      <c r="P112" s="519">
        <f>G112-L112-O112</f>
        <v>-60000</v>
      </c>
      <c r="Q112" s="401"/>
      <c r="R112" s="404"/>
      <c r="S112" s="404"/>
      <c r="T112" s="404"/>
      <c r="U112" s="519">
        <v>0</v>
      </c>
      <c r="V112" s="519">
        <f t="shared" si="89"/>
        <v>0</v>
      </c>
      <c r="W112" s="519"/>
      <c r="X112" s="518">
        <f>60000+115084+49398+7874</f>
        <v>232356</v>
      </c>
      <c r="Y112" s="518"/>
      <c r="Z112" s="776">
        <v>0</v>
      </c>
      <c r="AA112" s="508">
        <f t="shared" si="97"/>
        <v>192225</v>
      </c>
      <c r="AB112" s="508">
        <f t="shared" si="98"/>
        <v>192225</v>
      </c>
      <c r="AC112" s="592">
        <v>192225</v>
      </c>
    </row>
    <row r="113" spans="1:31" s="11" customFormat="1" ht="21" x14ac:dyDescent="0.5">
      <c r="A113" s="14"/>
      <c r="B113" s="14" t="s">
        <v>151</v>
      </c>
      <c r="C113" s="14"/>
      <c r="D113" s="14" t="s">
        <v>152</v>
      </c>
      <c r="E113" s="475">
        <v>0</v>
      </c>
      <c r="F113" s="475">
        <v>138961</v>
      </c>
      <c r="G113" s="536">
        <f>SUM(L113,O113,R113)</f>
        <v>0</v>
      </c>
      <c r="H113" s="39">
        <f t="shared" si="99"/>
        <v>138961</v>
      </c>
      <c r="I113" s="39">
        <f t="shared" si="99"/>
        <v>138961</v>
      </c>
      <c r="J113" s="406">
        <f t="shared" si="100"/>
        <v>1</v>
      </c>
      <c r="K113" s="39"/>
      <c r="L113" s="41">
        <v>0</v>
      </c>
      <c r="M113" s="41">
        <v>138961</v>
      </c>
      <c r="N113" s="41">
        <v>138961</v>
      </c>
      <c r="O113" s="40"/>
      <c r="P113" s="519">
        <f>G113-L113-O113</f>
        <v>0</v>
      </c>
      <c r="Q113" s="401"/>
      <c r="R113" s="404"/>
      <c r="S113" s="404"/>
      <c r="T113" s="404"/>
      <c r="U113" s="519">
        <f>W113-G113</f>
        <v>0</v>
      </c>
      <c r="V113" s="519">
        <f t="shared" si="89"/>
        <v>0</v>
      </c>
      <c r="W113" s="519"/>
      <c r="X113" s="590"/>
      <c r="Y113" s="590"/>
      <c r="Z113" s="776">
        <v>877547</v>
      </c>
      <c r="AA113" s="508">
        <f t="shared" si="97"/>
        <v>255479</v>
      </c>
      <c r="AB113" s="508">
        <f t="shared" si="98"/>
        <v>1133026</v>
      </c>
      <c r="AC113" s="591">
        <v>1133026</v>
      </c>
    </row>
    <row r="114" spans="1:31" s="530" customFormat="1" x14ac:dyDescent="0.35">
      <c r="A114" s="586">
        <v>102</v>
      </c>
      <c r="B114" s="540" t="s">
        <v>153</v>
      </c>
      <c r="C114" s="540"/>
      <c r="D114" s="539" t="s">
        <v>154</v>
      </c>
      <c r="E114" s="735">
        <v>33801517</v>
      </c>
      <c r="F114" s="735">
        <v>33801517</v>
      </c>
      <c r="G114" s="614">
        <f>SUM(G115:G116)</f>
        <v>38803858</v>
      </c>
      <c r="H114" s="614">
        <f t="shared" ref="H114:W114" si="101">SUM(H115:H116)</f>
        <v>0</v>
      </c>
      <c r="I114" s="614">
        <f t="shared" si="101"/>
        <v>0</v>
      </c>
      <c r="J114" s="614">
        <f t="shared" si="101"/>
        <v>0</v>
      </c>
      <c r="K114" s="614">
        <f t="shared" si="101"/>
        <v>0</v>
      </c>
      <c r="L114" s="614">
        <f t="shared" si="101"/>
        <v>0</v>
      </c>
      <c r="M114" s="614">
        <f t="shared" si="101"/>
        <v>0</v>
      </c>
      <c r="N114" s="614">
        <f t="shared" si="101"/>
        <v>0</v>
      </c>
      <c r="O114" s="614">
        <f t="shared" si="101"/>
        <v>0</v>
      </c>
      <c r="P114" s="614">
        <f t="shared" si="101"/>
        <v>0</v>
      </c>
      <c r="Q114" s="614">
        <f t="shared" si="101"/>
        <v>0</v>
      </c>
      <c r="R114" s="614">
        <f t="shared" si="101"/>
        <v>0</v>
      </c>
      <c r="S114" s="614">
        <f t="shared" si="101"/>
        <v>0</v>
      </c>
      <c r="T114" s="614">
        <f t="shared" si="101"/>
        <v>0</v>
      </c>
      <c r="U114" s="614">
        <f t="shared" si="101"/>
        <v>533008</v>
      </c>
      <c r="V114" s="614">
        <f t="shared" si="89"/>
        <v>39336866</v>
      </c>
      <c r="W114" s="614">
        <f t="shared" si="101"/>
        <v>38853858</v>
      </c>
      <c r="X114" s="614">
        <f t="shared" ref="X114:AC114" si="102">SUM(X115:X116)</f>
        <v>30646828</v>
      </c>
      <c r="Y114" s="614">
        <f t="shared" si="102"/>
        <v>0</v>
      </c>
      <c r="Z114" s="614">
        <f t="shared" si="102"/>
        <v>43293427.424999997</v>
      </c>
      <c r="AA114" s="614">
        <f t="shared" si="102"/>
        <v>-5410910.424999997</v>
      </c>
      <c r="AB114" s="614">
        <f t="shared" si="102"/>
        <v>37882517</v>
      </c>
      <c r="AC114" s="614">
        <f t="shared" si="102"/>
        <v>37882517</v>
      </c>
    </row>
    <row r="115" spans="1:31" ht="21" x14ac:dyDescent="0.5">
      <c r="A115" s="318"/>
      <c r="B115" s="544" t="s">
        <v>840</v>
      </c>
      <c r="C115" s="544"/>
      <c r="D115" s="542"/>
      <c r="E115" s="565"/>
      <c r="F115" s="565"/>
      <c r="G115" s="536">
        <v>28029600</v>
      </c>
      <c r="H115" s="39"/>
      <c r="I115" s="39"/>
      <c r="J115" s="406"/>
      <c r="K115" s="39"/>
      <c r="L115" s="566"/>
      <c r="M115" s="41"/>
      <c r="N115" s="566"/>
      <c r="O115" s="566"/>
      <c r="P115" s="519"/>
      <c r="Q115" s="519"/>
      <c r="R115" s="413"/>
      <c r="S115" s="413"/>
      <c r="T115" s="413"/>
      <c r="U115" s="519">
        <f>W115-G115</f>
        <v>0</v>
      </c>
      <c r="V115" s="519">
        <f t="shared" si="89"/>
        <v>28029600</v>
      </c>
      <c r="W115" s="519">
        <v>28029600</v>
      </c>
      <c r="X115" s="413">
        <f>W115*0.83</f>
        <v>23264568</v>
      </c>
      <c r="Y115" s="413"/>
      <c r="Z115" s="776">
        <v>28029600</v>
      </c>
      <c r="AA115" s="508">
        <f t="shared" si="97"/>
        <v>0</v>
      </c>
      <c r="AB115" s="508">
        <f t="shared" si="98"/>
        <v>28029600</v>
      </c>
      <c r="AC115" s="1038">
        <v>28029600</v>
      </c>
    </row>
    <row r="116" spans="1:31" ht="21.5" thickBot="1" x14ac:dyDescent="0.55000000000000004">
      <c r="A116" s="567"/>
      <c r="B116" s="577" t="s">
        <v>730</v>
      </c>
      <c r="C116" s="577"/>
      <c r="D116" s="578"/>
      <c r="E116" s="579">
        <f t="shared" ref="E116:F116" si="103">E109-E114</f>
        <v>59999.79999999702</v>
      </c>
      <c r="F116" s="579">
        <f t="shared" si="103"/>
        <v>1112598.799999997</v>
      </c>
      <c r="G116" s="579">
        <v>10774258</v>
      </c>
      <c r="H116" s="570"/>
      <c r="I116" s="570"/>
      <c r="J116" s="534"/>
      <c r="K116" s="570"/>
      <c r="L116" s="580"/>
      <c r="M116" s="535"/>
      <c r="N116" s="580"/>
      <c r="O116" s="580"/>
      <c r="P116" s="571"/>
      <c r="Q116" s="571"/>
      <c r="R116" s="569"/>
      <c r="S116" s="569"/>
      <c r="T116" s="569"/>
      <c r="U116" s="519">
        <f>50000+788008-305000</f>
        <v>533008</v>
      </c>
      <c r="V116" s="519">
        <f t="shared" si="89"/>
        <v>11307266</v>
      </c>
      <c r="W116" s="571">
        <f>10774258+50000</f>
        <v>10824258</v>
      </c>
      <c r="X116" s="569">
        <v>7382260</v>
      </c>
      <c r="Y116" s="569"/>
      <c r="Z116" s="776">
        <f>Z109-Z115-Z113</f>
        <v>15263827.424999997</v>
      </c>
      <c r="AA116" s="508">
        <f t="shared" si="97"/>
        <v>-5410910.424999997</v>
      </c>
      <c r="AB116" s="508">
        <f t="shared" si="98"/>
        <v>9852917</v>
      </c>
      <c r="AC116" s="4">
        <f>AC109-AC111-AC112-AC113-AC115+1017267</f>
        <v>9852917</v>
      </c>
    </row>
    <row r="117" spans="1:31" s="530" customFormat="1" ht="21" x14ac:dyDescent="0.5">
      <c r="A117" s="1386" t="s">
        <v>155</v>
      </c>
      <c r="B117" s="1387"/>
      <c r="C117" s="1387"/>
      <c r="D117" s="1387"/>
      <c r="E117" s="581">
        <v>33861517</v>
      </c>
      <c r="F117" s="581">
        <v>34914116</v>
      </c>
      <c r="G117" s="582">
        <f>SUM(G111:G114)</f>
        <v>38803858</v>
      </c>
      <c r="H117" s="582">
        <f t="shared" ref="H117:AB117" si="104">SUM(H111:H114)</f>
        <v>1052599</v>
      </c>
      <c r="I117" s="582">
        <f t="shared" si="104"/>
        <v>1339020</v>
      </c>
      <c r="J117" s="582" t="e">
        <f t="shared" si="104"/>
        <v>#DIV/0!</v>
      </c>
      <c r="K117" s="582">
        <f t="shared" si="104"/>
        <v>0</v>
      </c>
      <c r="L117" s="582">
        <f t="shared" si="104"/>
        <v>60000</v>
      </c>
      <c r="M117" s="582">
        <f t="shared" si="104"/>
        <v>198961</v>
      </c>
      <c r="N117" s="582">
        <f t="shared" si="104"/>
        <v>425382</v>
      </c>
      <c r="O117" s="582">
        <f t="shared" si="104"/>
        <v>0</v>
      </c>
      <c r="P117" s="582">
        <f t="shared" si="104"/>
        <v>-60000</v>
      </c>
      <c r="Q117" s="582">
        <f t="shared" si="104"/>
        <v>0</v>
      </c>
      <c r="R117" s="582">
        <f t="shared" si="104"/>
        <v>0</v>
      </c>
      <c r="S117" s="582">
        <f t="shared" si="104"/>
        <v>913638</v>
      </c>
      <c r="T117" s="582">
        <f t="shared" si="104"/>
        <v>913638</v>
      </c>
      <c r="U117" s="582">
        <f t="shared" si="104"/>
        <v>2708240</v>
      </c>
      <c r="V117" s="582">
        <f t="shared" si="104"/>
        <v>41512098</v>
      </c>
      <c r="W117" s="582">
        <f t="shared" si="104"/>
        <v>38853858</v>
      </c>
      <c r="X117" s="582">
        <f t="shared" si="104"/>
        <v>32889916</v>
      </c>
      <c r="Y117" s="582">
        <f t="shared" si="104"/>
        <v>0</v>
      </c>
      <c r="Z117" s="582">
        <f t="shared" si="104"/>
        <v>44170974.424999997</v>
      </c>
      <c r="AA117" s="582">
        <f t="shared" si="104"/>
        <v>-4504380.424999997</v>
      </c>
      <c r="AB117" s="582">
        <f t="shared" si="104"/>
        <v>39666594</v>
      </c>
      <c r="AC117" s="582">
        <f>SUM(AC111:AC114)</f>
        <v>39666594</v>
      </c>
      <c r="AD117" s="592">
        <v>39666594</v>
      </c>
      <c r="AE117" s="619">
        <f>AD117-AC117</f>
        <v>0</v>
      </c>
    </row>
    <row r="118" spans="1:31" s="532" customFormat="1" ht="21.5" thickBot="1" x14ac:dyDescent="0.55000000000000004">
      <c r="A118" s="1380" t="s">
        <v>957</v>
      </c>
      <c r="B118" s="1381"/>
      <c r="C118" s="1381"/>
      <c r="D118" s="1382"/>
      <c r="E118" s="583"/>
      <c r="F118" s="583"/>
      <c r="G118" s="584"/>
      <c r="H118" s="584">
        <f t="shared" ref="H118:W118" si="105">H117-H109</f>
        <v>-35231956.799999997</v>
      </c>
      <c r="I118" s="584">
        <f t="shared" si="105"/>
        <v>-21567082</v>
      </c>
      <c r="J118" s="584" t="e">
        <f t="shared" si="105"/>
        <v>#DIV/0!</v>
      </c>
      <c r="K118" s="584">
        <f t="shared" si="105"/>
        <v>-13378453.800000001</v>
      </c>
      <c r="L118" s="584">
        <f t="shared" si="105"/>
        <v>-34293128</v>
      </c>
      <c r="M118" s="584">
        <f t="shared" si="105"/>
        <v>-30932632.800000001</v>
      </c>
      <c r="N118" s="584">
        <f t="shared" si="105"/>
        <v>-19230109</v>
      </c>
      <c r="O118" s="584">
        <f t="shared" si="105"/>
        <v>-4440980</v>
      </c>
      <c r="P118" s="584">
        <f t="shared" si="105"/>
        <v>-4299324</v>
      </c>
      <c r="Q118" s="584">
        <f t="shared" si="105"/>
        <v>-2650444</v>
      </c>
      <c r="R118" s="584">
        <f t="shared" si="105"/>
        <v>0</v>
      </c>
      <c r="S118" s="584">
        <f t="shared" si="105"/>
        <v>0</v>
      </c>
      <c r="T118" s="584">
        <f t="shared" si="105"/>
        <v>313471</v>
      </c>
      <c r="U118" s="584">
        <f t="shared" si="105"/>
        <v>0</v>
      </c>
      <c r="V118" s="584">
        <f>G118+U118</f>
        <v>0</v>
      </c>
      <c r="W118" s="584">
        <f t="shared" si="105"/>
        <v>0</v>
      </c>
      <c r="X118" s="585"/>
      <c r="Y118" s="585"/>
      <c r="Z118" s="778">
        <f>Z117-Z109</f>
        <v>0</v>
      </c>
      <c r="AA118" s="778">
        <f t="shared" ref="AA118:AC118" si="106">AA117-AA109</f>
        <v>0</v>
      </c>
      <c r="AB118" s="778">
        <f t="shared" si="106"/>
        <v>0</v>
      </c>
      <c r="AC118" s="778">
        <f t="shared" si="106"/>
        <v>1017267</v>
      </c>
    </row>
  </sheetData>
  <mergeCells count="37">
    <mergeCell ref="G51:G53"/>
    <mergeCell ref="A110:T110"/>
    <mergeCell ref="N5:N6"/>
    <mergeCell ref="O5:O6"/>
    <mergeCell ref="M5:M6"/>
    <mergeCell ref="A118:D118"/>
    <mergeCell ref="T5:T6"/>
    <mergeCell ref="U5:U6"/>
    <mergeCell ref="A84:B84"/>
    <mergeCell ref="Q5:Q6"/>
    <mergeCell ref="R5:R6"/>
    <mergeCell ref="S5:S6"/>
    <mergeCell ref="E5:E6"/>
    <mergeCell ref="F5:F6"/>
    <mergeCell ref="A117:D117"/>
    <mergeCell ref="J5:J6"/>
    <mergeCell ref="L5:L6"/>
    <mergeCell ref="H5:H6"/>
    <mergeCell ref="I5:I6"/>
    <mergeCell ref="K5:K6"/>
    <mergeCell ref="A27:D27"/>
    <mergeCell ref="AC5:AC6"/>
    <mergeCell ref="A1:G1"/>
    <mergeCell ref="A4:A6"/>
    <mergeCell ref="B4:B6"/>
    <mergeCell ref="D4:D6"/>
    <mergeCell ref="G5:G6"/>
    <mergeCell ref="A2:Z2"/>
    <mergeCell ref="V5:V6"/>
    <mergeCell ref="W5:W6"/>
    <mergeCell ref="X5:X6"/>
    <mergeCell ref="Z5:Z6"/>
    <mergeCell ref="Y5:Y6"/>
    <mergeCell ref="P5:P6"/>
    <mergeCell ref="E4:AC4"/>
    <mergeCell ref="AA5:AA6"/>
    <mergeCell ref="AB5:AB6"/>
  </mergeCells>
  <pageMargins left="0.70866141732283472" right="0.70866141732283472" top="0.74803149606299213" bottom="0.74803149606299213" header="0.31496062992125984" footer="0.31496062992125984"/>
  <pageSetup paperSize="8" scale="4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0.39997558519241921"/>
    <pageSetUpPr fitToPage="1"/>
  </sheetPr>
  <dimension ref="A1:AK118"/>
  <sheetViews>
    <sheetView zoomScale="71" zoomScaleNormal="71" zoomScaleSheetLayoutView="90" workbookViewId="0">
      <pane xSplit="8" ySplit="1" topLeftCell="S2" activePane="bottomRight" state="frozen"/>
      <selection pane="topRight" activeCell="I1" sqref="I1"/>
      <selection pane="bottomLeft" activeCell="A2" sqref="A2"/>
      <selection pane="bottomRight"/>
    </sheetView>
  </sheetViews>
  <sheetFormatPr defaultRowHeight="15.5" x14ac:dyDescent="0.35"/>
  <cols>
    <col min="2" max="2" width="38" customWidth="1"/>
    <col min="3" max="3" width="38" style="532" hidden="1" customWidth="1"/>
    <col min="4" max="4" width="14.7265625" customWidth="1"/>
    <col min="5" max="5" width="22.1796875" style="36" hidden="1" customWidth="1"/>
    <col min="6" max="7" width="24.453125" hidden="1" customWidth="1"/>
    <col min="8" max="8" width="21" hidden="1" customWidth="1"/>
    <col min="9" max="9" width="24.453125" style="532" customWidth="1"/>
    <col min="10" max="10" width="24.453125" style="532" hidden="1" customWidth="1"/>
    <col min="11" max="11" width="21" hidden="1" customWidth="1"/>
    <col min="12" max="12" width="21.81640625" hidden="1" customWidth="1"/>
    <col min="13" max="13" width="21" hidden="1" customWidth="1"/>
    <col min="14" max="14" width="24.453125" style="532" customWidth="1"/>
    <col min="15" max="15" width="24.453125" style="532" hidden="1" customWidth="1"/>
    <col min="16" max="16" width="24.453125" hidden="1" customWidth="1"/>
    <col min="17" max="17" width="21.453125" hidden="1" customWidth="1"/>
    <col min="18" max="18" width="20.26953125" hidden="1" customWidth="1"/>
    <col min="19" max="19" width="22.1796875" style="532" bestFit="1" customWidth="1"/>
    <col min="20" max="20" width="22.54296875" style="532" hidden="1" customWidth="1"/>
    <col min="21" max="22" width="22.54296875" hidden="1" customWidth="1"/>
    <col min="23" max="23" width="19.453125" hidden="1" customWidth="1"/>
    <col min="24" max="24" width="22.54296875" style="809" customWidth="1"/>
    <col min="25" max="25" width="22.54296875" style="532" hidden="1" customWidth="1"/>
    <col min="26" max="27" width="22" hidden="1" customWidth="1"/>
    <col min="28" max="28" width="21" hidden="1" customWidth="1"/>
    <col min="29" max="29" width="19.453125" hidden="1" customWidth="1"/>
    <col min="30" max="30" width="21.453125" hidden="1" customWidth="1"/>
    <col min="31" max="31" width="19.81640625" style="532" hidden="1" customWidth="1"/>
    <col min="32" max="32" width="22" hidden="1" customWidth="1"/>
    <col min="33" max="33" width="22" style="532" hidden="1" customWidth="1"/>
    <col min="34" max="34" width="22" style="589" customWidth="1"/>
    <col min="35" max="35" width="34.81640625" hidden="1" customWidth="1"/>
    <col min="36" max="37" width="19" customWidth="1"/>
  </cols>
  <sheetData>
    <row r="1" spans="1:37" ht="26" x14ac:dyDescent="0.6">
      <c r="A1" s="258" t="s">
        <v>1385</v>
      </c>
      <c r="B1" s="258"/>
      <c r="C1" s="258"/>
      <c r="D1" s="258"/>
      <c r="E1" s="597"/>
      <c r="F1" s="258"/>
      <c r="G1" s="378"/>
      <c r="H1" s="378"/>
      <c r="I1" s="637"/>
      <c r="J1" s="529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796"/>
      <c r="Y1" s="153"/>
      <c r="Z1" s="153"/>
    </row>
    <row r="2" spans="1:37" ht="26.15" customHeight="1" x14ac:dyDescent="0.6">
      <c r="A2" s="153"/>
      <c r="D2" s="597"/>
      <c r="F2" s="597"/>
      <c r="G2" s="597"/>
      <c r="H2" s="597"/>
      <c r="I2" s="641"/>
      <c r="J2" s="597"/>
      <c r="K2" s="1407" t="s">
        <v>953</v>
      </c>
      <c r="L2" s="1408"/>
      <c r="M2" s="1408"/>
      <c r="N2" s="1408"/>
      <c r="O2" s="1408"/>
      <c r="P2" s="1408"/>
      <c r="Q2" s="1408"/>
      <c r="R2" s="1408"/>
      <c r="S2" s="1408"/>
      <c r="T2" s="1408"/>
      <c r="U2" s="1408"/>
      <c r="V2" s="1408"/>
      <c r="W2" s="1408"/>
      <c r="X2" s="1408"/>
      <c r="Y2" s="1408"/>
      <c r="Z2" s="1408"/>
      <c r="AA2" s="1408"/>
      <c r="AB2" s="1408"/>
      <c r="AC2" s="1408"/>
      <c r="AD2" s="1408"/>
      <c r="AE2" s="1408"/>
      <c r="AF2" s="1408"/>
      <c r="AG2" s="1408"/>
      <c r="AH2" s="1408"/>
    </row>
    <row r="3" spans="1:37" x14ac:dyDescent="0.35">
      <c r="B3" s="12"/>
      <c r="C3" s="12"/>
      <c r="F3" s="1410" t="s">
        <v>406</v>
      </c>
      <c r="G3" s="1410"/>
      <c r="H3" s="1410"/>
      <c r="I3" s="1410"/>
      <c r="J3" s="1410"/>
      <c r="K3" s="1411"/>
      <c r="L3" s="1411"/>
      <c r="M3" s="1411"/>
      <c r="N3" s="1411"/>
      <c r="O3" s="1411"/>
      <c r="P3" s="1411"/>
      <c r="Q3" s="1411"/>
      <c r="R3" s="1411"/>
      <c r="S3" s="1411"/>
      <c r="T3" s="1411"/>
      <c r="U3" s="1411"/>
      <c r="V3" s="1411"/>
      <c r="W3" s="1411"/>
      <c r="X3" s="1411"/>
      <c r="Y3" s="1411"/>
      <c r="Z3" s="1411"/>
    </row>
    <row r="4" spans="1:37" ht="57" customHeight="1" x14ac:dyDescent="0.35">
      <c r="A4" s="1403" t="s">
        <v>1</v>
      </c>
      <c r="B4" s="1404" t="s">
        <v>2</v>
      </c>
      <c r="C4" s="1040"/>
      <c r="D4" s="1403" t="s">
        <v>3</v>
      </c>
      <c r="E4" s="1398" t="s">
        <v>729</v>
      </c>
      <c r="F4" s="1398" t="s">
        <v>440</v>
      </c>
      <c r="G4" s="1398"/>
      <c r="H4" s="1398"/>
      <c r="I4" s="1398"/>
      <c r="J4" s="1398"/>
      <c r="K4" s="1398" t="s">
        <v>439</v>
      </c>
      <c r="L4" s="1398"/>
      <c r="M4" s="1398"/>
      <c r="N4" s="1398"/>
      <c r="O4" s="1398"/>
      <c r="P4" s="1398" t="s">
        <v>438</v>
      </c>
      <c r="Q4" s="1398"/>
      <c r="R4" s="1398"/>
      <c r="S4" s="1398"/>
      <c r="T4" s="1398"/>
      <c r="U4" s="1398" t="s">
        <v>407</v>
      </c>
      <c r="V4" s="1398"/>
      <c r="W4" s="1398"/>
      <c r="X4" s="1398"/>
      <c r="Y4" s="1398"/>
      <c r="Z4" s="1394" t="s">
        <v>408</v>
      </c>
      <c r="AA4" s="1394"/>
      <c r="AB4" s="1394"/>
      <c r="AC4" s="1394"/>
      <c r="AD4" s="1394"/>
      <c r="AE4" s="1394"/>
      <c r="AF4" s="1394"/>
      <c r="AG4" s="1394"/>
      <c r="AH4" s="1394"/>
      <c r="AI4" s="1394"/>
      <c r="AJ4" s="1394"/>
      <c r="AK4" s="1394"/>
    </row>
    <row r="5" spans="1:37" s="588" customFormat="1" ht="15" customHeight="1" x14ac:dyDescent="0.35">
      <c r="A5" s="1403"/>
      <c r="B5" s="1404"/>
      <c r="C5" s="1040"/>
      <c r="D5" s="1403"/>
      <c r="E5" s="1398"/>
      <c r="F5" s="1391" t="s">
        <v>821</v>
      </c>
      <c r="G5" s="1391" t="s">
        <v>679</v>
      </c>
      <c r="H5" s="1391" t="s">
        <v>673</v>
      </c>
      <c r="I5" s="1391" t="s">
        <v>919</v>
      </c>
      <c r="J5" s="1392" t="s">
        <v>888</v>
      </c>
      <c r="K5" s="1391" t="s">
        <v>821</v>
      </c>
      <c r="L5" s="1391" t="s">
        <v>679</v>
      </c>
      <c r="M5" s="1391" t="s">
        <v>673</v>
      </c>
      <c r="N5" s="1392" t="s">
        <v>920</v>
      </c>
      <c r="O5" s="1392" t="s">
        <v>888</v>
      </c>
      <c r="P5" s="1391" t="s">
        <v>821</v>
      </c>
      <c r="Q5" s="1391" t="s">
        <v>679</v>
      </c>
      <c r="R5" s="1391" t="s">
        <v>673</v>
      </c>
      <c r="S5" s="1392" t="s">
        <v>921</v>
      </c>
      <c r="T5" s="1392" t="s">
        <v>888</v>
      </c>
      <c r="U5" s="1391" t="s">
        <v>821</v>
      </c>
      <c r="V5" s="1391" t="s">
        <v>679</v>
      </c>
      <c r="W5" s="1391" t="s">
        <v>673</v>
      </c>
      <c r="X5" s="1393" t="s">
        <v>922</v>
      </c>
      <c r="Y5" s="1392" t="s">
        <v>888</v>
      </c>
      <c r="Z5" s="1391" t="s">
        <v>821</v>
      </c>
      <c r="AA5" s="1392" t="s">
        <v>828</v>
      </c>
      <c r="AB5" s="1392" t="s">
        <v>829</v>
      </c>
      <c r="AC5" s="1392" t="s">
        <v>883</v>
      </c>
      <c r="AD5" s="1377" t="s">
        <v>887</v>
      </c>
      <c r="AE5" s="1377" t="s">
        <v>891</v>
      </c>
      <c r="AF5" s="1392" t="s">
        <v>888</v>
      </c>
      <c r="AG5" s="1377" t="s">
        <v>939</v>
      </c>
      <c r="AH5" s="1409" t="s">
        <v>968</v>
      </c>
      <c r="AI5" s="1395" t="s">
        <v>1022</v>
      </c>
      <c r="AJ5" s="1395" t="s">
        <v>679</v>
      </c>
      <c r="AK5" s="1395" t="s">
        <v>673</v>
      </c>
    </row>
    <row r="6" spans="1:37" s="588" customFormat="1" ht="15" customHeight="1" x14ac:dyDescent="0.35">
      <c r="A6" s="1403"/>
      <c r="B6" s="1404"/>
      <c r="C6" s="1040"/>
      <c r="D6" s="1403"/>
      <c r="E6" s="1398"/>
      <c r="F6" s="1391"/>
      <c r="G6" s="1391"/>
      <c r="H6" s="1391"/>
      <c r="I6" s="1391"/>
      <c r="J6" s="1392"/>
      <c r="K6" s="1391"/>
      <c r="L6" s="1391"/>
      <c r="M6" s="1391"/>
      <c r="N6" s="1392"/>
      <c r="O6" s="1392"/>
      <c r="P6" s="1391"/>
      <c r="Q6" s="1391"/>
      <c r="R6" s="1391"/>
      <c r="S6" s="1392"/>
      <c r="T6" s="1392"/>
      <c r="U6" s="1391"/>
      <c r="V6" s="1391"/>
      <c r="W6" s="1391"/>
      <c r="X6" s="1393"/>
      <c r="Y6" s="1392"/>
      <c r="Z6" s="1391"/>
      <c r="AA6" s="1392"/>
      <c r="AB6" s="1392"/>
      <c r="AC6" s="1392"/>
      <c r="AD6" s="1377"/>
      <c r="AE6" s="1377"/>
      <c r="AF6" s="1392"/>
      <c r="AG6" s="1377"/>
      <c r="AH6" s="1409"/>
      <c r="AI6" s="1395"/>
      <c r="AJ6" s="1395"/>
      <c r="AK6" s="1395"/>
    </row>
    <row r="7" spans="1:37" s="708" customFormat="1" x14ac:dyDescent="0.35">
      <c r="A7" s="810">
        <v>1</v>
      </c>
      <c r="B7" s="811" t="s">
        <v>5</v>
      </c>
      <c r="C7" s="811"/>
      <c r="D7" s="810" t="s">
        <v>6</v>
      </c>
      <c r="E7" s="812">
        <v>38260495</v>
      </c>
      <c r="F7" s="813">
        <v>18181500</v>
      </c>
      <c r="G7" s="813">
        <v>17748082</v>
      </c>
      <c r="H7" s="813">
        <v>12337597</v>
      </c>
      <c r="I7" s="813">
        <f>3178980+4932900+2762760+2762760+2762760+2762760</f>
        <v>19162920</v>
      </c>
      <c r="J7" s="814">
        <v>17646258</v>
      </c>
      <c r="K7" s="813">
        <v>14223195</v>
      </c>
      <c r="L7" s="813">
        <v>19464861</v>
      </c>
      <c r="M7" s="813">
        <v>11147305</v>
      </c>
      <c r="N7" s="813">
        <f>5809860+5152140+3608325</f>
        <v>14570325</v>
      </c>
      <c r="O7" s="814">
        <v>11433288</v>
      </c>
      <c r="P7" s="815">
        <v>2618050</v>
      </c>
      <c r="Q7" s="813">
        <f>P7</f>
        <v>2618050</v>
      </c>
      <c r="R7" s="815"/>
      <c r="S7" s="797">
        <v>2822760</v>
      </c>
      <c r="T7" s="815"/>
      <c r="U7" s="815">
        <v>3237750</v>
      </c>
      <c r="V7" s="813">
        <v>2844050</v>
      </c>
      <c r="W7" s="815">
        <v>2093753</v>
      </c>
      <c r="X7" s="797">
        <f>1440550+1884300</f>
        <v>3324850</v>
      </c>
      <c r="Y7" s="816">
        <v>1701425</v>
      </c>
      <c r="Z7" s="721">
        <f t="shared" ref="Z7:Z35" si="0">SUM(F7,K7,P7,U7)</f>
        <v>38260495</v>
      </c>
      <c r="AA7" s="817">
        <v>39605048</v>
      </c>
      <c r="AB7" s="817">
        <v>40056993</v>
      </c>
      <c r="AC7" s="818">
        <f t="shared" ref="AC7:AC22" si="1">AE7-Z7</f>
        <v>59660</v>
      </c>
      <c r="AD7" s="819">
        <f>Z7+AC7</f>
        <v>38320155</v>
      </c>
      <c r="AE7" s="820">
        <f>38041194+278961</f>
        <v>38320155</v>
      </c>
      <c r="AF7" s="721">
        <f t="shared" ref="AF7:AF35" si="2">SUM(J7,O7,T7,Y7)</f>
        <v>30780971</v>
      </c>
      <c r="AG7" s="721">
        <v>33474891</v>
      </c>
      <c r="AH7" s="721">
        <f t="shared" ref="AH7:AH38" si="3">I7+N7+S7+X7</f>
        <v>39880855</v>
      </c>
      <c r="AI7" s="1086">
        <f>AJ7-AH7</f>
        <v>-4792000</v>
      </c>
      <c r="AJ7" s="722">
        <f>AK7</f>
        <v>35088855</v>
      </c>
      <c r="AK7" s="591">
        <v>35088855</v>
      </c>
    </row>
    <row r="8" spans="1:37" s="708" customFormat="1" hidden="1" x14ac:dyDescent="0.35">
      <c r="A8" s="810">
        <v>2</v>
      </c>
      <c r="B8" s="811" t="s">
        <v>7</v>
      </c>
      <c r="C8" s="811"/>
      <c r="D8" s="810" t="s">
        <v>8</v>
      </c>
      <c r="E8" s="812"/>
      <c r="F8" s="813"/>
      <c r="G8" s="813">
        <f t="shared" ref="G8:G22" si="4">F8</f>
        <v>0</v>
      </c>
      <c r="H8" s="813"/>
      <c r="I8" s="815"/>
      <c r="J8" s="813"/>
      <c r="K8" s="815"/>
      <c r="L8" s="813">
        <f t="shared" ref="L8:L22" si="5">K8</f>
        <v>0</v>
      </c>
      <c r="M8" s="815"/>
      <c r="N8" s="815"/>
      <c r="O8" s="815"/>
      <c r="P8" s="815"/>
      <c r="Q8" s="813">
        <f t="shared" ref="Q8:Q22" si="6">P8</f>
        <v>0</v>
      </c>
      <c r="R8" s="815"/>
      <c r="S8" s="815"/>
      <c r="T8" s="815"/>
      <c r="U8" s="815"/>
      <c r="V8" s="813">
        <f t="shared" ref="V8:V22" si="7">U8</f>
        <v>0</v>
      </c>
      <c r="W8" s="815"/>
      <c r="X8" s="798"/>
      <c r="Y8" s="815"/>
      <c r="Z8" s="721">
        <f t="shared" si="0"/>
        <v>0</v>
      </c>
      <c r="AA8" s="817">
        <v>0</v>
      </c>
      <c r="AB8" s="817">
        <v>0</v>
      </c>
      <c r="AC8" s="818">
        <f t="shared" si="1"/>
        <v>0</v>
      </c>
      <c r="AD8" s="819">
        <f t="shared" ref="AD8:AD72" si="8">Z8+AC8</f>
        <v>0</v>
      </c>
      <c r="AE8" s="819"/>
      <c r="AF8" s="721">
        <f t="shared" si="2"/>
        <v>0</v>
      </c>
      <c r="AG8" s="721"/>
      <c r="AH8" s="721">
        <f t="shared" si="3"/>
        <v>0</v>
      </c>
      <c r="AI8" s="1086">
        <f t="shared" ref="AI8:AI22" si="9">AJ8-AH8</f>
        <v>0</v>
      </c>
      <c r="AJ8" s="722">
        <f t="shared" ref="AJ8:AJ22" si="10">AK8</f>
        <v>0</v>
      </c>
      <c r="AK8" s="722"/>
    </row>
    <row r="9" spans="1:37" s="708" customFormat="1" hidden="1" x14ac:dyDescent="0.35">
      <c r="A9" s="810">
        <v>3</v>
      </c>
      <c r="B9" s="811" t="s">
        <v>9</v>
      </c>
      <c r="C9" s="811"/>
      <c r="D9" s="810" t="s">
        <v>10</v>
      </c>
      <c r="E9" s="812"/>
      <c r="F9" s="813"/>
      <c r="G9" s="813">
        <f t="shared" si="4"/>
        <v>0</v>
      </c>
      <c r="H9" s="813"/>
      <c r="I9" s="815"/>
      <c r="J9" s="813"/>
      <c r="K9" s="815"/>
      <c r="L9" s="813">
        <f t="shared" si="5"/>
        <v>0</v>
      </c>
      <c r="M9" s="815"/>
      <c r="N9" s="815"/>
      <c r="O9" s="815"/>
      <c r="P9" s="815"/>
      <c r="Q9" s="813">
        <f t="shared" si="6"/>
        <v>0</v>
      </c>
      <c r="R9" s="815"/>
      <c r="S9" s="815"/>
      <c r="T9" s="815"/>
      <c r="U9" s="815"/>
      <c r="V9" s="813">
        <f t="shared" si="7"/>
        <v>0</v>
      </c>
      <c r="W9" s="815"/>
      <c r="X9" s="798"/>
      <c r="Y9" s="815"/>
      <c r="Z9" s="721">
        <f t="shared" si="0"/>
        <v>0</v>
      </c>
      <c r="AA9" s="817">
        <v>0</v>
      </c>
      <c r="AB9" s="817">
        <v>0</v>
      </c>
      <c r="AC9" s="818">
        <f t="shared" si="1"/>
        <v>0</v>
      </c>
      <c r="AD9" s="819">
        <f t="shared" si="8"/>
        <v>0</v>
      </c>
      <c r="AE9" s="819"/>
      <c r="AF9" s="721">
        <f t="shared" si="2"/>
        <v>0</v>
      </c>
      <c r="AG9" s="721"/>
      <c r="AH9" s="721">
        <f t="shared" si="3"/>
        <v>0</v>
      </c>
      <c r="AI9" s="1086">
        <f t="shared" si="9"/>
        <v>0</v>
      </c>
      <c r="AJ9" s="722">
        <f t="shared" si="10"/>
        <v>0</v>
      </c>
      <c r="AK9" s="722"/>
    </row>
    <row r="10" spans="1:37" s="708" customFormat="1" ht="28.5" hidden="1" x14ac:dyDescent="0.35">
      <c r="A10" s="810">
        <v>4</v>
      </c>
      <c r="B10" s="811" t="s">
        <v>11</v>
      </c>
      <c r="C10" s="811"/>
      <c r="D10" s="810" t="s">
        <v>12</v>
      </c>
      <c r="E10" s="812"/>
      <c r="F10" s="813"/>
      <c r="G10" s="813">
        <f t="shared" si="4"/>
        <v>0</v>
      </c>
      <c r="H10" s="813"/>
      <c r="I10" s="815"/>
      <c r="J10" s="813"/>
      <c r="K10" s="815"/>
      <c r="L10" s="813">
        <f t="shared" si="5"/>
        <v>0</v>
      </c>
      <c r="M10" s="815"/>
      <c r="N10" s="815"/>
      <c r="O10" s="815"/>
      <c r="P10" s="815"/>
      <c r="Q10" s="813">
        <f t="shared" si="6"/>
        <v>0</v>
      </c>
      <c r="R10" s="815"/>
      <c r="S10" s="815"/>
      <c r="T10" s="815"/>
      <c r="U10" s="815"/>
      <c r="V10" s="813">
        <f t="shared" si="7"/>
        <v>0</v>
      </c>
      <c r="W10" s="815"/>
      <c r="X10" s="798"/>
      <c r="Y10" s="815"/>
      <c r="Z10" s="721">
        <f t="shared" si="0"/>
        <v>0</v>
      </c>
      <c r="AA10" s="817">
        <v>0</v>
      </c>
      <c r="AB10" s="817">
        <v>0</v>
      </c>
      <c r="AC10" s="818">
        <f t="shared" si="1"/>
        <v>0</v>
      </c>
      <c r="AD10" s="819">
        <f t="shared" si="8"/>
        <v>0</v>
      </c>
      <c r="AE10" s="819"/>
      <c r="AF10" s="721">
        <f t="shared" si="2"/>
        <v>0</v>
      </c>
      <c r="AG10" s="721"/>
      <c r="AH10" s="721">
        <f t="shared" si="3"/>
        <v>0</v>
      </c>
      <c r="AI10" s="1086">
        <f t="shared" si="9"/>
        <v>0</v>
      </c>
      <c r="AJ10" s="722">
        <f t="shared" si="10"/>
        <v>0</v>
      </c>
      <c r="AK10" s="722"/>
    </row>
    <row r="11" spans="1:37" s="708" customFormat="1" hidden="1" x14ac:dyDescent="0.35">
      <c r="A11" s="810">
        <v>5</v>
      </c>
      <c r="B11" s="811" t="s">
        <v>13</v>
      </c>
      <c r="C11" s="811"/>
      <c r="D11" s="810" t="s">
        <v>14</v>
      </c>
      <c r="E11" s="812"/>
      <c r="F11" s="813"/>
      <c r="G11" s="813">
        <f t="shared" si="4"/>
        <v>0</v>
      </c>
      <c r="H11" s="813"/>
      <c r="I11" s="815"/>
      <c r="J11" s="813"/>
      <c r="K11" s="815"/>
      <c r="L11" s="813">
        <f t="shared" si="5"/>
        <v>0</v>
      </c>
      <c r="M11" s="815"/>
      <c r="N11" s="815"/>
      <c r="O11" s="815"/>
      <c r="P11" s="815"/>
      <c r="Q11" s="813">
        <f t="shared" si="6"/>
        <v>0</v>
      </c>
      <c r="R11" s="815"/>
      <c r="S11" s="815"/>
      <c r="T11" s="815"/>
      <c r="U11" s="815"/>
      <c r="V11" s="813">
        <f t="shared" si="7"/>
        <v>0</v>
      </c>
      <c r="W11" s="815"/>
      <c r="X11" s="798"/>
      <c r="Y11" s="815"/>
      <c r="Z11" s="721">
        <f t="shared" si="0"/>
        <v>0</v>
      </c>
      <c r="AA11" s="817">
        <v>0</v>
      </c>
      <c r="AB11" s="817">
        <v>0</v>
      </c>
      <c r="AC11" s="818">
        <f t="shared" si="1"/>
        <v>0</v>
      </c>
      <c r="AD11" s="819">
        <f t="shared" si="8"/>
        <v>0</v>
      </c>
      <c r="AE11" s="819"/>
      <c r="AF11" s="721">
        <f t="shared" si="2"/>
        <v>0</v>
      </c>
      <c r="AG11" s="721"/>
      <c r="AH11" s="721">
        <f t="shared" si="3"/>
        <v>0</v>
      </c>
      <c r="AI11" s="1086">
        <f t="shared" si="9"/>
        <v>0</v>
      </c>
      <c r="AJ11" s="722">
        <f t="shared" si="10"/>
        <v>0</v>
      </c>
      <c r="AK11" s="722"/>
    </row>
    <row r="12" spans="1:37" s="708" customFormat="1" hidden="1" x14ac:dyDescent="0.35">
      <c r="A12" s="810">
        <v>6</v>
      </c>
      <c r="B12" s="811" t="s">
        <v>15</v>
      </c>
      <c r="C12" s="811"/>
      <c r="D12" s="810" t="s">
        <v>16</v>
      </c>
      <c r="E12" s="812"/>
      <c r="F12" s="813"/>
      <c r="G12" s="813">
        <f t="shared" si="4"/>
        <v>0</v>
      </c>
      <c r="H12" s="813"/>
      <c r="I12" s="815"/>
      <c r="J12" s="813"/>
      <c r="K12" s="815">
        <v>0</v>
      </c>
      <c r="L12" s="813">
        <v>3699675</v>
      </c>
      <c r="M12" s="815">
        <v>3699675</v>
      </c>
      <c r="N12" s="815"/>
      <c r="O12" s="815"/>
      <c r="P12" s="815"/>
      <c r="Q12" s="813">
        <f t="shared" si="6"/>
        <v>0</v>
      </c>
      <c r="R12" s="815"/>
      <c r="S12" s="815"/>
      <c r="T12" s="815"/>
      <c r="U12" s="815"/>
      <c r="V12" s="813">
        <f t="shared" si="7"/>
        <v>0</v>
      </c>
      <c r="W12" s="815"/>
      <c r="X12" s="798"/>
      <c r="Y12" s="815"/>
      <c r="Z12" s="721">
        <f t="shared" si="0"/>
        <v>0</v>
      </c>
      <c r="AA12" s="817">
        <v>3699675</v>
      </c>
      <c r="AB12" s="817">
        <v>3699675</v>
      </c>
      <c r="AC12" s="818">
        <f t="shared" si="1"/>
        <v>0</v>
      </c>
      <c r="AD12" s="819">
        <f t="shared" si="8"/>
        <v>0</v>
      </c>
      <c r="AE12" s="819"/>
      <c r="AF12" s="721">
        <f t="shared" si="2"/>
        <v>0</v>
      </c>
      <c r="AG12" s="721"/>
      <c r="AH12" s="721">
        <f t="shared" si="3"/>
        <v>0</v>
      </c>
      <c r="AI12" s="1086">
        <f t="shared" si="9"/>
        <v>0</v>
      </c>
      <c r="AJ12" s="722">
        <f t="shared" si="10"/>
        <v>0</v>
      </c>
      <c r="AK12" s="722"/>
    </row>
    <row r="13" spans="1:37" s="708" customFormat="1" x14ac:dyDescent="0.35">
      <c r="A13" s="810">
        <v>7</v>
      </c>
      <c r="B13" s="811" t="s">
        <v>17</v>
      </c>
      <c r="C13" s="811" t="s">
        <v>1012</v>
      </c>
      <c r="D13" s="810" t="s">
        <v>18</v>
      </c>
      <c r="E13" s="812">
        <v>2400000</v>
      </c>
      <c r="F13" s="813">
        <v>1200000</v>
      </c>
      <c r="G13" s="813">
        <v>1400000</v>
      </c>
      <c r="H13" s="813">
        <v>372520</v>
      </c>
      <c r="I13" s="813">
        <v>1200000</v>
      </c>
      <c r="J13" s="814">
        <v>963052</v>
      </c>
      <c r="K13" s="813">
        <v>600000</v>
      </c>
      <c r="L13" s="813">
        <v>1000000</v>
      </c>
      <c r="M13" s="813">
        <v>372521</v>
      </c>
      <c r="N13" s="813">
        <v>600000</v>
      </c>
      <c r="O13" s="814">
        <v>334575</v>
      </c>
      <c r="P13" s="815">
        <v>200000</v>
      </c>
      <c r="Q13" s="813">
        <f t="shared" si="6"/>
        <v>200000</v>
      </c>
      <c r="R13" s="815"/>
      <c r="S13" s="813">
        <v>200000</v>
      </c>
      <c r="T13" s="815"/>
      <c r="U13" s="815">
        <v>400000</v>
      </c>
      <c r="V13" s="813">
        <v>400000</v>
      </c>
      <c r="W13" s="815">
        <v>149008</v>
      </c>
      <c r="X13" s="797">
        <v>400000</v>
      </c>
      <c r="Y13" s="816">
        <v>223050</v>
      </c>
      <c r="Z13" s="721">
        <f t="shared" si="0"/>
        <v>2400000</v>
      </c>
      <c r="AA13" s="817">
        <v>2800000</v>
      </c>
      <c r="AB13" s="817">
        <v>2800000</v>
      </c>
      <c r="AC13" s="818">
        <f t="shared" si="1"/>
        <v>0</v>
      </c>
      <c r="AD13" s="819">
        <f t="shared" si="8"/>
        <v>2400000</v>
      </c>
      <c r="AE13" s="820">
        <v>2400000</v>
      </c>
      <c r="AF13" s="721">
        <f t="shared" si="2"/>
        <v>1520677</v>
      </c>
      <c r="AG13" s="721">
        <v>1520677</v>
      </c>
      <c r="AH13" s="721">
        <f t="shared" si="3"/>
        <v>2400000</v>
      </c>
      <c r="AI13" s="1086">
        <f t="shared" si="9"/>
        <v>-480089</v>
      </c>
      <c r="AJ13" s="722">
        <f t="shared" si="10"/>
        <v>1919911</v>
      </c>
      <c r="AK13" s="591">
        <v>1919911</v>
      </c>
    </row>
    <row r="14" spans="1:37" s="708" customFormat="1" hidden="1" x14ac:dyDescent="0.35">
      <c r="A14" s="810">
        <v>8</v>
      </c>
      <c r="B14" s="811" t="s">
        <v>19</v>
      </c>
      <c r="C14" s="811"/>
      <c r="D14" s="810" t="s">
        <v>20</v>
      </c>
      <c r="E14" s="812"/>
      <c r="F14" s="813"/>
      <c r="G14" s="813">
        <f t="shared" si="4"/>
        <v>0</v>
      </c>
      <c r="H14" s="813"/>
      <c r="I14" s="815"/>
      <c r="J14" s="813"/>
      <c r="K14" s="815"/>
      <c r="L14" s="813">
        <f t="shared" si="5"/>
        <v>0</v>
      </c>
      <c r="M14" s="815"/>
      <c r="N14" s="815"/>
      <c r="O14" s="815"/>
      <c r="P14" s="815"/>
      <c r="Q14" s="813">
        <f t="shared" si="6"/>
        <v>0</v>
      </c>
      <c r="R14" s="815"/>
      <c r="S14" s="815"/>
      <c r="T14" s="815"/>
      <c r="U14" s="815"/>
      <c r="V14" s="813">
        <f t="shared" si="7"/>
        <v>0</v>
      </c>
      <c r="W14" s="815"/>
      <c r="X14" s="798"/>
      <c r="Y14" s="815"/>
      <c r="Z14" s="721">
        <f t="shared" si="0"/>
        <v>0</v>
      </c>
      <c r="AA14" s="817">
        <v>0</v>
      </c>
      <c r="AB14" s="817">
        <v>0</v>
      </c>
      <c r="AC14" s="818">
        <f t="shared" si="1"/>
        <v>0</v>
      </c>
      <c r="AD14" s="819">
        <f t="shared" si="8"/>
        <v>0</v>
      </c>
      <c r="AE14" s="819"/>
      <c r="AF14" s="721">
        <f t="shared" si="2"/>
        <v>0</v>
      </c>
      <c r="AG14" s="721"/>
      <c r="AH14" s="721">
        <f t="shared" si="3"/>
        <v>0</v>
      </c>
      <c r="AI14" s="1086">
        <f t="shared" si="9"/>
        <v>0</v>
      </c>
      <c r="AJ14" s="722">
        <f t="shared" si="10"/>
        <v>0</v>
      </c>
      <c r="AK14" s="722"/>
    </row>
    <row r="15" spans="1:37" s="708" customFormat="1" x14ac:dyDescent="0.35">
      <c r="A15" s="810">
        <v>9</v>
      </c>
      <c r="B15" s="811" t="s">
        <v>21</v>
      </c>
      <c r="C15" s="811"/>
      <c r="D15" s="810" t="s">
        <v>22</v>
      </c>
      <c r="E15" s="812">
        <v>100000</v>
      </c>
      <c r="F15" s="813">
        <v>100000</v>
      </c>
      <c r="G15" s="813">
        <f t="shared" si="4"/>
        <v>100000</v>
      </c>
      <c r="H15" s="813">
        <v>26420</v>
      </c>
      <c r="I15" s="815">
        <v>40000</v>
      </c>
      <c r="J15" s="814">
        <v>28080</v>
      </c>
      <c r="K15" s="815"/>
      <c r="L15" s="813">
        <f t="shared" si="5"/>
        <v>0</v>
      </c>
      <c r="M15" s="815"/>
      <c r="N15" s="815"/>
      <c r="O15" s="815"/>
      <c r="P15" s="815"/>
      <c r="Q15" s="813">
        <f t="shared" si="6"/>
        <v>0</v>
      </c>
      <c r="R15" s="815"/>
      <c r="S15" s="815"/>
      <c r="T15" s="815"/>
      <c r="U15" s="815"/>
      <c r="V15" s="813">
        <f t="shared" si="7"/>
        <v>0</v>
      </c>
      <c r="W15" s="815"/>
      <c r="X15" s="798"/>
      <c r="Y15" s="815"/>
      <c r="Z15" s="721">
        <f t="shared" si="0"/>
        <v>100000</v>
      </c>
      <c r="AA15" s="817">
        <v>0</v>
      </c>
      <c r="AB15" s="817">
        <v>0</v>
      </c>
      <c r="AC15" s="818">
        <f t="shared" si="1"/>
        <v>0</v>
      </c>
      <c r="AD15" s="819">
        <f t="shared" si="8"/>
        <v>100000</v>
      </c>
      <c r="AE15" s="820">
        <v>100000</v>
      </c>
      <c r="AF15" s="721">
        <f t="shared" si="2"/>
        <v>28080</v>
      </c>
      <c r="AG15" s="721">
        <v>28080</v>
      </c>
      <c r="AH15" s="721">
        <f t="shared" si="3"/>
        <v>40000</v>
      </c>
      <c r="AI15" s="1086">
        <f t="shared" si="9"/>
        <v>-9940</v>
      </c>
      <c r="AJ15" s="722">
        <f t="shared" si="10"/>
        <v>30060</v>
      </c>
      <c r="AK15" s="591">
        <v>30060</v>
      </c>
    </row>
    <row r="16" spans="1:37" s="708" customFormat="1" x14ac:dyDescent="0.35">
      <c r="A16" s="810">
        <v>10</v>
      </c>
      <c r="B16" s="811" t="s">
        <v>23</v>
      </c>
      <c r="C16" s="811"/>
      <c r="D16" s="810" t="s">
        <v>24</v>
      </c>
      <c r="E16" s="812">
        <v>144000</v>
      </c>
      <c r="F16" s="813">
        <v>72000</v>
      </c>
      <c r="G16" s="813">
        <v>72000</v>
      </c>
      <c r="H16" s="813">
        <v>34000</v>
      </c>
      <c r="I16" s="813">
        <v>72000</v>
      </c>
      <c r="J16" s="814">
        <v>42000</v>
      </c>
      <c r="K16" s="813">
        <v>36000</v>
      </c>
      <c r="L16" s="813">
        <v>60000</v>
      </c>
      <c r="M16" s="813">
        <v>30000</v>
      </c>
      <c r="N16" s="813">
        <v>36000</v>
      </c>
      <c r="O16" s="814">
        <v>18000</v>
      </c>
      <c r="P16" s="815">
        <v>12000</v>
      </c>
      <c r="Q16" s="813">
        <f t="shared" si="6"/>
        <v>12000</v>
      </c>
      <c r="R16" s="815"/>
      <c r="S16" s="813">
        <v>12000</v>
      </c>
      <c r="T16" s="815"/>
      <c r="U16" s="815">
        <v>24000</v>
      </c>
      <c r="V16" s="813">
        <v>24000</v>
      </c>
      <c r="W16" s="815">
        <v>12000</v>
      </c>
      <c r="X16" s="797">
        <v>24000</v>
      </c>
      <c r="Y16" s="816">
        <v>12000</v>
      </c>
      <c r="Z16" s="721">
        <f t="shared" si="0"/>
        <v>144000</v>
      </c>
      <c r="AA16" s="817">
        <v>156000</v>
      </c>
      <c r="AB16" s="817">
        <v>156000</v>
      </c>
      <c r="AC16" s="818">
        <f t="shared" si="1"/>
        <v>0</v>
      </c>
      <c r="AD16" s="819">
        <f t="shared" si="8"/>
        <v>144000</v>
      </c>
      <c r="AE16" s="820">
        <v>144000</v>
      </c>
      <c r="AF16" s="721">
        <f t="shared" si="2"/>
        <v>72000</v>
      </c>
      <c r="AG16" s="721">
        <v>72000</v>
      </c>
      <c r="AH16" s="721">
        <f t="shared" si="3"/>
        <v>144000</v>
      </c>
      <c r="AI16" s="1086">
        <f t="shared" si="9"/>
        <v>-15000</v>
      </c>
      <c r="AJ16" s="722">
        <f t="shared" si="10"/>
        <v>129000</v>
      </c>
      <c r="AK16" s="591">
        <v>129000</v>
      </c>
    </row>
    <row r="17" spans="1:37" s="708" customFormat="1" hidden="1" x14ac:dyDescent="0.35">
      <c r="A17" s="810">
        <v>11</v>
      </c>
      <c r="B17" s="811" t="s">
        <v>25</v>
      </c>
      <c r="C17" s="811"/>
      <c r="D17" s="810" t="s">
        <v>26</v>
      </c>
      <c r="E17" s="812"/>
      <c r="F17" s="813"/>
      <c r="G17" s="813">
        <f t="shared" si="4"/>
        <v>0</v>
      </c>
      <c r="H17" s="813"/>
      <c r="I17" s="815"/>
      <c r="J17" s="813"/>
      <c r="K17" s="815"/>
      <c r="L17" s="813">
        <f t="shared" si="5"/>
        <v>0</v>
      </c>
      <c r="M17" s="815"/>
      <c r="N17" s="815"/>
      <c r="O17" s="815"/>
      <c r="P17" s="815"/>
      <c r="Q17" s="813">
        <f t="shared" si="6"/>
        <v>0</v>
      </c>
      <c r="R17" s="815"/>
      <c r="S17" s="815"/>
      <c r="T17" s="815"/>
      <c r="U17" s="815"/>
      <c r="V17" s="813">
        <f t="shared" si="7"/>
        <v>0</v>
      </c>
      <c r="W17" s="815"/>
      <c r="X17" s="798"/>
      <c r="Y17" s="815"/>
      <c r="Z17" s="721">
        <f t="shared" si="0"/>
        <v>0</v>
      </c>
      <c r="AA17" s="817">
        <v>0</v>
      </c>
      <c r="AB17" s="817">
        <v>0</v>
      </c>
      <c r="AC17" s="818">
        <f t="shared" si="1"/>
        <v>0</v>
      </c>
      <c r="AD17" s="819">
        <f t="shared" si="8"/>
        <v>0</v>
      </c>
      <c r="AE17" s="819"/>
      <c r="AF17" s="721">
        <f t="shared" si="2"/>
        <v>0</v>
      </c>
      <c r="AG17" s="721"/>
      <c r="AH17" s="721">
        <f t="shared" si="3"/>
        <v>0</v>
      </c>
      <c r="AI17" s="1086">
        <f t="shared" si="9"/>
        <v>0</v>
      </c>
      <c r="AJ17" s="722">
        <f t="shared" si="10"/>
        <v>0</v>
      </c>
      <c r="AK17" s="722"/>
    </row>
    <row r="18" spans="1:37" s="708" customFormat="1" hidden="1" x14ac:dyDescent="0.35">
      <c r="A18" s="810">
        <v>12</v>
      </c>
      <c r="B18" s="811" t="s">
        <v>27</v>
      </c>
      <c r="C18" s="811"/>
      <c r="D18" s="810" t="s">
        <v>28</v>
      </c>
      <c r="E18" s="812"/>
      <c r="F18" s="813"/>
      <c r="G18" s="813">
        <f t="shared" si="4"/>
        <v>0</v>
      </c>
      <c r="H18" s="813"/>
      <c r="I18" s="815"/>
      <c r="J18" s="813"/>
      <c r="K18" s="815"/>
      <c r="L18" s="813">
        <f t="shared" si="5"/>
        <v>0</v>
      </c>
      <c r="M18" s="815"/>
      <c r="N18" s="815"/>
      <c r="O18" s="815"/>
      <c r="P18" s="815"/>
      <c r="Q18" s="813">
        <f t="shared" si="6"/>
        <v>0</v>
      </c>
      <c r="R18" s="815"/>
      <c r="S18" s="815"/>
      <c r="T18" s="815"/>
      <c r="U18" s="815"/>
      <c r="V18" s="813">
        <f t="shared" si="7"/>
        <v>0</v>
      </c>
      <c r="W18" s="815"/>
      <c r="X18" s="798"/>
      <c r="Y18" s="815"/>
      <c r="Z18" s="721">
        <f t="shared" si="0"/>
        <v>0</v>
      </c>
      <c r="AA18" s="817">
        <v>0</v>
      </c>
      <c r="AB18" s="817">
        <v>0</v>
      </c>
      <c r="AC18" s="818">
        <f t="shared" si="1"/>
        <v>0</v>
      </c>
      <c r="AD18" s="819">
        <f t="shared" si="8"/>
        <v>0</v>
      </c>
      <c r="AE18" s="819"/>
      <c r="AF18" s="721">
        <f t="shared" si="2"/>
        <v>0</v>
      </c>
      <c r="AG18" s="721"/>
      <c r="AH18" s="721">
        <f t="shared" si="3"/>
        <v>0</v>
      </c>
      <c r="AI18" s="1086">
        <f t="shared" si="9"/>
        <v>0</v>
      </c>
      <c r="AJ18" s="722">
        <f t="shared" si="10"/>
        <v>0</v>
      </c>
      <c r="AK18" s="722"/>
    </row>
    <row r="19" spans="1:37" s="708" customFormat="1" x14ac:dyDescent="0.35">
      <c r="A19" s="810">
        <v>13</v>
      </c>
      <c r="B19" s="811" t="s">
        <v>29</v>
      </c>
      <c r="C19" s="811"/>
      <c r="D19" s="810" t="s">
        <v>30</v>
      </c>
      <c r="E19" s="821">
        <v>763796</v>
      </c>
      <c r="F19" s="813"/>
      <c r="G19" s="813">
        <f t="shared" si="4"/>
        <v>0</v>
      </c>
      <c r="H19" s="813">
        <v>107706</v>
      </c>
      <c r="I19" s="815">
        <v>0</v>
      </c>
      <c r="J19" s="814">
        <v>322706</v>
      </c>
      <c r="K19" s="815"/>
      <c r="L19" s="813">
        <f t="shared" si="5"/>
        <v>0</v>
      </c>
      <c r="M19" s="815">
        <v>136854</v>
      </c>
      <c r="N19" s="815">
        <v>0</v>
      </c>
      <c r="O19" s="814">
        <v>48720</v>
      </c>
      <c r="P19" s="815">
        <v>763796</v>
      </c>
      <c r="Q19" s="813">
        <f t="shared" si="6"/>
        <v>763796</v>
      </c>
      <c r="R19" s="815"/>
      <c r="S19" s="815">
        <v>0</v>
      </c>
      <c r="T19" s="815"/>
      <c r="U19" s="815"/>
      <c r="V19" s="813">
        <f t="shared" si="7"/>
        <v>0</v>
      </c>
      <c r="W19" s="815">
        <v>220395</v>
      </c>
      <c r="X19" s="798">
        <v>0</v>
      </c>
      <c r="Y19" s="816">
        <v>295887</v>
      </c>
      <c r="Z19" s="721">
        <f t="shared" si="0"/>
        <v>763796</v>
      </c>
      <c r="AA19" s="817">
        <v>0</v>
      </c>
      <c r="AB19" s="817">
        <v>0</v>
      </c>
      <c r="AC19" s="818">
        <f t="shared" si="1"/>
        <v>0</v>
      </c>
      <c r="AD19" s="819">
        <f t="shared" si="8"/>
        <v>763796</v>
      </c>
      <c r="AE19" s="820">
        <v>763796</v>
      </c>
      <c r="AF19" s="721">
        <f t="shared" si="2"/>
        <v>667313</v>
      </c>
      <c r="AG19" s="721">
        <v>703463</v>
      </c>
      <c r="AH19" s="721">
        <f t="shared" si="3"/>
        <v>0</v>
      </c>
      <c r="AI19" s="1086">
        <f t="shared" si="9"/>
        <v>1462670</v>
      </c>
      <c r="AJ19" s="722">
        <f t="shared" si="10"/>
        <v>1462670</v>
      </c>
      <c r="AK19" s="591">
        <v>1462670</v>
      </c>
    </row>
    <row r="20" spans="1:37" s="718" customFormat="1" ht="28.5" x14ac:dyDescent="0.35">
      <c r="A20" s="710">
        <v>14</v>
      </c>
      <c r="B20" s="711" t="s">
        <v>31</v>
      </c>
      <c r="C20" s="711"/>
      <c r="D20" s="710" t="s">
        <v>32</v>
      </c>
      <c r="E20" s="712">
        <f>SUM(E7:E19)</f>
        <v>41668291</v>
      </c>
      <c r="F20" s="713">
        <f t="shared" ref="F20:Y20" si="11">SUM(F7:F19)</f>
        <v>19553500</v>
      </c>
      <c r="G20" s="713">
        <f t="shared" si="11"/>
        <v>19320082</v>
      </c>
      <c r="H20" s="713">
        <f t="shared" si="11"/>
        <v>12878243</v>
      </c>
      <c r="I20" s="713">
        <f>SUM(I7:I19)</f>
        <v>20474920</v>
      </c>
      <c r="J20" s="713">
        <f t="shared" si="11"/>
        <v>19002096</v>
      </c>
      <c r="K20" s="713">
        <f t="shared" si="11"/>
        <v>14859195</v>
      </c>
      <c r="L20" s="713">
        <f t="shared" si="11"/>
        <v>24224536</v>
      </c>
      <c r="M20" s="713">
        <f t="shared" si="11"/>
        <v>15386355</v>
      </c>
      <c r="N20" s="713">
        <f>SUM(N7:N19)</f>
        <v>15206325</v>
      </c>
      <c r="O20" s="713">
        <f t="shared" si="11"/>
        <v>11834583</v>
      </c>
      <c r="P20" s="713">
        <f t="shared" si="11"/>
        <v>3593846</v>
      </c>
      <c r="Q20" s="713">
        <f t="shared" si="11"/>
        <v>3593846</v>
      </c>
      <c r="R20" s="713">
        <f t="shared" si="11"/>
        <v>0</v>
      </c>
      <c r="S20" s="713">
        <f>SUM(S7:S19)</f>
        <v>3034760</v>
      </c>
      <c r="T20" s="713">
        <f t="shared" si="11"/>
        <v>0</v>
      </c>
      <c r="U20" s="713">
        <f t="shared" si="11"/>
        <v>3661750</v>
      </c>
      <c r="V20" s="713">
        <f t="shared" si="11"/>
        <v>3268050</v>
      </c>
      <c r="W20" s="713">
        <f t="shared" si="11"/>
        <v>2475156</v>
      </c>
      <c r="X20" s="793">
        <f t="shared" ref="X20" si="12">SUM(X7:X19)</f>
        <v>3748850</v>
      </c>
      <c r="Y20" s="713">
        <f t="shared" si="11"/>
        <v>2232362</v>
      </c>
      <c r="Z20" s="714">
        <f t="shared" si="0"/>
        <v>41668291</v>
      </c>
      <c r="AA20" s="714">
        <f>SUM(G20,L20,Q20,V20)</f>
        <v>50406514</v>
      </c>
      <c r="AB20" s="714">
        <f>SUM(H20,M20,R20,W20)</f>
        <v>30739754</v>
      </c>
      <c r="AC20" s="715">
        <f t="shared" si="1"/>
        <v>59660</v>
      </c>
      <c r="AD20" s="716">
        <f t="shared" si="8"/>
        <v>41727951</v>
      </c>
      <c r="AE20" s="717">
        <f>SUM(AE7:AE19)</f>
        <v>41727951</v>
      </c>
      <c r="AF20" s="714">
        <f t="shared" si="2"/>
        <v>33069041</v>
      </c>
      <c r="AG20" s="714">
        <f>SUM(AG7:AG19)</f>
        <v>35799111</v>
      </c>
      <c r="AH20" s="714">
        <f t="shared" si="3"/>
        <v>42464855</v>
      </c>
      <c r="AI20" s="714">
        <f>SUM(AI7:AI19)</f>
        <v>-3834359</v>
      </c>
      <c r="AJ20" s="714">
        <f t="shared" ref="AJ20:AK20" si="13">SUM(AJ7:AJ19)</f>
        <v>38630496</v>
      </c>
      <c r="AK20" s="714">
        <f t="shared" si="13"/>
        <v>38630496</v>
      </c>
    </row>
    <row r="21" spans="1:37" s="708" customFormat="1" x14ac:dyDescent="0.35">
      <c r="A21" s="822"/>
      <c r="B21" s="823" t="s">
        <v>795</v>
      </c>
      <c r="C21" s="823"/>
      <c r="D21" s="822" t="s">
        <v>34</v>
      </c>
      <c r="E21" s="800">
        <v>144000</v>
      </c>
      <c r="F21" s="824"/>
      <c r="G21" s="813">
        <f t="shared" si="4"/>
        <v>0</v>
      </c>
      <c r="H21" s="824">
        <v>290500</v>
      </c>
      <c r="I21" s="824"/>
      <c r="J21" s="814">
        <v>45000</v>
      </c>
      <c r="K21" s="824"/>
      <c r="L21" s="813">
        <f t="shared" si="5"/>
        <v>0</v>
      </c>
      <c r="M21" s="824">
        <v>83000</v>
      </c>
      <c r="N21" s="824"/>
      <c r="O21" s="824"/>
      <c r="P21" s="824">
        <v>144000</v>
      </c>
      <c r="Q21" s="813">
        <f t="shared" si="6"/>
        <v>144000</v>
      </c>
      <c r="R21" s="824"/>
      <c r="S21" s="824">
        <v>80000</v>
      </c>
      <c r="T21" s="824"/>
      <c r="U21" s="824"/>
      <c r="V21" s="813">
        <f t="shared" si="7"/>
        <v>0</v>
      </c>
      <c r="W21" s="824"/>
      <c r="X21" s="797"/>
      <c r="Y21" s="816">
        <v>312684</v>
      </c>
      <c r="Z21" s="721">
        <f t="shared" si="0"/>
        <v>144000</v>
      </c>
      <c r="AA21" s="817">
        <v>0</v>
      </c>
      <c r="AB21" s="817">
        <v>0</v>
      </c>
      <c r="AC21" s="818">
        <f t="shared" si="1"/>
        <v>219301</v>
      </c>
      <c r="AD21" s="819">
        <f t="shared" si="8"/>
        <v>363301</v>
      </c>
      <c r="AE21" s="820">
        <v>363301</v>
      </c>
      <c r="AF21" s="721">
        <f t="shared" si="2"/>
        <v>357684</v>
      </c>
      <c r="AG21" s="721">
        <v>579701</v>
      </c>
      <c r="AH21" s="721">
        <f t="shared" si="3"/>
        <v>80000</v>
      </c>
      <c r="AI21" s="1086">
        <f t="shared" si="9"/>
        <v>2971500</v>
      </c>
      <c r="AJ21" s="722">
        <f t="shared" si="10"/>
        <v>3051500</v>
      </c>
      <c r="AK21" s="591">
        <v>3051500</v>
      </c>
    </row>
    <row r="22" spans="1:37" s="708" customFormat="1" x14ac:dyDescent="0.35">
      <c r="A22" s="810">
        <v>15</v>
      </c>
      <c r="B22" s="823" t="s">
        <v>409</v>
      </c>
      <c r="C22" s="823"/>
      <c r="D22" s="810" t="s">
        <v>35</v>
      </c>
      <c r="E22" s="812">
        <v>20000</v>
      </c>
      <c r="F22" s="813"/>
      <c r="G22" s="813">
        <f t="shared" si="4"/>
        <v>0</v>
      </c>
      <c r="H22" s="813"/>
      <c r="I22" s="815"/>
      <c r="J22" s="813"/>
      <c r="K22" s="815"/>
      <c r="L22" s="813">
        <f t="shared" si="5"/>
        <v>0</v>
      </c>
      <c r="M22" s="815"/>
      <c r="N22" s="815"/>
      <c r="O22" s="815"/>
      <c r="P22" s="815">
        <v>20000</v>
      </c>
      <c r="Q22" s="813">
        <f t="shared" si="6"/>
        <v>20000</v>
      </c>
      <c r="R22" s="815"/>
      <c r="S22" s="815">
        <v>15000</v>
      </c>
      <c r="T22" s="815"/>
      <c r="U22" s="815"/>
      <c r="V22" s="813">
        <f t="shared" si="7"/>
        <v>0</v>
      </c>
      <c r="W22" s="815"/>
      <c r="X22" s="798"/>
      <c r="Y22" s="815"/>
      <c r="Z22" s="721">
        <f t="shared" si="0"/>
        <v>20000</v>
      </c>
      <c r="AA22" s="817">
        <v>0</v>
      </c>
      <c r="AB22" s="817">
        <v>0</v>
      </c>
      <c r="AC22" s="818">
        <f t="shared" si="1"/>
        <v>0</v>
      </c>
      <c r="AD22" s="819">
        <f t="shared" si="8"/>
        <v>20000</v>
      </c>
      <c r="AE22" s="820">
        <v>20000</v>
      </c>
      <c r="AF22" s="721">
        <f t="shared" si="2"/>
        <v>0</v>
      </c>
      <c r="AG22" s="721"/>
      <c r="AH22" s="721">
        <f t="shared" si="3"/>
        <v>15000</v>
      </c>
      <c r="AI22" s="1086">
        <f t="shared" si="9"/>
        <v>-15000</v>
      </c>
      <c r="AJ22" s="722">
        <f t="shared" si="10"/>
        <v>0</v>
      </c>
      <c r="AK22" s="722"/>
    </row>
    <row r="23" spans="1:37" s="718" customFormat="1" x14ac:dyDescent="0.35">
      <c r="A23" s="710">
        <v>16</v>
      </c>
      <c r="B23" s="711" t="s">
        <v>36</v>
      </c>
      <c r="C23" s="711"/>
      <c r="D23" s="710" t="s">
        <v>37</v>
      </c>
      <c r="E23" s="712">
        <f>SUM(E21:E22)</f>
        <v>164000</v>
      </c>
      <c r="F23" s="712">
        <f t="shared" ref="F23:Y23" si="14">SUM(F21:F22)</f>
        <v>0</v>
      </c>
      <c r="G23" s="712">
        <f t="shared" si="14"/>
        <v>0</v>
      </c>
      <c r="H23" s="712">
        <f t="shared" si="14"/>
        <v>290500</v>
      </c>
      <c r="I23" s="712">
        <f t="shared" si="14"/>
        <v>0</v>
      </c>
      <c r="J23" s="712">
        <f t="shared" si="14"/>
        <v>45000</v>
      </c>
      <c r="K23" s="712">
        <f t="shared" si="14"/>
        <v>0</v>
      </c>
      <c r="L23" s="712">
        <f t="shared" si="14"/>
        <v>0</v>
      </c>
      <c r="M23" s="712">
        <f t="shared" si="14"/>
        <v>83000</v>
      </c>
      <c r="N23" s="712">
        <f t="shared" ref="N23" si="15">SUM(N21:N22)</f>
        <v>0</v>
      </c>
      <c r="O23" s="712">
        <f t="shared" si="14"/>
        <v>0</v>
      </c>
      <c r="P23" s="712">
        <f t="shared" si="14"/>
        <v>164000</v>
      </c>
      <c r="Q23" s="712">
        <f t="shared" si="14"/>
        <v>164000</v>
      </c>
      <c r="R23" s="712">
        <f t="shared" si="14"/>
        <v>0</v>
      </c>
      <c r="S23" s="712">
        <f>SUM(S21:S22)</f>
        <v>95000</v>
      </c>
      <c r="T23" s="712">
        <f t="shared" si="14"/>
        <v>0</v>
      </c>
      <c r="U23" s="712">
        <f t="shared" si="14"/>
        <v>0</v>
      </c>
      <c r="V23" s="712">
        <f t="shared" si="14"/>
        <v>0</v>
      </c>
      <c r="W23" s="712">
        <f t="shared" si="14"/>
        <v>0</v>
      </c>
      <c r="X23" s="794">
        <f t="shared" si="14"/>
        <v>0</v>
      </c>
      <c r="Y23" s="712">
        <f t="shared" si="14"/>
        <v>312684</v>
      </c>
      <c r="Z23" s="714">
        <f t="shared" si="0"/>
        <v>164000</v>
      </c>
      <c r="AA23" s="714">
        <f>SUM(G23,L23,Q23,V23)</f>
        <v>164000</v>
      </c>
      <c r="AB23" s="714">
        <f>SUM(H23,M23,R23,W23)</f>
        <v>373500</v>
      </c>
      <c r="AC23" s="714">
        <f>SUM(AC21:AC22)</f>
        <v>219301</v>
      </c>
      <c r="AD23" s="714">
        <f>SUM(K23,P23,U23,Z23)</f>
        <v>328000</v>
      </c>
      <c r="AE23" s="714">
        <f>SUM(AE21,AE22)</f>
        <v>383301</v>
      </c>
      <c r="AF23" s="714">
        <f t="shared" si="2"/>
        <v>357684</v>
      </c>
      <c r="AG23" s="714">
        <f>SUM(AG21:AG22)</f>
        <v>579701</v>
      </c>
      <c r="AH23" s="714">
        <f t="shared" si="3"/>
        <v>95000</v>
      </c>
      <c r="AI23" s="714">
        <f>SUM(AI21:AI22)</f>
        <v>2956500</v>
      </c>
      <c r="AJ23" s="714">
        <f t="shared" ref="AJ23:AK23" si="16">SUM(AJ21:AJ22)</f>
        <v>3051500</v>
      </c>
      <c r="AK23" s="714">
        <f t="shared" si="16"/>
        <v>3051500</v>
      </c>
    </row>
    <row r="24" spans="1:37" s="718" customFormat="1" x14ac:dyDescent="0.35">
      <c r="A24" s="710">
        <v>17</v>
      </c>
      <c r="B24" s="711" t="s">
        <v>38</v>
      </c>
      <c r="C24" s="711"/>
      <c r="D24" s="710" t="s">
        <v>39</v>
      </c>
      <c r="E24" s="712">
        <f>SUM(E23,E20)</f>
        <v>41832291</v>
      </c>
      <c r="F24" s="712">
        <f t="shared" ref="F24:Y24" si="17">SUM(F23,F20)</f>
        <v>19553500</v>
      </c>
      <c r="G24" s="712">
        <f t="shared" si="17"/>
        <v>19320082</v>
      </c>
      <c r="H24" s="712">
        <f t="shared" si="17"/>
        <v>13168743</v>
      </c>
      <c r="I24" s="712">
        <f>SUM(I23,I20)</f>
        <v>20474920</v>
      </c>
      <c r="J24" s="712">
        <f t="shared" si="17"/>
        <v>19047096</v>
      </c>
      <c r="K24" s="712">
        <f t="shared" si="17"/>
        <v>14859195</v>
      </c>
      <c r="L24" s="712">
        <f t="shared" si="17"/>
        <v>24224536</v>
      </c>
      <c r="M24" s="712">
        <f t="shared" si="17"/>
        <v>15469355</v>
      </c>
      <c r="N24" s="712">
        <f t="shared" ref="N24" si="18">SUM(N23,N20)</f>
        <v>15206325</v>
      </c>
      <c r="O24" s="712">
        <f t="shared" si="17"/>
        <v>11834583</v>
      </c>
      <c r="P24" s="712">
        <f t="shared" si="17"/>
        <v>3757846</v>
      </c>
      <c r="Q24" s="712">
        <f t="shared" si="17"/>
        <v>3757846</v>
      </c>
      <c r="R24" s="712">
        <f t="shared" si="17"/>
        <v>0</v>
      </c>
      <c r="S24" s="712">
        <f>SUM(S23,S20)</f>
        <v>3129760</v>
      </c>
      <c r="T24" s="712">
        <f t="shared" si="17"/>
        <v>0</v>
      </c>
      <c r="U24" s="712">
        <f t="shared" si="17"/>
        <v>3661750</v>
      </c>
      <c r="V24" s="712">
        <f t="shared" si="17"/>
        <v>3268050</v>
      </c>
      <c r="W24" s="712">
        <f t="shared" si="17"/>
        <v>2475156</v>
      </c>
      <c r="X24" s="794">
        <f t="shared" si="17"/>
        <v>3748850</v>
      </c>
      <c r="Y24" s="712">
        <f t="shared" si="17"/>
        <v>2545046</v>
      </c>
      <c r="Z24" s="714">
        <f t="shared" si="0"/>
        <v>41832291</v>
      </c>
      <c r="AA24" s="719">
        <v>46260723</v>
      </c>
      <c r="AB24" s="719">
        <v>46712668</v>
      </c>
      <c r="AC24" s="715">
        <f>AE24-Z24</f>
        <v>278961</v>
      </c>
      <c r="AD24" s="716">
        <f t="shared" si="8"/>
        <v>42111252</v>
      </c>
      <c r="AE24" s="717">
        <f>SUM(AE23,AE20)</f>
        <v>42111252</v>
      </c>
      <c r="AF24" s="714">
        <f t="shared" si="2"/>
        <v>33426725</v>
      </c>
      <c r="AG24" s="714">
        <f>AG20+AG23</f>
        <v>36378812</v>
      </c>
      <c r="AH24" s="714">
        <f t="shared" si="3"/>
        <v>42559855</v>
      </c>
      <c r="AI24" s="714">
        <f>AI23+AI20</f>
        <v>-877859</v>
      </c>
      <c r="AJ24" s="714">
        <f t="shared" ref="AJ24:AK24" si="19">AJ23+AJ20</f>
        <v>41681996</v>
      </c>
      <c r="AK24" s="714">
        <f t="shared" si="19"/>
        <v>41681996</v>
      </c>
    </row>
    <row r="25" spans="1:37" ht="28.5" x14ac:dyDescent="0.35">
      <c r="A25" s="710">
        <v>18</v>
      </c>
      <c r="B25" s="711" t="s">
        <v>40</v>
      </c>
      <c r="C25" s="711"/>
      <c r="D25" s="710" t="s">
        <v>41</v>
      </c>
      <c r="E25" s="712">
        <v>7460796</v>
      </c>
      <c r="F25" s="713">
        <v>3545392</v>
      </c>
      <c r="G25" s="713">
        <v>3877183</v>
      </c>
      <c r="H25" s="713">
        <v>2891603</v>
      </c>
      <c r="I25" s="713">
        <f>I24*0.175</f>
        <v>3583111</v>
      </c>
      <c r="J25" s="521">
        <v>3747603</v>
      </c>
      <c r="K25" s="713">
        <v>2773523</v>
      </c>
      <c r="L25" s="713">
        <v>4902174</v>
      </c>
      <c r="M25" s="713">
        <v>3139686</v>
      </c>
      <c r="N25" s="713">
        <f>N24*0.175</f>
        <v>2661106.875</v>
      </c>
      <c r="O25" s="521">
        <v>2271342</v>
      </c>
      <c r="P25" s="713">
        <v>510520</v>
      </c>
      <c r="Q25" s="713">
        <v>0</v>
      </c>
      <c r="R25" s="713">
        <v>4961</v>
      </c>
      <c r="S25" s="713">
        <f>S24*0.175</f>
        <v>547708</v>
      </c>
      <c r="T25" s="521">
        <v>1696</v>
      </c>
      <c r="U25" s="713">
        <v>631361</v>
      </c>
      <c r="V25" s="713">
        <v>696880</v>
      </c>
      <c r="W25" s="713">
        <v>510577</v>
      </c>
      <c r="X25" s="793">
        <f>X24*0.175</f>
        <v>656048.75</v>
      </c>
      <c r="Y25" s="825">
        <v>682520</v>
      </c>
      <c r="Z25" s="714">
        <f t="shared" si="0"/>
        <v>7460796</v>
      </c>
      <c r="AA25" s="826">
        <v>9476237</v>
      </c>
      <c r="AB25" s="826">
        <v>9476237</v>
      </c>
      <c r="AC25" s="827">
        <f>AE25-Z25</f>
        <v>213940</v>
      </c>
      <c r="AD25" s="668">
        <f t="shared" si="8"/>
        <v>7674736</v>
      </c>
      <c r="AE25" s="717">
        <f>7460796+213940</f>
        <v>7674736</v>
      </c>
      <c r="AF25" s="714">
        <f t="shared" si="2"/>
        <v>6703161</v>
      </c>
      <c r="AG25" s="714">
        <v>7216231</v>
      </c>
      <c r="AH25" s="714">
        <f t="shared" si="3"/>
        <v>7447974.625</v>
      </c>
      <c r="AI25" s="1086">
        <f t="shared" ref="AI25" si="20">AJ25-AH25</f>
        <v>234279.375</v>
      </c>
      <c r="AJ25" s="722">
        <f t="shared" ref="AJ25" si="21">AK25</f>
        <v>7682254</v>
      </c>
      <c r="AK25" s="592">
        <v>7682254</v>
      </c>
    </row>
    <row r="26" spans="1:37" s="718" customFormat="1" ht="17.5" x14ac:dyDescent="0.35">
      <c r="A26" s="1399" t="s">
        <v>42</v>
      </c>
      <c r="B26" s="1399"/>
      <c r="C26" s="1399"/>
      <c r="D26" s="1399"/>
      <c r="E26" s="720">
        <f>SUM(E24:E25)</f>
        <v>49293087</v>
      </c>
      <c r="F26" s="720">
        <f t="shared" ref="F26:Y26" si="22">SUM(F24:F25)</f>
        <v>23098892</v>
      </c>
      <c r="G26" s="720">
        <f t="shared" si="22"/>
        <v>23197265</v>
      </c>
      <c r="H26" s="720">
        <f t="shared" si="22"/>
        <v>16060346</v>
      </c>
      <c r="I26" s="720">
        <f>SUM(I24:I25)</f>
        <v>24058031</v>
      </c>
      <c r="J26" s="720">
        <f t="shared" si="22"/>
        <v>22794699</v>
      </c>
      <c r="K26" s="720">
        <f t="shared" si="22"/>
        <v>17632718</v>
      </c>
      <c r="L26" s="720">
        <f t="shared" si="22"/>
        <v>29126710</v>
      </c>
      <c r="M26" s="720">
        <f t="shared" si="22"/>
        <v>18609041</v>
      </c>
      <c r="N26" s="720">
        <f t="shared" si="22"/>
        <v>17867431.875</v>
      </c>
      <c r="O26" s="720">
        <f t="shared" si="22"/>
        <v>14105925</v>
      </c>
      <c r="P26" s="720">
        <f t="shared" si="22"/>
        <v>4268366</v>
      </c>
      <c r="Q26" s="720">
        <f t="shared" si="22"/>
        <v>3757846</v>
      </c>
      <c r="R26" s="720">
        <f t="shared" si="22"/>
        <v>4961</v>
      </c>
      <c r="S26" s="720">
        <f>SUM(S24:S25)</f>
        <v>3677468</v>
      </c>
      <c r="T26" s="720">
        <f t="shared" si="22"/>
        <v>1696</v>
      </c>
      <c r="U26" s="720">
        <f t="shared" si="22"/>
        <v>4293111</v>
      </c>
      <c r="V26" s="720">
        <f t="shared" si="22"/>
        <v>3964930</v>
      </c>
      <c r="W26" s="720">
        <f t="shared" si="22"/>
        <v>2985733</v>
      </c>
      <c r="X26" s="795">
        <f t="shared" ref="X26" si="23">SUM(X24:X25)</f>
        <v>4404898.75</v>
      </c>
      <c r="Y26" s="720">
        <f t="shared" si="22"/>
        <v>3227566</v>
      </c>
      <c r="Z26" s="714">
        <f t="shared" si="0"/>
        <v>49293087</v>
      </c>
      <c r="AA26" s="719">
        <v>55736960</v>
      </c>
      <c r="AB26" s="719">
        <v>56188905</v>
      </c>
      <c r="AC26" s="715">
        <f>SUM(AC24:AC25)</f>
        <v>492901</v>
      </c>
      <c r="AD26" s="715">
        <f>SUM(AD24:AD25)</f>
        <v>49785988</v>
      </c>
      <c r="AE26" s="716"/>
      <c r="AF26" s="714">
        <f t="shared" si="2"/>
        <v>40129886</v>
      </c>
      <c r="AG26" s="714">
        <f>AG24+AG25</f>
        <v>43595043</v>
      </c>
      <c r="AH26" s="714">
        <f t="shared" si="3"/>
        <v>50007829.625</v>
      </c>
      <c r="AI26" s="714">
        <f>AI24+AI25</f>
        <v>-643579.625</v>
      </c>
      <c r="AJ26" s="714">
        <f t="shared" ref="AJ26:AK26" si="24">AJ24+AJ25</f>
        <v>49364250</v>
      </c>
      <c r="AK26" s="714">
        <f t="shared" si="24"/>
        <v>49364250</v>
      </c>
    </row>
    <row r="27" spans="1:37" s="708" customFormat="1" x14ac:dyDescent="0.35">
      <c r="A27" s="822">
        <v>19</v>
      </c>
      <c r="B27" s="823" t="s">
        <v>43</v>
      </c>
      <c r="C27" s="823"/>
      <c r="D27" s="822" t="s">
        <v>44</v>
      </c>
      <c r="E27" s="828">
        <f t="shared" ref="E27:W27" si="25">SUM(E28:E31)</f>
        <v>100000</v>
      </c>
      <c r="F27" s="824">
        <f t="shared" si="25"/>
        <v>0</v>
      </c>
      <c r="G27" s="824">
        <f t="shared" si="25"/>
        <v>0</v>
      </c>
      <c r="H27" s="824">
        <f t="shared" si="25"/>
        <v>3923</v>
      </c>
      <c r="I27" s="824"/>
      <c r="J27" s="824"/>
      <c r="K27" s="824">
        <f t="shared" si="25"/>
        <v>0</v>
      </c>
      <c r="L27" s="824">
        <f t="shared" ref="L27" si="26">SUM(L28:L31)</f>
        <v>0</v>
      </c>
      <c r="M27" s="824">
        <f t="shared" si="25"/>
        <v>0</v>
      </c>
      <c r="N27" s="824"/>
      <c r="O27" s="824"/>
      <c r="P27" s="824">
        <f t="shared" si="25"/>
        <v>100000</v>
      </c>
      <c r="Q27" s="824">
        <f t="shared" ref="Q27" si="27">SUM(Q28:Q31)</f>
        <v>85000</v>
      </c>
      <c r="R27" s="824">
        <f t="shared" si="25"/>
        <v>13086</v>
      </c>
      <c r="S27" s="824">
        <v>0</v>
      </c>
      <c r="T27" s="824"/>
      <c r="U27" s="824">
        <f t="shared" si="25"/>
        <v>0</v>
      </c>
      <c r="V27" s="824">
        <f t="shared" ref="V27" si="28">SUM(V28:V31)</f>
        <v>0</v>
      </c>
      <c r="W27" s="824">
        <f t="shared" si="25"/>
        <v>0</v>
      </c>
      <c r="X27" s="797"/>
      <c r="Y27" s="824"/>
      <c r="Z27" s="721">
        <f t="shared" si="0"/>
        <v>100000</v>
      </c>
      <c r="AA27" s="817">
        <v>85000</v>
      </c>
      <c r="AB27" s="817">
        <v>85000</v>
      </c>
      <c r="AC27" s="818">
        <f t="shared" ref="AC27:AC35" si="29">AE27-Z27</f>
        <v>0</v>
      </c>
      <c r="AD27" s="819">
        <f t="shared" si="8"/>
        <v>100000</v>
      </c>
      <c r="AE27" s="820">
        <v>100000</v>
      </c>
      <c r="AF27" s="721">
        <f t="shared" si="2"/>
        <v>0</v>
      </c>
      <c r="AG27" s="721">
        <v>6476</v>
      </c>
      <c r="AH27" s="721">
        <f t="shared" si="3"/>
        <v>0</v>
      </c>
      <c r="AI27" s="1086">
        <f t="shared" ref="AI27:AI90" si="30">AJ27-AH27</f>
        <v>51472</v>
      </c>
      <c r="AJ27" s="722">
        <f t="shared" ref="AJ27:AJ90" si="31">AK27</f>
        <v>51472</v>
      </c>
      <c r="AK27" s="591">
        <v>51472</v>
      </c>
    </row>
    <row r="28" spans="1:37" s="708" customFormat="1" hidden="1" x14ac:dyDescent="0.35">
      <c r="A28" s="810">
        <v>20</v>
      </c>
      <c r="B28" s="829" t="s">
        <v>45</v>
      </c>
      <c r="C28" s="829"/>
      <c r="D28" s="810"/>
      <c r="E28" s="812"/>
      <c r="F28" s="813"/>
      <c r="G28" s="813">
        <f>F28</f>
        <v>0</v>
      </c>
      <c r="H28" s="813">
        <v>3923</v>
      </c>
      <c r="I28" s="813"/>
      <c r="J28" s="813"/>
      <c r="K28" s="815"/>
      <c r="L28" s="813">
        <f>K28</f>
        <v>0</v>
      </c>
      <c r="M28" s="815"/>
      <c r="N28" s="815"/>
      <c r="O28" s="815"/>
      <c r="P28" s="815"/>
      <c r="Q28" s="813">
        <f>P28</f>
        <v>0</v>
      </c>
      <c r="R28" s="815">
        <v>13086</v>
      </c>
      <c r="S28" s="815"/>
      <c r="T28" s="815"/>
      <c r="U28" s="815"/>
      <c r="V28" s="813">
        <f>U28</f>
        <v>0</v>
      </c>
      <c r="W28" s="815"/>
      <c r="X28" s="798"/>
      <c r="Y28" s="815"/>
      <c r="Z28" s="721">
        <f t="shared" si="0"/>
        <v>0</v>
      </c>
      <c r="AA28" s="817">
        <v>0</v>
      </c>
      <c r="AB28" s="817">
        <v>0</v>
      </c>
      <c r="AC28" s="818">
        <f t="shared" si="29"/>
        <v>0</v>
      </c>
      <c r="AD28" s="819">
        <f t="shared" si="8"/>
        <v>0</v>
      </c>
      <c r="AE28" s="819"/>
      <c r="AF28" s="721">
        <f t="shared" si="2"/>
        <v>0</v>
      </c>
      <c r="AG28" s="721"/>
      <c r="AH28" s="721">
        <f t="shared" si="3"/>
        <v>0</v>
      </c>
      <c r="AI28" s="1086">
        <f t="shared" si="30"/>
        <v>0</v>
      </c>
      <c r="AJ28" s="722">
        <f t="shared" si="31"/>
        <v>0</v>
      </c>
      <c r="AK28" s="722"/>
    </row>
    <row r="29" spans="1:37" s="708" customFormat="1" hidden="1" x14ac:dyDescent="0.35">
      <c r="A29" s="810">
        <v>21</v>
      </c>
      <c r="B29" s="829" t="s">
        <v>46</v>
      </c>
      <c r="C29" s="829"/>
      <c r="D29" s="810"/>
      <c r="E29" s="812"/>
      <c r="F29" s="813"/>
      <c r="G29" s="813">
        <f t="shared" ref="G29:G31" si="32">F29</f>
        <v>0</v>
      </c>
      <c r="H29" s="813"/>
      <c r="I29" s="813"/>
      <c r="J29" s="813"/>
      <c r="K29" s="815"/>
      <c r="L29" s="813">
        <f t="shared" ref="L29:L31" si="33">K29</f>
        <v>0</v>
      </c>
      <c r="M29" s="815"/>
      <c r="N29" s="815"/>
      <c r="O29" s="815"/>
      <c r="P29" s="815"/>
      <c r="Q29" s="813">
        <f t="shared" ref="Q29:Q31" si="34">P29</f>
        <v>0</v>
      </c>
      <c r="R29" s="815"/>
      <c r="S29" s="815"/>
      <c r="T29" s="815"/>
      <c r="U29" s="815"/>
      <c r="V29" s="813">
        <f t="shared" ref="V29:V31" si="35">U29</f>
        <v>0</v>
      </c>
      <c r="W29" s="815"/>
      <c r="X29" s="798"/>
      <c r="Y29" s="815"/>
      <c r="Z29" s="721">
        <f t="shared" si="0"/>
        <v>0</v>
      </c>
      <c r="AA29" s="817">
        <v>0</v>
      </c>
      <c r="AB29" s="817">
        <v>0</v>
      </c>
      <c r="AC29" s="818">
        <f t="shared" si="29"/>
        <v>0</v>
      </c>
      <c r="AD29" s="819">
        <f t="shared" si="8"/>
        <v>0</v>
      </c>
      <c r="AE29" s="819"/>
      <c r="AF29" s="721">
        <f t="shared" si="2"/>
        <v>0</v>
      </c>
      <c r="AG29" s="721"/>
      <c r="AH29" s="721">
        <f t="shared" si="3"/>
        <v>0</v>
      </c>
      <c r="AI29" s="1086">
        <f t="shared" si="30"/>
        <v>0</v>
      </c>
      <c r="AJ29" s="722">
        <f t="shared" si="31"/>
        <v>0</v>
      </c>
      <c r="AK29" s="722"/>
    </row>
    <row r="30" spans="1:37" s="708" customFormat="1" hidden="1" x14ac:dyDescent="0.35">
      <c r="A30" s="810">
        <v>22</v>
      </c>
      <c r="B30" s="829" t="s">
        <v>410</v>
      </c>
      <c r="C30" s="829"/>
      <c r="D30" s="810"/>
      <c r="E30" s="812">
        <v>100000</v>
      </c>
      <c r="F30" s="813"/>
      <c r="G30" s="813">
        <f t="shared" si="32"/>
        <v>0</v>
      </c>
      <c r="H30" s="813"/>
      <c r="I30" s="813"/>
      <c r="J30" s="813"/>
      <c r="K30" s="815"/>
      <c r="L30" s="813">
        <f t="shared" si="33"/>
        <v>0</v>
      </c>
      <c r="M30" s="815"/>
      <c r="N30" s="815"/>
      <c r="O30" s="815"/>
      <c r="P30" s="815">
        <v>100000</v>
      </c>
      <c r="Q30" s="813">
        <v>85000</v>
      </c>
      <c r="R30" s="815"/>
      <c r="S30" s="815"/>
      <c r="T30" s="815"/>
      <c r="U30" s="815"/>
      <c r="V30" s="813">
        <f t="shared" si="35"/>
        <v>0</v>
      </c>
      <c r="W30" s="815"/>
      <c r="X30" s="798"/>
      <c r="Y30" s="815"/>
      <c r="Z30" s="721">
        <f t="shared" si="0"/>
        <v>100000</v>
      </c>
      <c r="AA30" s="817">
        <v>85000</v>
      </c>
      <c r="AB30" s="817">
        <v>85000</v>
      </c>
      <c r="AC30" s="818">
        <f t="shared" si="29"/>
        <v>-100000</v>
      </c>
      <c r="AD30" s="819">
        <f t="shared" si="8"/>
        <v>0</v>
      </c>
      <c r="AE30" s="819"/>
      <c r="AF30" s="721">
        <f t="shared" si="2"/>
        <v>0</v>
      </c>
      <c r="AG30" s="721"/>
      <c r="AH30" s="721">
        <f t="shared" si="3"/>
        <v>0</v>
      </c>
      <c r="AI30" s="1086">
        <f t="shared" si="30"/>
        <v>0</v>
      </c>
      <c r="AJ30" s="722">
        <f t="shared" si="31"/>
        <v>0</v>
      </c>
      <c r="AK30" s="722"/>
    </row>
    <row r="31" spans="1:37" s="708" customFormat="1" hidden="1" x14ac:dyDescent="0.35">
      <c r="A31" s="810">
        <v>23</v>
      </c>
      <c r="B31" s="829" t="s">
        <v>411</v>
      </c>
      <c r="C31" s="829"/>
      <c r="D31" s="810"/>
      <c r="E31" s="812"/>
      <c r="F31" s="813"/>
      <c r="G31" s="813">
        <f t="shared" si="32"/>
        <v>0</v>
      </c>
      <c r="H31" s="813"/>
      <c r="I31" s="813"/>
      <c r="J31" s="813"/>
      <c r="K31" s="815"/>
      <c r="L31" s="813">
        <f t="shared" si="33"/>
        <v>0</v>
      </c>
      <c r="M31" s="815"/>
      <c r="N31" s="815"/>
      <c r="O31" s="815"/>
      <c r="P31" s="815"/>
      <c r="Q31" s="813">
        <f t="shared" si="34"/>
        <v>0</v>
      </c>
      <c r="R31" s="815"/>
      <c r="S31" s="815"/>
      <c r="T31" s="815"/>
      <c r="U31" s="815"/>
      <c r="V31" s="813">
        <f t="shared" si="35"/>
        <v>0</v>
      </c>
      <c r="W31" s="815"/>
      <c r="X31" s="798"/>
      <c r="Y31" s="815"/>
      <c r="Z31" s="721">
        <f t="shared" si="0"/>
        <v>0</v>
      </c>
      <c r="AA31" s="817">
        <v>0</v>
      </c>
      <c r="AB31" s="817">
        <v>0</v>
      </c>
      <c r="AC31" s="818">
        <f t="shared" si="29"/>
        <v>0</v>
      </c>
      <c r="AD31" s="819">
        <f t="shared" si="8"/>
        <v>0</v>
      </c>
      <c r="AE31" s="819"/>
      <c r="AF31" s="721">
        <f t="shared" si="2"/>
        <v>0</v>
      </c>
      <c r="AG31" s="721"/>
      <c r="AH31" s="721">
        <f t="shared" si="3"/>
        <v>0</v>
      </c>
      <c r="AI31" s="1086">
        <f t="shared" si="30"/>
        <v>0</v>
      </c>
      <c r="AJ31" s="722">
        <f t="shared" si="31"/>
        <v>0</v>
      </c>
      <c r="AK31" s="722"/>
    </row>
    <row r="32" spans="1:37" s="708" customFormat="1" x14ac:dyDescent="0.35">
      <c r="A32" s="822">
        <v>24</v>
      </c>
      <c r="B32" s="823" t="s">
        <v>49</v>
      </c>
      <c r="C32" s="823" t="s">
        <v>943</v>
      </c>
      <c r="D32" s="822" t="s">
        <v>50</v>
      </c>
      <c r="E32" s="828">
        <f>SUM(E33:E39)</f>
        <v>770000</v>
      </c>
      <c r="F32" s="824">
        <f t="shared" ref="F32:W32" si="36">SUM(F33:F39)</f>
        <v>0</v>
      </c>
      <c r="G32" s="824">
        <f t="shared" si="36"/>
        <v>0</v>
      </c>
      <c r="H32" s="824">
        <f t="shared" si="36"/>
        <v>0</v>
      </c>
      <c r="I32" s="824"/>
      <c r="J32" s="824"/>
      <c r="K32" s="824">
        <f t="shared" si="36"/>
        <v>0</v>
      </c>
      <c r="L32" s="824">
        <f t="shared" ref="L32" si="37">SUM(L33:L39)</f>
        <v>0</v>
      </c>
      <c r="M32" s="824">
        <f t="shared" si="36"/>
        <v>0</v>
      </c>
      <c r="N32" s="824"/>
      <c r="O32" s="824"/>
      <c r="P32" s="824">
        <f t="shared" si="36"/>
        <v>770000</v>
      </c>
      <c r="Q32" s="824">
        <f t="shared" ref="Q32" si="38">SUM(Q33:Q39)</f>
        <v>1072000</v>
      </c>
      <c r="R32" s="824">
        <f t="shared" si="36"/>
        <v>305413</v>
      </c>
      <c r="S32" s="824">
        <f>SUM(S33:S39)</f>
        <v>1415000</v>
      </c>
      <c r="T32" s="814">
        <v>328231</v>
      </c>
      <c r="U32" s="824">
        <f t="shared" si="36"/>
        <v>0</v>
      </c>
      <c r="V32" s="824">
        <f t="shared" ref="V32" si="39">SUM(V33:V39)</f>
        <v>0</v>
      </c>
      <c r="W32" s="824">
        <f t="shared" si="36"/>
        <v>0</v>
      </c>
      <c r="X32" s="797"/>
      <c r="Y32" s="824"/>
      <c r="Z32" s="721">
        <f t="shared" si="0"/>
        <v>770000</v>
      </c>
      <c r="AA32" s="817">
        <v>852000</v>
      </c>
      <c r="AB32" s="817">
        <v>852000</v>
      </c>
      <c r="AC32" s="818">
        <f t="shared" si="29"/>
        <v>-135000</v>
      </c>
      <c r="AD32" s="819">
        <f t="shared" si="8"/>
        <v>635000</v>
      </c>
      <c r="AE32" s="820">
        <v>635000</v>
      </c>
      <c r="AF32" s="721">
        <f t="shared" si="2"/>
        <v>328231</v>
      </c>
      <c r="AG32" s="721">
        <v>763200</v>
      </c>
      <c r="AH32" s="721">
        <f t="shared" si="3"/>
        <v>1415000</v>
      </c>
      <c r="AI32" s="1086">
        <f t="shared" si="30"/>
        <v>-281281</v>
      </c>
      <c r="AJ32" s="722">
        <f t="shared" si="31"/>
        <v>1133719</v>
      </c>
      <c r="AK32" s="591">
        <v>1133719</v>
      </c>
    </row>
    <row r="33" spans="1:37" s="708" customFormat="1" hidden="1" x14ac:dyDescent="0.35">
      <c r="A33" s="810">
        <v>25</v>
      </c>
      <c r="B33" s="829" t="s">
        <v>51</v>
      </c>
      <c r="C33" s="829"/>
      <c r="D33" s="810"/>
      <c r="E33" s="830">
        <v>50000</v>
      </c>
      <c r="F33" s="813"/>
      <c r="G33" s="813">
        <f>F33</f>
        <v>0</v>
      </c>
      <c r="H33" s="813"/>
      <c r="I33" s="813"/>
      <c r="J33" s="813"/>
      <c r="K33" s="815"/>
      <c r="L33" s="813">
        <f>K33</f>
        <v>0</v>
      </c>
      <c r="M33" s="815"/>
      <c r="N33" s="815"/>
      <c r="O33" s="815"/>
      <c r="P33" s="815">
        <v>50000</v>
      </c>
      <c r="Q33" s="813">
        <v>200000</v>
      </c>
      <c r="R33" s="815">
        <v>1276</v>
      </c>
      <c r="S33" s="815">
        <v>50000</v>
      </c>
      <c r="T33" s="815"/>
      <c r="U33" s="815"/>
      <c r="V33" s="813">
        <f>U33</f>
        <v>0</v>
      </c>
      <c r="W33" s="815"/>
      <c r="X33" s="798"/>
      <c r="Y33" s="815"/>
      <c r="Z33" s="721">
        <f t="shared" si="0"/>
        <v>50000</v>
      </c>
      <c r="AA33" s="817">
        <v>200000</v>
      </c>
      <c r="AB33" s="817">
        <v>200000</v>
      </c>
      <c r="AC33" s="818">
        <f t="shared" si="29"/>
        <v>-50000</v>
      </c>
      <c r="AD33" s="819">
        <f t="shared" si="8"/>
        <v>0</v>
      </c>
      <c r="AE33" s="819"/>
      <c r="AF33" s="721">
        <f t="shared" si="2"/>
        <v>0</v>
      </c>
      <c r="AG33" s="721"/>
      <c r="AH33" s="721">
        <f t="shared" si="3"/>
        <v>50000</v>
      </c>
      <c r="AI33" s="1086">
        <f t="shared" si="30"/>
        <v>-50000</v>
      </c>
      <c r="AJ33" s="722">
        <f t="shared" si="31"/>
        <v>0</v>
      </c>
      <c r="AK33" s="722"/>
    </row>
    <row r="34" spans="1:37" s="708" customFormat="1" hidden="1" x14ac:dyDescent="0.35">
      <c r="A34" s="810">
        <v>26</v>
      </c>
      <c r="B34" s="829" t="s">
        <v>52</v>
      </c>
      <c r="C34" s="829"/>
      <c r="D34" s="810"/>
      <c r="E34" s="830">
        <v>170000</v>
      </c>
      <c r="F34" s="813"/>
      <c r="G34" s="813">
        <f t="shared" ref="G34:G39" si="40">F34</f>
        <v>0</v>
      </c>
      <c r="H34" s="813"/>
      <c r="I34" s="813"/>
      <c r="J34" s="813"/>
      <c r="K34" s="815"/>
      <c r="L34" s="813">
        <f t="shared" ref="L34:L39" si="41">K34</f>
        <v>0</v>
      </c>
      <c r="M34" s="815"/>
      <c r="N34" s="815"/>
      <c r="O34" s="815"/>
      <c r="P34" s="815">
        <v>170000</v>
      </c>
      <c r="Q34" s="813">
        <f t="shared" ref="Q34:Q38" si="42">P34</f>
        <v>170000</v>
      </c>
      <c r="R34" s="815"/>
      <c r="S34" s="815">
        <v>215000</v>
      </c>
      <c r="T34" s="815"/>
      <c r="U34" s="815"/>
      <c r="V34" s="813">
        <f t="shared" ref="V34:V39" si="43">U34</f>
        <v>0</v>
      </c>
      <c r="W34" s="815"/>
      <c r="X34" s="798"/>
      <c r="Y34" s="815"/>
      <c r="Z34" s="721">
        <f t="shared" si="0"/>
        <v>170000</v>
      </c>
      <c r="AA34" s="817">
        <v>0</v>
      </c>
      <c r="AB34" s="817">
        <v>0</v>
      </c>
      <c r="AC34" s="818">
        <f t="shared" si="29"/>
        <v>-170000</v>
      </c>
      <c r="AD34" s="819">
        <f t="shared" si="8"/>
        <v>0</v>
      </c>
      <c r="AE34" s="819"/>
      <c r="AF34" s="721">
        <f t="shared" si="2"/>
        <v>0</v>
      </c>
      <c r="AG34" s="721"/>
      <c r="AH34" s="721">
        <f t="shared" si="3"/>
        <v>215000</v>
      </c>
      <c r="AI34" s="1086">
        <f t="shared" si="30"/>
        <v>-215000</v>
      </c>
      <c r="AJ34" s="722">
        <f t="shared" si="31"/>
        <v>0</v>
      </c>
      <c r="AK34" s="722"/>
    </row>
    <row r="35" spans="1:37" s="708" customFormat="1" hidden="1" x14ac:dyDescent="0.35">
      <c r="A35" s="810">
        <v>27</v>
      </c>
      <c r="B35" s="829" t="s">
        <v>53</v>
      </c>
      <c r="C35" s="829"/>
      <c r="D35" s="810"/>
      <c r="E35" s="830">
        <v>50000</v>
      </c>
      <c r="F35" s="813"/>
      <c r="G35" s="813">
        <f t="shared" si="40"/>
        <v>0</v>
      </c>
      <c r="H35" s="813"/>
      <c r="I35" s="813"/>
      <c r="J35" s="813"/>
      <c r="K35" s="815"/>
      <c r="L35" s="813">
        <f t="shared" si="41"/>
        <v>0</v>
      </c>
      <c r="M35" s="815"/>
      <c r="N35" s="815"/>
      <c r="O35" s="815"/>
      <c r="P35" s="815">
        <v>50000</v>
      </c>
      <c r="Q35" s="813">
        <v>252000</v>
      </c>
      <c r="R35" s="815">
        <v>57410</v>
      </c>
      <c r="S35" s="815">
        <v>100000</v>
      </c>
      <c r="T35" s="815"/>
      <c r="U35" s="815"/>
      <c r="V35" s="813">
        <f t="shared" si="43"/>
        <v>0</v>
      </c>
      <c r="W35" s="815"/>
      <c r="X35" s="798"/>
      <c r="Y35" s="815"/>
      <c r="Z35" s="721">
        <f t="shared" si="0"/>
        <v>50000</v>
      </c>
      <c r="AA35" s="817">
        <v>252000</v>
      </c>
      <c r="AB35" s="817">
        <v>252000</v>
      </c>
      <c r="AC35" s="818">
        <f t="shared" si="29"/>
        <v>-50000</v>
      </c>
      <c r="AD35" s="819">
        <f t="shared" si="8"/>
        <v>0</v>
      </c>
      <c r="AE35" s="819"/>
      <c r="AF35" s="721">
        <f t="shared" si="2"/>
        <v>0</v>
      </c>
      <c r="AG35" s="721"/>
      <c r="AH35" s="721">
        <f t="shared" si="3"/>
        <v>100000</v>
      </c>
      <c r="AI35" s="1086">
        <f t="shared" si="30"/>
        <v>-100000</v>
      </c>
      <c r="AJ35" s="722">
        <f t="shared" si="31"/>
        <v>0</v>
      </c>
      <c r="AK35" s="722"/>
    </row>
    <row r="36" spans="1:37" s="708" customFormat="1" hidden="1" x14ac:dyDescent="0.35">
      <c r="A36" s="810"/>
      <c r="B36" s="829" t="s">
        <v>944</v>
      </c>
      <c r="C36" s="829"/>
      <c r="D36" s="810"/>
      <c r="E36" s="830"/>
      <c r="F36" s="813"/>
      <c r="G36" s="813"/>
      <c r="H36" s="813"/>
      <c r="I36" s="813"/>
      <c r="J36" s="813"/>
      <c r="K36" s="815"/>
      <c r="L36" s="813"/>
      <c r="M36" s="815"/>
      <c r="N36" s="815"/>
      <c r="O36" s="815"/>
      <c r="P36" s="815"/>
      <c r="Q36" s="813"/>
      <c r="R36" s="815"/>
      <c r="S36" s="815">
        <v>300000</v>
      </c>
      <c r="T36" s="815"/>
      <c r="U36" s="815"/>
      <c r="V36" s="813"/>
      <c r="W36" s="815"/>
      <c r="X36" s="798"/>
      <c r="Y36" s="815"/>
      <c r="Z36" s="721"/>
      <c r="AA36" s="817"/>
      <c r="AB36" s="817"/>
      <c r="AC36" s="818"/>
      <c r="AD36" s="819"/>
      <c r="AE36" s="819"/>
      <c r="AF36" s="721"/>
      <c r="AG36" s="721"/>
      <c r="AH36" s="721">
        <f t="shared" si="3"/>
        <v>300000</v>
      </c>
      <c r="AI36" s="1086">
        <f t="shared" si="30"/>
        <v>-300000</v>
      </c>
      <c r="AJ36" s="722">
        <f t="shared" si="31"/>
        <v>0</v>
      </c>
      <c r="AK36" s="722"/>
    </row>
    <row r="37" spans="1:37" s="708" customFormat="1" hidden="1" x14ac:dyDescent="0.35">
      <c r="A37" s="810">
        <v>28</v>
      </c>
      <c r="B37" s="829" t="s">
        <v>54</v>
      </c>
      <c r="C37" s="829"/>
      <c r="D37" s="810"/>
      <c r="E37" s="830">
        <v>50000</v>
      </c>
      <c r="F37" s="813"/>
      <c r="G37" s="813">
        <f t="shared" si="40"/>
        <v>0</v>
      </c>
      <c r="H37" s="813"/>
      <c r="I37" s="813"/>
      <c r="J37" s="813"/>
      <c r="K37" s="815"/>
      <c r="L37" s="813">
        <f t="shared" si="41"/>
        <v>0</v>
      </c>
      <c r="M37" s="815"/>
      <c r="N37" s="815"/>
      <c r="O37" s="815"/>
      <c r="P37" s="815">
        <v>50000</v>
      </c>
      <c r="Q37" s="813">
        <v>200000</v>
      </c>
      <c r="R37" s="815">
        <v>42350</v>
      </c>
      <c r="S37" s="815">
        <v>100000</v>
      </c>
      <c r="T37" s="815"/>
      <c r="U37" s="815"/>
      <c r="V37" s="813">
        <f t="shared" si="43"/>
        <v>0</v>
      </c>
      <c r="W37" s="815"/>
      <c r="X37" s="798"/>
      <c r="Y37" s="815"/>
      <c r="Z37" s="721">
        <f>SUM(F37,K37,P37,U37)</f>
        <v>50000</v>
      </c>
      <c r="AA37" s="817">
        <v>200000</v>
      </c>
      <c r="AB37" s="817">
        <v>200000</v>
      </c>
      <c r="AC37" s="818">
        <f>AE37-Z37</f>
        <v>-50000</v>
      </c>
      <c r="AD37" s="819">
        <f t="shared" si="8"/>
        <v>0</v>
      </c>
      <c r="AE37" s="819"/>
      <c r="AF37" s="721">
        <f t="shared" ref="AF37:AF68" si="44">SUM(J37,O37,T37,Y37)</f>
        <v>0</v>
      </c>
      <c r="AG37" s="721"/>
      <c r="AH37" s="721">
        <f t="shared" si="3"/>
        <v>100000</v>
      </c>
      <c r="AI37" s="1086">
        <f t="shared" si="30"/>
        <v>-100000</v>
      </c>
      <c r="AJ37" s="722">
        <f t="shared" si="31"/>
        <v>0</v>
      </c>
      <c r="AK37" s="722"/>
    </row>
    <row r="38" spans="1:37" s="708" customFormat="1" hidden="1" x14ac:dyDescent="0.35">
      <c r="A38" s="810">
        <v>29</v>
      </c>
      <c r="B38" s="829" t="s">
        <v>55</v>
      </c>
      <c r="C38" s="829"/>
      <c r="D38" s="810"/>
      <c r="E38" s="830">
        <v>50000</v>
      </c>
      <c r="F38" s="813"/>
      <c r="G38" s="813">
        <f t="shared" si="40"/>
        <v>0</v>
      </c>
      <c r="H38" s="813"/>
      <c r="I38" s="813"/>
      <c r="J38" s="813"/>
      <c r="K38" s="815"/>
      <c r="L38" s="813">
        <f t="shared" si="41"/>
        <v>0</v>
      </c>
      <c r="M38" s="815"/>
      <c r="N38" s="815"/>
      <c r="O38" s="815"/>
      <c r="P38" s="815">
        <v>50000</v>
      </c>
      <c r="Q38" s="813">
        <f t="shared" si="42"/>
        <v>50000</v>
      </c>
      <c r="R38" s="815"/>
      <c r="S38" s="815">
        <v>50000</v>
      </c>
      <c r="T38" s="815"/>
      <c r="U38" s="815"/>
      <c r="V38" s="813">
        <f t="shared" si="43"/>
        <v>0</v>
      </c>
      <c r="W38" s="815"/>
      <c r="X38" s="798"/>
      <c r="Y38" s="815"/>
      <c r="Z38" s="721">
        <f>SUM(F38,K38,P38,U38)</f>
        <v>50000</v>
      </c>
      <c r="AA38" s="817">
        <v>0</v>
      </c>
      <c r="AB38" s="817">
        <v>0</v>
      </c>
      <c r="AC38" s="818">
        <f>AE38-Z38</f>
        <v>-50000</v>
      </c>
      <c r="AD38" s="819">
        <f t="shared" si="8"/>
        <v>0</v>
      </c>
      <c r="AE38" s="819"/>
      <c r="AF38" s="721">
        <f t="shared" si="44"/>
        <v>0</v>
      </c>
      <c r="AG38" s="721"/>
      <c r="AH38" s="721">
        <f t="shared" si="3"/>
        <v>50000</v>
      </c>
      <c r="AI38" s="1086">
        <f t="shared" si="30"/>
        <v>-50000</v>
      </c>
      <c r="AJ38" s="722">
        <f t="shared" si="31"/>
        <v>0</v>
      </c>
      <c r="AK38" s="722"/>
    </row>
    <row r="39" spans="1:37" s="708" customFormat="1" hidden="1" x14ac:dyDescent="0.35">
      <c r="A39" s="810">
        <v>30</v>
      </c>
      <c r="B39" s="829" t="s">
        <v>56</v>
      </c>
      <c r="C39" s="829" t="s">
        <v>945</v>
      </c>
      <c r="D39" s="810"/>
      <c r="E39" s="830">
        <v>400000</v>
      </c>
      <c r="F39" s="813"/>
      <c r="G39" s="813">
        <f t="shared" si="40"/>
        <v>0</v>
      </c>
      <c r="H39" s="813"/>
      <c r="I39" s="813"/>
      <c r="J39" s="813"/>
      <c r="K39" s="815"/>
      <c r="L39" s="813">
        <f t="shared" si="41"/>
        <v>0</v>
      </c>
      <c r="M39" s="815"/>
      <c r="N39" s="815"/>
      <c r="O39" s="815"/>
      <c r="P39" s="815">
        <v>400000</v>
      </c>
      <c r="Q39" s="813">
        <v>200000</v>
      </c>
      <c r="R39" s="815">
        <v>204377</v>
      </c>
      <c r="S39" s="815">
        <v>600000</v>
      </c>
      <c r="T39" s="815"/>
      <c r="U39" s="815"/>
      <c r="V39" s="813">
        <f t="shared" si="43"/>
        <v>0</v>
      </c>
      <c r="W39" s="815"/>
      <c r="X39" s="798"/>
      <c r="Y39" s="815"/>
      <c r="Z39" s="721">
        <f>SUM(F39,K39,P39,U39)</f>
        <v>400000</v>
      </c>
      <c r="AA39" s="817">
        <v>200000</v>
      </c>
      <c r="AB39" s="817">
        <v>200000</v>
      </c>
      <c r="AC39" s="818">
        <f>AE39-Z39</f>
        <v>-400000</v>
      </c>
      <c r="AD39" s="819">
        <f t="shared" si="8"/>
        <v>0</v>
      </c>
      <c r="AE39" s="819"/>
      <c r="AF39" s="721">
        <f t="shared" si="44"/>
        <v>0</v>
      </c>
      <c r="AG39" s="721"/>
      <c r="AH39" s="721">
        <f t="shared" ref="AH39:AH70" si="45">I39+N39+S39+X39</f>
        <v>600000</v>
      </c>
      <c r="AI39" s="1086">
        <f t="shared" si="30"/>
        <v>-600000</v>
      </c>
      <c r="AJ39" s="722">
        <f t="shared" si="31"/>
        <v>0</v>
      </c>
      <c r="AK39" s="722"/>
    </row>
    <row r="40" spans="1:37" s="530" customFormat="1" x14ac:dyDescent="0.35">
      <c r="A40" s="831">
        <v>31</v>
      </c>
      <c r="B40" s="832" t="s">
        <v>57</v>
      </c>
      <c r="C40" s="832"/>
      <c r="D40" s="831" t="s">
        <v>58</v>
      </c>
      <c r="E40" s="833">
        <f>SUM(E27,E32)</f>
        <v>870000</v>
      </c>
      <c r="F40" s="833">
        <f t="shared" ref="F40:Y40" si="46">SUM(F27,F32)</f>
        <v>0</v>
      </c>
      <c r="G40" s="833">
        <f t="shared" si="46"/>
        <v>0</v>
      </c>
      <c r="H40" s="833">
        <f t="shared" si="46"/>
        <v>3923</v>
      </c>
      <c r="I40" s="833">
        <f>SUM(I32,I27)</f>
        <v>0</v>
      </c>
      <c r="J40" s="833">
        <f t="shared" si="46"/>
        <v>0</v>
      </c>
      <c r="K40" s="833">
        <f t="shared" si="46"/>
        <v>0</v>
      </c>
      <c r="L40" s="833">
        <f t="shared" si="46"/>
        <v>0</v>
      </c>
      <c r="M40" s="833">
        <f t="shared" si="46"/>
        <v>0</v>
      </c>
      <c r="N40" s="833"/>
      <c r="O40" s="833">
        <f t="shared" si="46"/>
        <v>0</v>
      </c>
      <c r="P40" s="833">
        <f t="shared" si="46"/>
        <v>870000</v>
      </c>
      <c r="Q40" s="833">
        <f t="shared" si="46"/>
        <v>1157000</v>
      </c>
      <c r="R40" s="833">
        <f t="shared" si="46"/>
        <v>318499</v>
      </c>
      <c r="S40" s="833">
        <f>S27+S32</f>
        <v>1415000</v>
      </c>
      <c r="T40" s="833">
        <f>SUM(T27:T32)</f>
        <v>328231</v>
      </c>
      <c r="U40" s="833">
        <f t="shared" si="46"/>
        <v>0</v>
      </c>
      <c r="V40" s="833">
        <f t="shared" si="46"/>
        <v>0</v>
      </c>
      <c r="W40" s="833">
        <f t="shared" si="46"/>
        <v>0</v>
      </c>
      <c r="X40" s="799"/>
      <c r="Y40" s="833">
        <f t="shared" si="46"/>
        <v>0</v>
      </c>
      <c r="Z40" s="714">
        <f>SUM(Z27,Z32)</f>
        <v>870000</v>
      </c>
      <c r="AA40" s="714">
        <f t="shared" ref="AA40:AE40" si="47">SUM(AA27,AA32)</f>
        <v>937000</v>
      </c>
      <c r="AB40" s="714">
        <f t="shared" si="47"/>
        <v>937000</v>
      </c>
      <c r="AC40" s="714">
        <f t="shared" si="47"/>
        <v>-135000</v>
      </c>
      <c r="AD40" s="714">
        <f t="shared" si="47"/>
        <v>735000</v>
      </c>
      <c r="AE40" s="714">
        <f t="shared" si="47"/>
        <v>735000</v>
      </c>
      <c r="AF40" s="714">
        <f t="shared" si="44"/>
        <v>328231</v>
      </c>
      <c r="AG40" s="714">
        <f>AG32+AG27</f>
        <v>769676</v>
      </c>
      <c r="AH40" s="714">
        <f t="shared" si="45"/>
        <v>1415000</v>
      </c>
      <c r="AI40" s="1086">
        <f t="shared" si="30"/>
        <v>-229809</v>
      </c>
      <c r="AJ40" s="722">
        <f t="shared" si="31"/>
        <v>1185191</v>
      </c>
      <c r="AK40" s="941">
        <f>SUM(AK27:AK32)</f>
        <v>1185191</v>
      </c>
    </row>
    <row r="41" spans="1:37" s="708" customFormat="1" x14ac:dyDescent="0.35">
      <c r="A41" s="822">
        <v>32</v>
      </c>
      <c r="B41" s="823" t="s">
        <v>59</v>
      </c>
      <c r="C41" s="823" t="s">
        <v>909</v>
      </c>
      <c r="D41" s="822" t="s">
        <v>60</v>
      </c>
      <c r="E41" s="828">
        <f t="shared" ref="E41:W41" si="48">E42</f>
        <v>120000</v>
      </c>
      <c r="F41" s="824">
        <f t="shared" si="48"/>
        <v>0</v>
      </c>
      <c r="G41" s="824">
        <f t="shared" si="48"/>
        <v>0</v>
      </c>
      <c r="H41" s="824">
        <f t="shared" si="48"/>
        <v>0</v>
      </c>
      <c r="I41" s="824"/>
      <c r="J41" s="824"/>
      <c r="K41" s="824">
        <f t="shared" si="48"/>
        <v>0</v>
      </c>
      <c r="L41" s="824">
        <f t="shared" si="48"/>
        <v>0</v>
      </c>
      <c r="M41" s="824">
        <f t="shared" si="48"/>
        <v>0</v>
      </c>
      <c r="N41" s="824"/>
      <c r="O41" s="824"/>
      <c r="P41" s="824">
        <f t="shared" si="48"/>
        <v>120000</v>
      </c>
      <c r="Q41" s="824">
        <f>Q42</f>
        <v>78000</v>
      </c>
      <c r="R41" s="824">
        <f t="shared" si="48"/>
        <v>92760</v>
      </c>
      <c r="S41" s="824">
        <f>120000+30000</f>
        <v>150000</v>
      </c>
      <c r="T41" s="814">
        <v>154367</v>
      </c>
      <c r="U41" s="824">
        <f t="shared" si="48"/>
        <v>0</v>
      </c>
      <c r="V41" s="824">
        <f t="shared" si="48"/>
        <v>0</v>
      </c>
      <c r="W41" s="824">
        <f t="shared" si="48"/>
        <v>0</v>
      </c>
      <c r="X41" s="797"/>
      <c r="Y41" s="824"/>
      <c r="Z41" s="721">
        <f>SUM(F41,K41,P41,U41)</f>
        <v>120000</v>
      </c>
      <c r="AA41" s="817">
        <v>78000</v>
      </c>
      <c r="AB41" s="817">
        <v>78000</v>
      </c>
      <c r="AC41" s="818">
        <f>AE41-Z41</f>
        <v>56000</v>
      </c>
      <c r="AD41" s="819">
        <f t="shared" si="8"/>
        <v>176000</v>
      </c>
      <c r="AE41" s="820">
        <v>176000</v>
      </c>
      <c r="AF41" s="721">
        <f t="shared" si="44"/>
        <v>154367</v>
      </c>
      <c r="AG41" s="721">
        <v>167567</v>
      </c>
      <c r="AH41" s="721">
        <f t="shared" si="45"/>
        <v>150000</v>
      </c>
      <c r="AI41" s="1086">
        <f t="shared" si="30"/>
        <v>-17880</v>
      </c>
      <c r="AJ41" s="722">
        <f t="shared" si="31"/>
        <v>132120</v>
      </c>
      <c r="AK41" s="591">
        <v>132120</v>
      </c>
    </row>
    <row r="42" spans="1:37" s="708" customFormat="1" hidden="1" x14ac:dyDescent="0.35">
      <c r="A42" s="810">
        <v>33</v>
      </c>
      <c r="B42" s="834" t="s">
        <v>445</v>
      </c>
      <c r="C42" s="834"/>
      <c r="D42" s="810"/>
      <c r="E42" s="812">
        <v>120000</v>
      </c>
      <c r="F42" s="813"/>
      <c r="G42" s="813"/>
      <c r="H42" s="813"/>
      <c r="I42" s="813"/>
      <c r="J42" s="813"/>
      <c r="K42" s="815"/>
      <c r="L42" s="813"/>
      <c r="M42" s="815"/>
      <c r="N42" s="815"/>
      <c r="O42" s="815"/>
      <c r="P42" s="815">
        <v>120000</v>
      </c>
      <c r="Q42" s="813">
        <v>78000</v>
      </c>
      <c r="R42" s="815">
        <v>92760</v>
      </c>
      <c r="S42" s="815"/>
      <c r="T42" s="815"/>
      <c r="U42" s="815"/>
      <c r="V42" s="813"/>
      <c r="W42" s="815"/>
      <c r="X42" s="798"/>
      <c r="Y42" s="815"/>
      <c r="Z42" s="721">
        <f>SUM(F42,K42,P42,U42)</f>
        <v>120000</v>
      </c>
      <c r="AA42" s="817">
        <v>78000</v>
      </c>
      <c r="AB42" s="817">
        <v>78000</v>
      </c>
      <c r="AC42" s="818">
        <f>AE42-Z42</f>
        <v>-120000</v>
      </c>
      <c r="AD42" s="819">
        <f t="shared" si="8"/>
        <v>0</v>
      </c>
      <c r="AE42" s="819"/>
      <c r="AF42" s="721">
        <f t="shared" si="44"/>
        <v>0</v>
      </c>
      <c r="AG42" s="721"/>
      <c r="AH42" s="721">
        <f t="shared" si="45"/>
        <v>0</v>
      </c>
      <c r="AI42" s="1086">
        <f t="shared" si="30"/>
        <v>0</v>
      </c>
      <c r="AJ42" s="722">
        <f t="shared" si="31"/>
        <v>0</v>
      </c>
      <c r="AK42" s="722"/>
    </row>
    <row r="43" spans="1:37" s="708" customFormat="1" x14ac:dyDescent="0.35">
      <c r="A43" s="822">
        <v>34</v>
      </c>
      <c r="B43" s="823" t="s">
        <v>63</v>
      </c>
      <c r="C43" s="823" t="s">
        <v>910</v>
      </c>
      <c r="D43" s="822" t="s">
        <v>64</v>
      </c>
      <c r="E43" s="828">
        <f t="shared" ref="E43" si="49">SUM(E44:E45)</f>
        <v>130000</v>
      </c>
      <c r="F43" s="824">
        <f t="shared" ref="F43:W43" si="50">SUM(F44:F45)</f>
        <v>0</v>
      </c>
      <c r="G43" s="824">
        <f t="shared" si="50"/>
        <v>0</v>
      </c>
      <c r="H43" s="824">
        <f t="shared" si="50"/>
        <v>0</v>
      </c>
      <c r="I43" s="824"/>
      <c r="J43" s="824"/>
      <c r="K43" s="824">
        <f t="shared" si="50"/>
        <v>0</v>
      </c>
      <c r="L43" s="824">
        <f t="shared" ref="L43" si="51">SUM(L44:L45)</f>
        <v>0</v>
      </c>
      <c r="M43" s="824">
        <f t="shared" si="50"/>
        <v>0</v>
      </c>
      <c r="N43" s="824"/>
      <c r="O43" s="824"/>
      <c r="P43" s="824">
        <f t="shared" si="50"/>
        <v>130000</v>
      </c>
      <c r="Q43" s="824">
        <f t="shared" ref="Q43" si="52">SUM(Q44:Q45)</f>
        <v>156000</v>
      </c>
      <c r="R43" s="824">
        <f t="shared" si="50"/>
        <v>110113</v>
      </c>
      <c r="S43" s="824">
        <v>100000</v>
      </c>
      <c r="T43" s="814">
        <v>70916</v>
      </c>
      <c r="U43" s="824">
        <f t="shared" si="50"/>
        <v>0</v>
      </c>
      <c r="V43" s="824">
        <f t="shared" ref="V43" si="53">SUM(V44:V45)</f>
        <v>0</v>
      </c>
      <c r="W43" s="824">
        <f t="shared" si="50"/>
        <v>0</v>
      </c>
      <c r="X43" s="797"/>
      <c r="Y43" s="824"/>
      <c r="Z43" s="721">
        <f>SUM(F43,K43,P43,U43)</f>
        <v>130000</v>
      </c>
      <c r="AA43" s="817">
        <v>156000</v>
      </c>
      <c r="AB43" s="817">
        <v>156000</v>
      </c>
      <c r="AC43" s="818">
        <f>AE43-Z43</f>
        <v>0</v>
      </c>
      <c r="AD43" s="819">
        <f t="shared" si="8"/>
        <v>130000</v>
      </c>
      <c r="AE43" s="820">
        <v>130000</v>
      </c>
      <c r="AF43" s="721">
        <f t="shared" si="44"/>
        <v>70916</v>
      </c>
      <c r="AG43" s="721">
        <v>90103</v>
      </c>
      <c r="AH43" s="721">
        <f t="shared" si="45"/>
        <v>100000</v>
      </c>
      <c r="AI43" s="1086">
        <f t="shared" si="30"/>
        <v>-9376</v>
      </c>
      <c r="AJ43" s="722">
        <f t="shared" si="31"/>
        <v>90624</v>
      </c>
      <c r="AK43" s="591">
        <v>90624</v>
      </c>
    </row>
    <row r="44" spans="1:37" s="708" customFormat="1" hidden="1" x14ac:dyDescent="0.35">
      <c r="A44" s="810">
        <v>35</v>
      </c>
      <c r="B44" s="829" t="s">
        <v>446</v>
      </c>
      <c r="C44" s="829"/>
      <c r="D44" s="810"/>
      <c r="E44" s="812">
        <v>130000</v>
      </c>
      <c r="F44" s="813"/>
      <c r="G44" s="813"/>
      <c r="H44" s="813"/>
      <c r="I44" s="813"/>
      <c r="J44" s="813"/>
      <c r="K44" s="815"/>
      <c r="L44" s="813"/>
      <c r="M44" s="815"/>
      <c r="N44" s="815"/>
      <c r="O44" s="815"/>
      <c r="P44" s="815">
        <v>130000</v>
      </c>
      <c r="Q44" s="813">
        <v>156000</v>
      </c>
      <c r="R44" s="815">
        <v>110113</v>
      </c>
      <c r="S44" s="815"/>
      <c r="T44" s="815"/>
      <c r="U44" s="815"/>
      <c r="V44" s="813"/>
      <c r="W44" s="815"/>
      <c r="X44" s="798"/>
      <c r="Y44" s="815"/>
      <c r="Z44" s="721">
        <f>SUM(F44,K44,P44,U44)</f>
        <v>130000</v>
      </c>
      <c r="AA44" s="817">
        <v>156000</v>
      </c>
      <c r="AB44" s="817">
        <v>156000</v>
      </c>
      <c r="AC44" s="818">
        <f>AE44-Z44</f>
        <v>-130000</v>
      </c>
      <c r="AD44" s="819">
        <f t="shared" si="8"/>
        <v>0</v>
      </c>
      <c r="AE44" s="819"/>
      <c r="AF44" s="721">
        <f t="shared" si="44"/>
        <v>0</v>
      </c>
      <c r="AG44" s="721"/>
      <c r="AH44" s="721">
        <f t="shared" si="45"/>
        <v>0</v>
      </c>
      <c r="AI44" s="1086">
        <f t="shared" si="30"/>
        <v>0</v>
      </c>
      <c r="AJ44" s="722">
        <f t="shared" si="31"/>
        <v>0</v>
      </c>
      <c r="AK44" s="722"/>
    </row>
    <row r="45" spans="1:37" s="708" customFormat="1" hidden="1" x14ac:dyDescent="0.35">
      <c r="A45" s="810">
        <v>36</v>
      </c>
      <c r="B45" s="829"/>
      <c r="C45" s="829"/>
      <c r="D45" s="810"/>
      <c r="E45" s="812"/>
      <c r="F45" s="813"/>
      <c r="G45" s="813"/>
      <c r="H45" s="813"/>
      <c r="I45" s="813"/>
      <c r="J45" s="813"/>
      <c r="K45" s="815"/>
      <c r="L45" s="813"/>
      <c r="M45" s="815"/>
      <c r="N45" s="815"/>
      <c r="O45" s="815"/>
      <c r="P45" s="815"/>
      <c r="Q45" s="813"/>
      <c r="R45" s="815"/>
      <c r="S45" s="815"/>
      <c r="T45" s="815"/>
      <c r="U45" s="815"/>
      <c r="V45" s="813"/>
      <c r="W45" s="815"/>
      <c r="X45" s="798"/>
      <c r="Y45" s="815"/>
      <c r="Z45" s="721">
        <f>SUM(F45,K45,P45,U45)</f>
        <v>0</v>
      </c>
      <c r="AA45" s="817">
        <v>0</v>
      </c>
      <c r="AB45" s="817">
        <v>0</v>
      </c>
      <c r="AC45" s="818">
        <f>AE45-Z45</f>
        <v>0</v>
      </c>
      <c r="AD45" s="819">
        <f t="shared" si="8"/>
        <v>0</v>
      </c>
      <c r="AE45" s="819"/>
      <c r="AF45" s="721">
        <f t="shared" si="44"/>
        <v>0</v>
      </c>
      <c r="AG45" s="721"/>
      <c r="AH45" s="721">
        <f t="shared" si="45"/>
        <v>0</v>
      </c>
      <c r="AI45" s="1086">
        <f t="shared" si="30"/>
        <v>0</v>
      </c>
      <c r="AJ45" s="722">
        <f t="shared" si="31"/>
        <v>0</v>
      </c>
      <c r="AK45" s="722"/>
    </row>
    <row r="46" spans="1:37" s="530" customFormat="1" x14ac:dyDescent="0.35">
      <c r="A46" s="831">
        <v>37</v>
      </c>
      <c r="B46" s="832" t="s">
        <v>68</v>
      </c>
      <c r="C46" s="832"/>
      <c r="D46" s="831" t="s">
        <v>69</v>
      </c>
      <c r="E46" s="833">
        <f>SUM(E41,E43)</f>
        <v>250000</v>
      </c>
      <c r="F46" s="833">
        <f t="shared" ref="F46:Y46" si="54">SUM(F41,F43)</f>
        <v>0</v>
      </c>
      <c r="G46" s="833">
        <f t="shared" si="54"/>
        <v>0</v>
      </c>
      <c r="H46" s="833">
        <f t="shared" si="54"/>
        <v>0</v>
      </c>
      <c r="I46" s="833">
        <f>SUM(I41:I43)</f>
        <v>0</v>
      </c>
      <c r="J46" s="833">
        <f t="shared" si="54"/>
        <v>0</v>
      </c>
      <c r="K46" s="833">
        <f t="shared" si="54"/>
        <v>0</v>
      </c>
      <c r="L46" s="833">
        <f t="shared" si="54"/>
        <v>0</v>
      </c>
      <c r="M46" s="833">
        <f t="shared" si="54"/>
        <v>0</v>
      </c>
      <c r="N46" s="833"/>
      <c r="O46" s="833">
        <f t="shared" si="54"/>
        <v>0</v>
      </c>
      <c r="P46" s="833">
        <f t="shared" si="54"/>
        <v>250000</v>
      </c>
      <c r="Q46" s="833">
        <f t="shared" si="54"/>
        <v>234000</v>
      </c>
      <c r="R46" s="833">
        <f t="shared" si="54"/>
        <v>202873</v>
      </c>
      <c r="S46" s="833">
        <f>S41+S43</f>
        <v>250000</v>
      </c>
      <c r="T46" s="833">
        <f>SUM(T41:T43)</f>
        <v>225283</v>
      </c>
      <c r="U46" s="833">
        <f t="shared" si="54"/>
        <v>0</v>
      </c>
      <c r="V46" s="833">
        <f t="shared" si="54"/>
        <v>0</v>
      </c>
      <c r="W46" s="833">
        <f t="shared" si="54"/>
        <v>0</v>
      </c>
      <c r="X46" s="799"/>
      <c r="Y46" s="833">
        <f t="shared" si="54"/>
        <v>0</v>
      </c>
      <c r="Z46" s="714">
        <f>SUM(Z41,Z43)</f>
        <v>250000</v>
      </c>
      <c r="AA46" s="714">
        <f t="shared" ref="AA46:AE46" si="55">SUM(AA41,AA43)</f>
        <v>234000</v>
      </c>
      <c r="AB46" s="714">
        <f t="shared" si="55"/>
        <v>234000</v>
      </c>
      <c r="AC46" s="714">
        <f t="shared" si="55"/>
        <v>56000</v>
      </c>
      <c r="AD46" s="714">
        <f t="shared" si="55"/>
        <v>306000</v>
      </c>
      <c r="AE46" s="714">
        <f t="shared" si="55"/>
        <v>306000</v>
      </c>
      <c r="AF46" s="714">
        <f t="shared" si="44"/>
        <v>225283</v>
      </c>
      <c r="AG46" s="714">
        <f>AG41+AG43</f>
        <v>257670</v>
      </c>
      <c r="AH46" s="714">
        <f t="shared" si="45"/>
        <v>250000</v>
      </c>
      <c r="AI46" s="1086">
        <f t="shared" si="30"/>
        <v>-27256</v>
      </c>
      <c r="AJ46" s="722">
        <f t="shared" si="31"/>
        <v>222744</v>
      </c>
      <c r="AK46" s="941">
        <f>SUM(AK41:AK43)</f>
        <v>222744</v>
      </c>
    </row>
    <row r="47" spans="1:37" s="708" customFormat="1" x14ac:dyDescent="0.35">
      <c r="A47" s="822">
        <v>38</v>
      </c>
      <c r="B47" s="823" t="s">
        <v>70</v>
      </c>
      <c r="C47" s="823" t="s">
        <v>911</v>
      </c>
      <c r="D47" s="822" t="s">
        <v>71</v>
      </c>
      <c r="E47" s="828">
        <f>SUM(E48:E50)</f>
        <v>1750000</v>
      </c>
      <c r="F47" s="824">
        <f t="shared" ref="F47" si="56">SUM(F48:F50)</f>
        <v>0</v>
      </c>
      <c r="G47" s="824">
        <f t="shared" ref="G47:W47" si="57">SUM(G48:G50)</f>
        <v>0</v>
      </c>
      <c r="H47" s="824">
        <f t="shared" si="57"/>
        <v>0</v>
      </c>
      <c r="I47" s="824"/>
      <c r="J47" s="824"/>
      <c r="K47" s="824">
        <f t="shared" si="57"/>
        <v>0</v>
      </c>
      <c r="L47" s="824">
        <f t="shared" ref="L47" si="58">SUM(L48:L50)</f>
        <v>0</v>
      </c>
      <c r="M47" s="824">
        <f t="shared" si="57"/>
        <v>0</v>
      </c>
      <c r="N47" s="824"/>
      <c r="O47" s="824"/>
      <c r="P47" s="824">
        <f t="shared" si="57"/>
        <v>1750000</v>
      </c>
      <c r="Q47" s="824">
        <f t="shared" ref="Q47" si="59">SUM(Q48:Q50)</f>
        <v>2680000</v>
      </c>
      <c r="R47" s="824">
        <f t="shared" si="57"/>
        <v>1340313</v>
      </c>
      <c r="S47" s="824">
        <v>1750000</v>
      </c>
      <c r="T47" s="814">
        <v>1532265</v>
      </c>
      <c r="U47" s="824">
        <f t="shared" si="57"/>
        <v>0</v>
      </c>
      <c r="V47" s="824">
        <f t="shared" ref="V47" si="60">SUM(V48:V50)</f>
        <v>0</v>
      </c>
      <c r="W47" s="824">
        <f t="shared" si="57"/>
        <v>0</v>
      </c>
      <c r="X47" s="797"/>
      <c r="Y47" s="824"/>
      <c r="Z47" s="721">
        <f t="shared" ref="Z47:Z69" si="61">SUM(F47,K47,P47,U47)</f>
        <v>1750000</v>
      </c>
      <c r="AA47" s="817">
        <v>2680000</v>
      </c>
      <c r="AB47" s="817">
        <v>2680000</v>
      </c>
      <c r="AC47" s="818">
        <f t="shared" ref="AC47:AC65" si="62">AE47-Z47</f>
        <v>-75000</v>
      </c>
      <c r="AD47" s="819">
        <f t="shared" si="8"/>
        <v>1675000</v>
      </c>
      <c r="AE47" s="820">
        <v>1675000</v>
      </c>
      <c r="AF47" s="721">
        <f t="shared" si="44"/>
        <v>1532265</v>
      </c>
      <c r="AG47" s="721">
        <v>1792256</v>
      </c>
      <c r="AH47" s="721">
        <f t="shared" si="45"/>
        <v>1750000</v>
      </c>
      <c r="AI47" s="1086">
        <f t="shared" si="30"/>
        <v>58706</v>
      </c>
      <c r="AJ47" s="722">
        <f t="shared" si="31"/>
        <v>1808706</v>
      </c>
      <c r="AK47" s="591">
        <v>1808706</v>
      </c>
    </row>
    <row r="48" spans="1:37" s="708" customFormat="1" hidden="1" x14ac:dyDescent="0.35">
      <c r="A48" s="810">
        <v>39</v>
      </c>
      <c r="B48" s="834" t="s">
        <v>72</v>
      </c>
      <c r="C48" s="834"/>
      <c r="D48" s="810"/>
      <c r="E48" s="835">
        <v>200000</v>
      </c>
      <c r="F48" s="813"/>
      <c r="G48" s="813">
        <f>F48</f>
        <v>0</v>
      </c>
      <c r="H48" s="813"/>
      <c r="I48" s="813"/>
      <c r="J48" s="813"/>
      <c r="K48" s="815"/>
      <c r="L48" s="813">
        <f>K48</f>
        <v>0</v>
      </c>
      <c r="M48" s="815"/>
      <c r="N48" s="815"/>
      <c r="O48" s="815"/>
      <c r="P48" s="815">
        <v>200000</v>
      </c>
      <c r="Q48" s="813">
        <v>500000</v>
      </c>
      <c r="R48" s="815">
        <v>146495</v>
      </c>
      <c r="S48" s="815"/>
      <c r="T48" s="815"/>
      <c r="U48" s="815"/>
      <c r="V48" s="813">
        <f>U48</f>
        <v>0</v>
      </c>
      <c r="W48" s="815"/>
      <c r="X48" s="798"/>
      <c r="Y48" s="815"/>
      <c r="Z48" s="721">
        <f t="shared" si="61"/>
        <v>200000</v>
      </c>
      <c r="AA48" s="817">
        <v>500000</v>
      </c>
      <c r="AB48" s="817">
        <v>500000</v>
      </c>
      <c r="AC48" s="818">
        <f t="shared" si="62"/>
        <v>-200000</v>
      </c>
      <c r="AD48" s="819">
        <f t="shared" si="8"/>
        <v>0</v>
      </c>
      <c r="AE48" s="819"/>
      <c r="AF48" s="721">
        <f t="shared" si="44"/>
        <v>0</v>
      </c>
      <c r="AG48" s="721"/>
      <c r="AH48" s="721">
        <f t="shared" si="45"/>
        <v>0</v>
      </c>
      <c r="AI48" s="1086">
        <f t="shared" si="30"/>
        <v>0</v>
      </c>
      <c r="AJ48" s="722">
        <f t="shared" si="31"/>
        <v>0</v>
      </c>
      <c r="AK48" s="722"/>
    </row>
    <row r="49" spans="1:37" s="708" customFormat="1" hidden="1" x14ac:dyDescent="0.35">
      <c r="A49" s="810">
        <v>40</v>
      </c>
      <c r="B49" s="834" t="s">
        <v>73</v>
      </c>
      <c r="C49" s="834"/>
      <c r="D49" s="810"/>
      <c r="E49" s="835">
        <v>1200000</v>
      </c>
      <c r="F49" s="813"/>
      <c r="G49" s="813">
        <f t="shared" ref="G49:G50" si="63">F49</f>
        <v>0</v>
      </c>
      <c r="H49" s="813"/>
      <c r="I49" s="813"/>
      <c r="J49" s="813"/>
      <c r="K49" s="815"/>
      <c r="L49" s="813">
        <f t="shared" ref="L49:L50" si="64">K49</f>
        <v>0</v>
      </c>
      <c r="M49" s="815"/>
      <c r="N49" s="815"/>
      <c r="O49" s="815"/>
      <c r="P49" s="815">
        <v>1200000</v>
      </c>
      <c r="Q49" s="813">
        <v>1500000</v>
      </c>
      <c r="R49" s="815">
        <v>957877</v>
      </c>
      <c r="S49" s="815"/>
      <c r="T49" s="815"/>
      <c r="U49" s="815"/>
      <c r="V49" s="813">
        <f t="shared" ref="V49:V50" si="65">U49</f>
        <v>0</v>
      </c>
      <c r="W49" s="815"/>
      <c r="X49" s="798"/>
      <c r="Y49" s="815"/>
      <c r="Z49" s="721">
        <f t="shared" si="61"/>
        <v>1200000</v>
      </c>
      <c r="AA49" s="817">
        <v>1500000</v>
      </c>
      <c r="AB49" s="817">
        <v>1500000</v>
      </c>
      <c r="AC49" s="818">
        <f t="shared" si="62"/>
        <v>-1200000</v>
      </c>
      <c r="AD49" s="819">
        <f t="shared" si="8"/>
        <v>0</v>
      </c>
      <c r="AE49" s="819"/>
      <c r="AF49" s="721">
        <f t="shared" si="44"/>
        <v>0</v>
      </c>
      <c r="AG49" s="721"/>
      <c r="AH49" s="721">
        <f t="shared" si="45"/>
        <v>0</v>
      </c>
      <c r="AI49" s="1086">
        <f t="shared" si="30"/>
        <v>0</v>
      </c>
      <c r="AJ49" s="722">
        <f t="shared" si="31"/>
        <v>0</v>
      </c>
      <c r="AK49" s="722"/>
    </row>
    <row r="50" spans="1:37" s="708" customFormat="1" hidden="1" x14ac:dyDescent="0.35">
      <c r="A50" s="810">
        <v>41</v>
      </c>
      <c r="B50" s="834" t="s">
        <v>74</v>
      </c>
      <c r="C50" s="834"/>
      <c r="D50" s="810"/>
      <c r="E50" s="835">
        <v>350000</v>
      </c>
      <c r="F50" s="813"/>
      <c r="G50" s="813">
        <f t="shared" si="63"/>
        <v>0</v>
      </c>
      <c r="H50" s="813"/>
      <c r="I50" s="813"/>
      <c r="J50" s="813"/>
      <c r="K50" s="815"/>
      <c r="L50" s="813">
        <f t="shared" si="64"/>
        <v>0</v>
      </c>
      <c r="M50" s="815"/>
      <c r="N50" s="815"/>
      <c r="O50" s="815"/>
      <c r="P50" s="815">
        <v>350000</v>
      </c>
      <c r="Q50" s="813">
        <v>680000</v>
      </c>
      <c r="R50" s="815">
        <v>235941</v>
      </c>
      <c r="S50" s="815"/>
      <c r="T50" s="815"/>
      <c r="U50" s="815"/>
      <c r="V50" s="813">
        <f t="shared" si="65"/>
        <v>0</v>
      </c>
      <c r="W50" s="815"/>
      <c r="X50" s="798"/>
      <c r="Y50" s="815"/>
      <c r="Z50" s="721">
        <f t="shared" si="61"/>
        <v>350000</v>
      </c>
      <c r="AA50" s="817">
        <v>680000</v>
      </c>
      <c r="AB50" s="817">
        <v>680000</v>
      </c>
      <c r="AC50" s="818">
        <f t="shared" si="62"/>
        <v>-350000</v>
      </c>
      <c r="AD50" s="819">
        <f t="shared" si="8"/>
        <v>0</v>
      </c>
      <c r="AE50" s="819"/>
      <c r="AF50" s="721">
        <f t="shared" si="44"/>
        <v>0</v>
      </c>
      <c r="AG50" s="721"/>
      <c r="AH50" s="721">
        <f t="shared" si="45"/>
        <v>0</v>
      </c>
      <c r="AI50" s="1086">
        <f t="shared" si="30"/>
        <v>0</v>
      </c>
      <c r="AJ50" s="722">
        <f t="shared" si="31"/>
        <v>0</v>
      </c>
      <c r="AK50" s="722"/>
    </row>
    <row r="51" spans="1:37" s="708" customFormat="1" hidden="1" x14ac:dyDescent="0.35">
      <c r="A51" s="822">
        <v>42</v>
      </c>
      <c r="B51" s="823" t="s">
        <v>75</v>
      </c>
      <c r="C51" s="823"/>
      <c r="D51" s="822" t="s">
        <v>76</v>
      </c>
      <c r="E51" s="828">
        <f t="shared" ref="E51:W51" si="66">E52</f>
        <v>0</v>
      </c>
      <c r="F51" s="824">
        <f t="shared" si="66"/>
        <v>0</v>
      </c>
      <c r="G51" s="824">
        <f t="shared" si="66"/>
        <v>0</v>
      </c>
      <c r="H51" s="824">
        <f t="shared" si="66"/>
        <v>0</v>
      </c>
      <c r="I51" s="824"/>
      <c r="J51" s="824"/>
      <c r="K51" s="824">
        <f t="shared" si="66"/>
        <v>0</v>
      </c>
      <c r="L51" s="824">
        <f t="shared" si="66"/>
        <v>0</v>
      </c>
      <c r="M51" s="824">
        <f t="shared" si="66"/>
        <v>0</v>
      </c>
      <c r="N51" s="824"/>
      <c r="O51" s="824"/>
      <c r="P51" s="824">
        <f t="shared" si="66"/>
        <v>0</v>
      </c>
      <c r="Q51" s="824">
        <f t="shared" si="66"/>
        <v>0</v>
      </c>
      <c r="R51" s="824">
        <f t="shared" si="66"/>
        <v>0</v>
      </c>
      <c r="S51" s="824"/>
      <c r="T51" s="824"/>
      <c r="U51" s="824">
        <f t="shared" si="66"/>
        <v>0</v>
      </c>
      <c r="V51" s="824">
        <f t="shared" si="66"/>
        <v>0</v>
      </c>
      <c r="W51" s="824">
        <f t="shared" si="66"/>
        <v>0</v>
      </c>
      <c r="X51" s="797"/>
      <c r="Y51" s="824"/>
      <c r="Z51" s="721">
        <f t="shared" si="61"/>
        <v>0</v>
      </c>
      <c r="AA51" s="817">
        <v>0</v>
      </c>
      <c r="AB51" s="817">
        <v>0</v>
      </c>
      <c r="AC51" s="818">
        <f t="shared" si="62"/>
        <v>0</v>
      </c>
      <c r="AD51" s="819">
        <f t="shared" si="8"/>
        <v>0</v>
      </c>
      <c r="AE51" s="819"/>
      <c r="AF51" s="721">
        <f t="shared" si="44"/>
        <v>0</v>
      </c>
      <c r="AG51" s="721"/>
      <c r="AH51" s="721">
        <f t="shared" si="45"/>
        <v>0</v>
      </c>
      <c r="AI51" s="1086">
        <f t="shared" si="30"/>
        <v>0</v>
      </c>
      <c r="AJ51" s="722">
        <f t="shared" si="31"/>
        <v>0</v>
      </c>
      <c r="AK51" s="722"/>
    </row>
    <row r="52" spans="1:37" s="708" customFormat="1" hidden="1" x14ac:dyDescent="0.35">
      <c r="A52" s="810">
        <v>43</v>
      </c>
      <c r="B52" s="811" t="s">
        <v>77</v>
      </c>
      <c r="C52" s="811"/>
      <c r="D52" s="810"/>
      <c r="E52" s="812"/>
      <c r="F52" s="813"/>
      <c r="G52" s="813">
        <f>F52</f>
        <v>0</v>
      </c>
      <c r="H52" s="813"/>
      <c r="I52" s="813"/>
      <c r="J52" s="813"/>
      <c r="K52" s="815"/>
      <c r="L52" s="813">
        <f>K52</f>
        <v>0</v>
      </c>
      <c r="M52" s="815"/>
      <c r="N52" s="815"/>
      <c r="O52" s="815"/>
      <c r="P52" s="815"/>
      <c r="Q52" s="813">
        <f>P52</f>
        <v>0</v>
      </c>
      <c r="R52" s="815"/>
      <c r="S52" s="815"/>
      <c r="T52" s="815"/>
      <c r="U52" s="815"/>
      <c r="V52" s="813">
        <f>U52</f>
        <v>0</v>
      </c>
      <c r="W52" s="815"/>
      <c r="X52" s="798"/>
      <c r="Y52" s="815"/>
      <c r="Z52" s="721">
        <f t="shared" si="61"/>
        <v>0</v>
      </c>
      <c r="AA52" s="817">
        <v>0</v>
      </c>
      <c r="AB52" s="817">
        <v>0</v>
      </c>
      <c r="AC52" s="818">
        <f t="shared" si="62"/>
        <v>0</v>
      </c>
      <c r="AD52" s="819">
        <f t="shared" si="8"/>
        <v>0</v>
      </c>
      <c r="AE52" s="819"/>
      <c r="AF52" s="721">
        <f t="shared" si="44"/>
        <v>0</v>
      </c>
      <c r="AG52" s="721"/>
      <c r="AH52" s="721">
        <f t="shared" si="45"/>
        <v>0</v>
      </c>
      <c r="AI52" s="1086">
        <f t="shared" si="30"/>
        <v>0</v>
      </c>
      <c r="AJ52" s="722">
        <f t="shared" si="31"/>
        <v>0</v>
      </c>
      <c r="AK52" s="722"/>
    </row>
    <row r="53" spans="1:37" s="708" customFormat="1" hidden="1" x14ac:dyDescent="0.35">
      <c r="A53" s="810">
        <v>44</v>
      </c>
      <c r="B53" s="811" t="s">
        <v>78</v>
      </c>
      <c r="C53" s="811"/>
      <c r="D53" s="810" t="s">
        <v>79</v>
      </c>
      <c r="E53" s="812"/>
      <c r="F53" s="813"/>
      <c r="G53" s="813">
        <f t="shared" ref="G53:G55" si="67">F53</f>
        <v>0</v>
      </c>
      <c r="H53" s="813"/>
      <c r="I53" s="813"/>
      <c r="J53" s="813"/>
      <c r="K53" s="815"/>
      <c r="L53" s="813">
        <f t="shared" ref="L53:L55" si="68">K53</f>
        <v>0</v>
      </c>
      <c r="M53" s="815"/>
      <c r="N53" s="815"/>
      <c r="O53" s="815"/>
      <c r="P53" s="815"/>
      <c r="Q53" s="813">
        <f t="shared" ref="Q53:Q55" si="69">P53</f>
        <v>0</v>
      </c>
      <c r="R53" s="815"/>
      <c r="S53" s="815"/>
      <c r="T53" s="815"/>
      <c r="U53" s="815"/>
      <c r="V53" s="813">
        <f t="shared" ref="V53:V55" si="70">U53</f>
        <v>0</v>
      </c>
      <c r="W53" s="815"/>
      <c r="X53" s="798"/>
      <c r="Y53" s="815"/>
      <c r="Z53" s="721">
        <f t="shared" si="61"/>
        <v>0</v>
      </c>
      <c r="AA53" s="817">
        <v>0</v>
      </c>
      <c r="AB53" s="817">
        <v>0</v>
      </c>
      <c r="AC53" s="818">
        <f t="shared" si="62"/>
        <v>0</v>
      </c>
      <c r="AD53" s="819">
        <f t="shared" si="8"/>
        <v>0</v>
      </c>
      <c r="AE53" s="819"/>
      <c r="AF53" s="721">
        <f t="shared" si="44"/>
        <v>0</v>
      </c>
      <c r="AG53" s="721"/>
      <c r="AH53" s="721">
        <f t="shared" si="45"/>
        <v>0</v>
      </c>
      <c r="AI53" s="1086">
        <f t="shared" si="30"/>
        <v>0</v>
      </c>
      <c r="AJ53" s="722">
        <f t="shared" si="31"/>
        <v>0</v>
      </c>
      <c r="AK53" s="722"/>
    </row>
    <row r="54" spans="1:37" s="708" customFormat="1" x14ac:dyDescent="0.35">
      <c r="A54" s="810">
        <v>45</v>
      </c>
      <c r="B54" s="811" t="s">
        <v>442</v>
      </c>
      <c r="C54" s="811" t="s">
        <v>946</v>
      </c>
      <c r="D54" s="810" t="s">
        <v>80</v>
      </c>
      <c r="E54" s="800">
        <v>100000</v>
      </c>
      <c r="F54" s="813"/>
      <c r="G54" s="813">
        <f t="shared" si="67"/>
        <v>0</v>
      </c>
      <c r="H54" s="813"/>
      <c r="I54" s="813"/>
      <c r="J54" s="813"/>
      <c r="K54" s="815"/>
      <c r="L54" s="813">
        <f t="shared" si="68"/>
        <v>0</v>
      </c>
      <c r="M54" s="815"/>
      <c r="N54" s="815"/>
      <c r="O54" s="815"/>
      <c r="P54" s="815">
        <v>100000</v>
      </c>
      <c r="Q54" s="813">
        <v>121000</v>
      </c>
      <c r="R54" s="815">
        <v>63300</v>
      </c>
      <c r="S54" s="815">
        <v>200000</v>
      </c>
      <c r="T54" s="814">
        <v>64818</v>
      </c>
      <c r="U54" s="815"/>
      <c r="V54" s="813">
        <f t="shared" si="70"/>
        <v>0</v>
      </c>
      <c r="W54" s="815"/>
      <c r="X54" s="798"/>
      <c r="Y54" s="815"/>
      <c r="Z54" s="721">
        <f t="shared" si="61"/>
        <v>100000</v>
      </c>
      <c r="AA54" s="817">
        <v>121000</v>
      </c>
      <c r="AB54" s="817">
        <v>121000</v>
      </c>
      <c r="AC54" s="818">
        <f t="shared" si="62"/>
        <v>0</v>
      </c>
      <c r="AD54" s="819">
        <f t="shared" si="8"/>
        <v>100000</v>
      </c>
      <c r="AE54" s="820">
        <v>100000</v>
      </c>
      <c r="AF54" s="721">
        <f t="shared" si="44"/>
        <v>64818</v>
      </c>
      <c r="AG54" s="721">
        <v>64818</v>
      </c>
      <c r="AH54" s="721">
        <f t="shared" si="45"/>
        <v>200000</v>
      </c>
      <c r="AI54" s="1086">
        <f t="shared" si="30"/>
        <v>-173300</v>
      </c>
      <c r="AJ54" s="722">
        <f t="shared" si="31"/>
        <v>26700</v>
      </c>
      <c r="AK54" s="591">
        <v>26700</v>
      </c>
    </row>
    <row r="55" spans="1:37" s="708" customFormat="1" x14ac:dyDescent="0.35">
      <c r="A55" s="810">
        <v>46</v>
      </c>
      <c r="B55" s="811" t="s">
        <v>81</v>
      </c>
      <c r="C55" s="811"/>
      <c r="D55" s="810" t="s">
        <v>82</v>
      </c>
      <c r="E55" s="812"/>
      <c r="F55" s="813"/>
      <c r="G55" s="813">
        <f t="shared" si="67"/>
        <v>0</v>
      </c>
      <c r="H55" s="813"/>
      <c r="I55" s="813"/>
      <c r="J55" s="813"/>
      <c r="K55" s="815"/>
      <c r="L55" s="813">
        <f t="shared" si="68"/>
        <v>0</v>
      </c>
      <c r="M55" s="815"/>
      <c r="N55" s="815"/>
      <c r="O55" s="815"/>
      <c r="P55" s="815"/>
      <c r="Q55" s="813">
        <f t="shared" si="69"/>
        <v>0</v>
      </c>
      <c r="R55" s="815"/>
      <c r="S55" s="815"/>
      <c r="T55" s="815"/>
      <c r="U55" s="815"/>
      <c r="V55" s="813">
        <f t="shared" si="70"/>
        <v>0</v>
      </c>
      <c r="W55" s="815"/>
      <c r="X55" s="798"/>
      <c r="Y55" s="815"/>
      <c r="Z55" s="721">
        <f t="shared" si="61"/>
        <v>0</v>
      </c>
      <c r="AA55" s="817">
        <v>0</v>
      </c>
      <c r="AB55" s="817">
        <v>0</v>
      </c>
      <c r="AC55" s="818">
        <f t="shared" si="62"/>
        <v>0</v>
      </c>
      <c r="AD55" s="819">
        <f t="shared" si="8"/>
        <v>0</v>
      </c>
      <c r="AE55" s="819"/>
      <c r="AF55" s="721">
        <f t="shared" si="44"/>
        <v>0</v>
      </c>
      <c r="AG55" s="721"/>
      <c r="AH55" s="721">
        <f t="shared" si="45"/>
        <v>0</v>
      </c>
      <c r="AI55" s="1086">
        <f t="shared" si="30"/>
        <v>0</v>
      </c>
      <c r="AJ55" s="722">
        <f t="shared" si="31"/>
        <v>0</v>
      </c>
      <c r="AK55" s="722"/>
    </row>
    <row r="56" spans="1:37" s="708" customFormat="1" x14ac:dyDescent="0.35">
      <c r="A56" s="822">
        <v>47</v>
      </c>
      <c r="B56" s="823" t="s">
        <v>83</v>
      </c>
      <c r="C56" s="823" t="s">
        <v>948</v>
      </c>
      <c r="D56" s="822" t="s">
        <v>84</v>
      </c>
      <c r="E56" s="828">
        <f t="shared" ref="E56" si="71">SUM(E57:E59)</f>
        <v>110000</v>
      </c>
      <c r="F56" s="824">
        <f t="shared" ref="F56:Y56" si="72">SUM(F57:F59)</f>
        <v>110000</v>
      </c>
      <c r="G56" s="824">
        <f t="shared" si="72"/>
        <v>110000</v>
      </c>
      <c r="H56" s="824">
        <f t="shared" si="72"/>
        <v>110000</v>
      </c>
      <c r="I56" s="824"/>
      <c r="J56" s="824">
        <f t="shared" si="72"/>
        <v>110000</v>
      </c>
      <c r="K56" s="824">
        <f t="shared" si="72"/>
        <v>0</v>
      </c>
      <c r="L56" s="824">
        <f t="shared" si="72"/>
        <v>0</v>
      </c>
      <c r="M56" s="824">
        <f t="shared" si="72"/>
        <v>115000</v>
      </c>
      <c r="N56" s="824"/>
      <c r="O56" s="824">
        <f t="shared" si="72"/>
        <v>0</v>
      </c>
      <c r="P56" s="824">
        <f t="shared" si="72"/>
        <v>0</v>
      </c>
      <c r="Q56" s="824">
        <f t="shared" si="72"/>
        <v>0</v>
      </c>
      <c r="R56" s="824">
        <f t="shared" si="72"/>
        <v>0</v>
      </c>
      <c r="S56" s="824">
        <v>200000</v>
      </c>
      <c r="T56" s="824">
        <f t="shared" si="72"/>
        <v>69000</v>
      </c>
      <c r="U56" s="824">
        <f t="shared" si="72"/>
        <v>0</v>
      </c>
      <c r="V56" s="824">
        <f t="shared" si="72"/>
        <v>0</v>
      </c>
      <c r="W56" s="824">
        <f t="shared" si="72"/>
        <v>0</v>
      </c>
      <c r="X56" s="797"/>
      <c r="Y56" s="824">
        <f t="shared" si="72"/>
        <v>0</v>
      </c>
      <c r="Z56" s="721">
        <f t="shared" si="61"/>
        <v>110000</v>
      </c>
      <c r="AA56" s="817">
        <v>110000</v>
      </c>
      <c r="AB56" s="817">
        <v>110000</v>
      </c>
      <c r="AC56" s="818">
        <f t="shared" si="62"/>
        <v>69000</v>
      </c>
      <c r="AD56" s="819">
        <f t="shared" si="8"/>
        <v>179000</v>
      </c>
      <c r="AE56" s="820">
        <v>179000</v>
      </c>
      <c r="AF56" s="721">
        <f t="shared" si="44"/>
        <v>179000</v>
      </c>
      <c r="AG56" s="721">
        <v>179000</v>
      </c>
      <c r="AH56" s="721">
        <f t="shared" si="45"/>
        <v>200000</v>
      </c>
      <c r="AI56" s="1086">
        <f t="shared" si="30"/>
        <v>-126200</v>
      </c>
      <c r="AJ56" s="722">
        <f t="shared" si="31"/>
        <v>73800</v>
      </c>
      <c r="AK56" s="591">
        <v>73800</v>
      </c>
    </row>
    <row r="57" spans="1:37" s="708" customFormat="1" hidden="1" x14ac:dyDescent="0.35">
      <c r="A57" s="810">
        <v>48</v>
      </c>
      <c r="B57" s="829" t="s">
        <v>412</v>
      </c>
      <c r="C57" s="829"/>
      <c r="D57" s="810"/>
      <c r="E57" s="812"/>
      <c r="F57" s="813"/>
      <c r="G57" s="813">
        <f>F57</f>
        <v>0</v>
      </c>
      <c r="H57" s="813"/>
      <c r="I57" s="813"/>
      <c r="J57" s="813"/>
      <c r="K57" s="815"/>
      <c r="L57" s="813">
        <f>K57</f>
        <v>0</v>
      </c>
      <c r="M57" s="815"/>
      <c r="N57" s="815"/>
      <c r="O57" s="815"/>
      <c r="P57" s="815"/>
      <c r="Q57" s="813">
        <f>P57</f>
        <v>0</v>
      </c>
      <c r="R57" s="815"/>
      <c r="S57" s="815"/>
      <c r="T57" s="815"/>
      <c r="U57" s="815"/>
      <c r="V57" s="813">
        <f>U57</f>
        <v>0</v>
      </c>
      <c r="W57" s="815"/>
      <c r="X57" s="798"/>
      <c r="Y57" s="815"/>
      <c r="Z57" s="721">
        <f t="shared" si="61"/>
        <v>0</v>
      </c>
      <c r="AA57" s="817">
        <v>0</v>
      </c>
      <c r="AB57" s="817">
        <v>0</v>
      </c>
      <c r="AC57" s="818">
        <f t="shared" si="62"/>
        <v>0</v>
      </c>
      <c r="AD57" s="819">
        <f t="shared" si="8"/>
        <v>0</v>
      </c>
      <c r="AE57" s="819"/>
      <c r="AF57" s="721">
        <f t="shared" si="44"/>
        <v>0</v>
      </c>
      <c r="AG57" s="721"/>
      <c r="AH57" s="721">
        <f t="shared" si="45"/>
        <v>0</v>
      </c>
      <c r="AI57" s="1086">
        <f t="shared" si="30"/>
        <v>0</v>
      </c>
      <c r="AJ57" s="722">
        <f t="shared" si="31"/>
        <v>0</v>
      </c>
      <c r="AK57" s="722"/>
    </row>
    <row r="58" spans="1:37" s="708" customFormat="1" ht="28.5" hidden="1" x14ac:dyDescent="0.35">
      <c r="A58" s="810">
        <v>49</v>
      </c>
      <c r="B58" s="829" t="s">
        <v>447</v>
      </c>
      <c r="C58" s="829"/>
      <c r="D58" s="810"/>
      <c r="E58" s="812">
        <v>110000</v>
      </c>
      <c r="F58" s="813">
        <v>110000</v>
      </c>
      <c r="G58" s="813">
        <v>110000</v>
      </c>
      <c r="H58" s="813">
        <v>110000</v>
      </c>
      <c r="I58" s="813"/>
      <c r="J58" s="814">
        <v>110000</v>
      </c>
      <c r="K58" s="815"/>
      <c r="L58" s="813">
        <f t="shared" ref="L58:L59" si="73">K58</f>
        <v>0</v>
      </c>
      <c r="M58" s="815">
        <v>115000</v>
      </c>
      <c r="N58" s="815"/>
      <c r="O58" s="815"/>
      <c r="P58" s="815"/>
      <c r="Q58" s="813">
        <f t="shared" ref="Q58:Q59" si="74">P58</f>
        <v>0</v>
      </c>
      <c r="R58" s="815"/>
      <c r="S58" s="815"/>
      <c r="T58" s="814">
        <v>69000</v>
      </c>
      <c r="U58" s="815"/>
      <c r="V58" s="813">
        <f t="shared" ref="V58:V59" si="75">U58</f>
        <v>0</v>
      </c>
      <c r="W58" s="815"/>
      <c r="X58" s="798"/>
      <c r="Y58" s="815"/>
      <c r="Z58" s="721">
        <f t="shared" si="61"/>
        <v>110000</v>
      </c>
      <c r="AA58" s="817">
        <v>110000</v>
      </c>
      <c r="AB58" s="817">
        <v>110000</v>
      </c>
      <c r="AC58" s="818">
        <f t="shared" si="62"/>
        <v>-110000</v>
      </c>
      <c r="AD58" s="819">
        <f t="shared" si="8"/>
        <v>0</v>
      </c>
      <c r="AE58" s="819"/>
      <c r="AF58" s="721">
        <f t="shared" si="44"/>
        <v>179000</v>
      </c>
      <c r="AG58" s="721"/>
      <c r="AH58" s="721">
        <f t="shared" si="45"/>
        <v>0</v>
      </c>
      <c r="AI58" s="1086">
        <f t="shared" si="30"/>
        <v>0</v>
      </c>
      <c r="AJ58" s="722">
        <f t="shared" si="31"/>
        <v>0</v>
      </c>
      <c r="AK58" s="722"/>
    </row>
    <row r="59" spans="1:37" s="708" customFormat="1" hidden="1" x14ac:dyDescent="0.35">
      <c r="A59" s="810">
        <v>50</v>
      </c>
      <c r="B59" s="829" t="s">
        <v>413</v>
      </c>
      <c r="C59" s="829"/>
      <c r="D59" s="810"/>
      <c r="E59" s="812"/>
      <c r="F59" s="813"/>
      <c r="G59" s="813">
        <f t="shared" ref="G59" si="76">F59</f>
        <v>0</v>
      </c>
      <c r="H59" s="813"/>
      <c r="I59" s="813"/>
      <c r="J59" s="813"/>
      <c r="K59" s="815"/>
      <c r="L59" s="813">
        <f t="shared" si="73"/>
        <v>0</v>
      </c>
      <c r="M59" s="815"/>
      <c r="N59" s="815"/>
      <c r="O59" s="815"/>
      <c r="P59" s="815"/>
      <c r="Q59" s="813">
        <f t="shared" si="74"/>
        <v>0</v>
      </c>
      <c r="R59" s="815"/>
      <c r="S59" s="815"/>
      <c r="T59" s="815"/>
      <c r="U59" s="815"/>
      <c r="V59" s="813">
        <f t="shared" si="75"/>
        <v>0</v>
      </c>
      <c r="W59" s="815"/>
      <c r="X59" s="798"/>
      <c r="Y59" s="815"/>
      <c r="Z59" s="721">
        <f t="shared" si="61"/>
        <v>0</v>
      </c>
      <c r="AA59" s="817">
        <v>0</v>
      </c>
      <c r="AB59" s="817">
        <v>0</v>
      </c>
      <c r="AC59" s="818">
        <f t="shared" si="62"/>
        <v>0</v>
      </c>
      <c r="AD59" s="819">
        <f t="shared" si="8"/>
        <v>0</v>
      </c>
      <c r="AE59" s="819"/>
      <c r="AF59" s="721">
        <f t="shared" si="44"/>
        <v>0</v>
      </c>
      <c r="AG59" s="721"/>
      <c r="AH59" s="721">
        <f t="shared" si="45"/>
        <v>0</v>
      </c>
      <c r="AI59" s="1086">
        <f t="shared" si="30"/>
        <v>0</v>
      </c>
      <c r="AJ59" s="722">
        <f t="shared" si="31"/>
        <v>0</v>
      </c>
      <c r="AK59" s="722"/>
    </row>
    <row r="60" spans="1:37" s="708" customFormat="1" x14ac:dyDescent="0.35">
      <c r="A60" s="822">
        <v>51</v>
      </c>
      <c r="B60" s="823" t="s">
        <v>87</v>
      </c>
      <c r="C60" s="823" t="s">
        <v>912</v>
      </c>
      <c r="D60" s="822" t="s">
        <v>88</v>
      </c>
      <c r="E60" s="828">
        <f t="shared" ref="E60" si="77">SUM(E61:E65)</f>
        <v>259000</v>
      </c>
      <c r="F60" s="824">
        <f t="shared" ref="F60:W60" si="78">SUM(F61:F65)</f>
        <v>0</v>
      </c>
      <c r="G60" s="824">
        <f t="shared" si="78"/>
        <v>0</v>
      </c>
      <c r="H60" s="824">
        <f t="shared" si="78"/>
        <v>0</v>
      </c>
      <c r="I60" s="824"/>
      <c r="J60" s="824"/>
      <c r="K60" s="824">
        <f t="shared" si="78"/>
        <v>0</v>
      </c>
      <c r="L60" s="824">
        <f t="shared" ref="L60" si="79">SUM(L61:L65)</f>
        <v>0</v>
      </c>
      <c r="M60" s="824">
        <f t="shared" si="78"/>
        <v>0</v>
      </c>
      <c r="N60" s="824"/>
      <c r="O60" s="824"/>
      <c r="P60" s="824">
        <f t="shared" si="78"/>
        <v>259000</v>
      </c>
      <c r="Q60" s="824">
        <f t="shared" ref="Q60" si="80">SUM(Q61:Q65)</f>
        <v>419000</v>
      </c>
      <c r="R60" s="824">
        <f>SUM(R61:R65)</f>
        <v>294056</v>
      </c>
      <c r="S60" s="824">
        <v>300000</v>
      </c>
      <c r="T60" s="814">
        <v>270647</v>
      </c>
      <c r="U60" s="824">
        <f t="shared" si="78"/>
        <v>0</v>
      </c>
      <c r="V60" s="824">
        <f t="shared" ref="V60" si="81">SUM(V61:V65)</f>
        <v>0</v>
      </c>
      <c r="W60" s="824">
        <f t="shared" si="78"/>
        <v>0</v>
      </c>
      <c r="X60" s="797"/>
      <c r="Y60" s="824"/>
      <c r="Z60" s="721">
        <f t="shared" si="61"/>
        <v>259000</v>
      </c>
      <c r="AA60" s="817">
        <v>370000</v>
      </c>
      <c r="AB60" s="817">
        <v>370000</v>
      </c>
      <c r="AC60" s="818">
        <f t="shared" si="62"/>
        <v>846147</v>
      </c>
      <c r="AD60" s="819">
        <f t="shared" si="8"/>
        <v>1105147</v>
      </c>
      <c r="AE60" s="820">
        <f>359000+746147</f>
        <v>1105147</v>
      </c>
      <c r="AF60" s="721">
        <f t="shared" si="44"/>
        <v>270647</v>
      </c>
      <c r="AG60" s="721">
        <v>449356</v>
      </c>
      <c r="AH60" s="721">
        <f t="shared" si="45"/>
        <v>300000</v>
      </c>
      <c r="AI60" s="1086">
        <f t="shared" si="30"/>
        <v>1474533</v>
      </c>
      <c r="AJ60" s="591">
        <v>1774533</v>
      </c>
      <c r="AK60" s="591">
        <v>467115</v>
      </c>
    </row>
    <row r="61" spans="1:37" s="708" customFormat="1" hidden="1" x14ac:dyDescent="0.35">
      <c r="A61" s="810" t="s">
        <v>695</v>
      </c>
      <c r="B61" s="829" t="s">
        <v>414</v>
      </c>
      <c r="C61" s="829"/>
      <c r="D61" s="810"/>
      <c r="E61" s="830">
        <v>160000</v>
      </c>
      <c r="F61" s="813"/>
      <c r="G61" s="813">
        <f>F61</f>
        <v>0</v>
      </c>
      <c r="H61" s="813"/>
      <c r="I61" s="813"/>
      <c r="J61" s="813"/>
      <c r="K61" s="815"/>
      <c r="L61" s="813">
        <f>K61</f>
        <v>0</v>
      </c>
      <c r="M61" s="815"/>
      <c r="N61" s="815"/>
      <c r="O61" s="815"/>
      <c r="P61" s="815">
        <v>160000</v>
      </c>
      <c r="Q61" s="813">
        <v>180000</v>
      </c>
      <c r="R61" s="815">
        <f>105891+21034</f>
        <v>126925</v>
      </c>
      <c r="S61" s="815"/>
      <c r="T61" s="814"/>
      <c r="U61" s="815"/>
      <c r="V61" s="813">
        <f>U61</f>
        <v>0</v>
      </c>
      <c r="W61" s="815"/>
      <c r="X61" s="798"/>
      <c r="Y61" s="815"/>
      <c r="Z61" s="721">
        <f t="shared" si="61"/>
        <v>160000</v>
      </c>
      <c r="AA61" s="817">
        <v>180000</v>
      </c>
      <c r="AB61" s="817">
        <v>180000</v>
      </c>
      <c r="AC61" s="818">
        <f t="shared" si="62"/>
        <v>-160000</v>
      </c>
      <c r="AD61" s="819">
        <f t="shared" si="8"/>
        <v>0</v>
      </c>
      <c r="AE61" s="819"/>
      <c r="AF61" s="721">
        <f t="shared" si="44"/>
        <v>0</v>
      </c>
      <c r="AG61" s="721"/>
      <c r="AH61" s="721">
        <f t="shared" si="45"/>
        <v>0</v>
      </c>
      <c r="AI61" s="1086">
        <f t="shared" si="30"/>
        <v>0</v>
      </c>
      <c r="AJ61" s="722">
        <f t="shared" si="31"/>
        <v>0</v>
      </c>
      <c r="AK61" s="722"/>
    </row>
    <row r="62" spans="1:37" s="708" customFormat="1" hidden="1" x14ac:dyDescent="0.35">
      <c r="A62" s="810">
        <v>53</v>
      </c>
      <c r="B62" s="829" t="s">
        <v>90</v>
      </c>
      <c r="C62" s="829"/>
      <c r="D62" s="810"/>
      <c r="E62" s="830">
        <v>18000</v>
      </c>
      <c r="F62" s="813"/>
      <c r="G62" s="813">
        <f t="shared" ref="G62:G65" si="82">F62</f>
        <v>0</v>
      </c>
      <c r="H62" s="813"/>
      <c r="I62" s="813"/>
      <c r="J62" s="813"/>
      <c r="K62" s="815"/>
      <c r="L62" s="813">
        <f t="shared" ref="L62:L65" si="83">K62</f>
        <v>0</v>
      </c>
      <c r="M62" s="815"/>
      <c r="N62" s="815"/>
      <c r="O62" s="815"/>
      <c r="P62" s="815">
        <v>18000</v>
      </c>
      <c r="Q62" s="813">
        <f t="shared" ref="Q62:Q64" si="84">P62</f>
        <v>18000</v>
      </c>
      <c r="R62" s="815">
        <v>13355</v>
      </c>
      <c r="S62" s="815"/>
      <c r="T62" s="815"/>
      <c r="U62" s="815"/>
      <c r="V62" s="813">
        <f t="shared" ref="V62:V65" si="85">U62</f>
        <v>0</v>
      </c>
      <c r="W62" s="815"/>
      <c r="X62" s="798"/>
      <c r="Y62" s="815"/>
      <c r="Z62" s="721">
        <f t="shared" si="61"/>
        <v>18000</v>
      </c>
      <c r="AA62" s="817">
        <v>0</v>
      </c>
      <c r="AB62" s="817">
        <v>0</v>
      </c>
      <c r="AC62" s="818">
        <f t="shared" si="62"/>
        <v>-18000</v>
      </c>
      <c r="AD62" s="819">
        <f t="shared" si="8"/>
        <v>0</v>
      </c>
      <c r="AE62" s="819"/>
      <c r="AF62" s="721">
        <f t="shared" si="44"/>
        <v>0</v>
      </c>
      <c r="AG62" s="721"/>
      <c r="AH62" s="721">
        <f t="shared" si="45"/>
        <v>0</v>
      </c>
      <c r="AI62" s="1086">
        <f t="shared" si="30"/>
        <v>0</v>
      </c>
      <c r="AJ62" s="722">
        <f t="shared" si="31"/>
        <v>0</v>
      </c>
      <c r="AK62" s="722"/>
    </row>
    <row r="63" spans="1:37" s="708" customFormat="1" hidden="1" x14ac:dyDescent="0.35">
      <c r="A63" s="810">
        <v>54</v>
      </c>
      <c r="B63" s="829" t="s">
        <v>301</v>
      </c>
      <c r="C63" s="829"/>
      <c r="D63" s="810"/>
      <c r="E63" s="830">
        <v>0</v>
      </c>
      <c r="F63" s="813"/>
      <c r="G63" s="813">
        <f t="shared" si="82"/>
        <v>0</v>
      </c>
      <c r="H63" s="813"/>
      <c r="I63" s="813"/>
      <c r="J63" s="813"/>
      <c r="K63" s="815"/>
      <c r="L63" s="813">
        <f t="shared" si="83"/>
        <v>0</v>
      </c>
      <c r="M63" s="815"/>
      <c r="N63" s="815"/>
      <c r="O63" s="815"/>
      <c r="P63" s="815"/>
      <c r="Q63" s="813">
        <f t="shared" si="84"/>
        <v>0</v>
      </c>
      <c r="R63" s="815">
        <v>108742</v>
      </c>
      <c r="S63" s="815"/>
      <c r="T63" s="815"/>
      <c r="U63" s="815"/>
      <c r="V63" s="813">
        <f t="shared" si="85"/>
        <v>0</v>
      </c>
      <c r="W63" s="815"/>
      <c r="X63" s="798"/>
      <c r="Y63" s="815"/>
      <c r="Z63" s="721">
        <f t="shared" si="61"/>
        <v>0</v>
      </c>
      <c r="AA63" s="817">
        <v>0</v>
      </c>
      <c r="AB63" s="817">
        <v>0</v>
      </c>
      <c r="AC63" s="818">
        <f t="shared" si="62"/>
        <v>0</v>
      </c>
      <c r="AD63" s="819">
        <f t="shared" si="8"/>
        <v>0</v>
      </c>
      <c r="AE63" s="819"/>
      <c r="AF63" s="721">
        <f t="shared" si="44"/>
        <v>0</v>
      </c>
      <c r="AG63" s="721"/>
      <c r="AH63" s="721">
        <f t="shared" si="45"/>
        <v>0</v>
      </c>
      <c r="AI63" s="1086">
        <f t="shared" si="30"/>
        <v>0</v>
      </c>
      <c r="AJ63" s="722">
        <f t="shared" si="31"/>
        <v>0</v>
      </c>
      <c r="AK63" s="722"/>
    </row>
    <row r="64" spans="1:37" s="708" customFormat="1" hidden="1" x14ac:dyDescent="0.35">
      <c r="A64" s="810">
        <v>55</v>
      </c>
      <c r="B64" s="829" t="s">
        <v>415</v>
      </c>
      <c r="C64" s="829"/>
      <c r="D64" s="810"/>
      <c r="E64" s="830">
        <v>31000</v>
      </c>
      <c r="F64" s="813"/>
      <c r="G64" s="813">
        <f t="shared" si="82"/>
        <v>0</v>
      </c>
      <c r="H64" s="813"/>
      <c r="I64" s="813"/>
      <c r="J64" s="813"/>
      <c r="K64" s="815"/>
      <c r="L64" s="813">
        <f t="shared" si="83"/>
        <v>0</v>
      </c>
      <c r="M64" s="815"/>
      <c r="N64" s="815"/>
      <c r="O64" s="815"/>
      <c r="P64" s="815">
        <v>31000</v>
      </c>
      <c r="Q64" s="813">
        <f t="shared" si="84"/>
        <v>31000</v>
      </c>
      <c r="R64" s="815"/>
      <c r="S64" s="815"/>
      <c r="T64" s="815"/>
      <c r="U64" s="815"/>
      <c r="V64" s="813">
        <f t="shared" si="85"/>
        <v>0</v>
      </c>
      <c r="W64" s="815"/>
      <c r="X64" s="798"/>
      <c r="Y64" s="815"/>
      <c r="Z64" s="721">
        <f t="shared" si="61"/>
        <v>31000</v>
      </c>
      <c r="AA64" s="817">
        <v>0</v>
      </c>
      <c r="AB64" s="817">
        <v>0</v>
      </c>
      <c r="AC64" s="818">
        <f t="shared" si="62"/>
        <v>-31000</v>
      </c>
      <c r="AD64" s="819">
        <f t="shared" si="8"/>
        <v>0</v>
      </c>
      <c r="AE64" s="819"/>
      <c r="AF64" s="721">
        <f t="shared" si="44"/>
        <v>0</v>
      </c>
      <c r="AG64" s="721"/>
      <c r="AH64" s="721">
        <f t="shared" si="45"/>
        <v>0</v>
      </c>
      <c r="AI64" s="1086">
        <f t="shared" si="30"/>
        <v>0</v>
      </c>
      <c r="AJ64" s="722">
        <f t="shared" si="31"/>
        <v>0</v>
      </c>
      <c r="AK64" s="722"/>
    </row>
    <row r="65" spans="1:37" s="708" customFormat="1" ht="42.5" hidden="1" x14ac:dyDescent="0.35">
      <c r="A65" s="810">
        <v>56</v>
      </c>
      <c r="B65" s="829" t="s">
        <v>416</v>
      </c>
      <c r="C65" s="829"/>
      <c r="D65" s="810"/>
      <c r="E65" s="830">
        <v>50000</v>
      </c>
      <c r="F65" s="813"/>
      <c r="G65" s="813">
        <f t="shared" si="82"/>
        <v>0</v>
      </c>
      <c r="H65" s="813"/>
      <c r="I65" s="813"/>
      <c r="J65" s="813"/>
      <c r="K65" s="815"/>
      <c r="L65" s="813">
        <f t="shared" si="83"/>
        <v>0</v>
      </c>
      <c r="M65" s="815"/>
      <c r="N65" s="815"/>
      <c r="O65" s="815"/>
      <c r="P65" s="815">
        <v>50000</v>
      </c>
      <c r="Q65" s="813">
        <v>190000</v>
      </c>
      <c r="R65" s="815">
        <v>45034</v>
      </c>
      <c r="S65" s="815"/>
      <c r="T65" s="815"/>
      <c r="U65" s="815"/>
      <c r="V65" s="813">
        <f t="shared" si="85"/>
        <v>0</v>
      </c>
      <c r="W65" s="815"/>
      <c r="X65" s="798"/>
      <c r="Y65" s="815"/>
      <c r="Z65" s="721">
        <f t="shared" si="61"/>
        <v>50000</v>
      </c>
      <c r="AA65" s="817">
        <v>190000</v>
      </c>
      <c r="AB65" s="817">
        <v>190000</v>
      </c>
      <c r="AC65" s="818">
        <f t="shared" si="62"/>
        <v>-50000</v>
      </c>
      <c r="AD65" s="819">
        <f t="shared" si="8"/>
        <v>0</v>
      </c>
      <c r="AE65" s="819"/>
      <c r="AF65" s="721">
        <f t="shared" si="44"/>
        <v>0</v>
      </c>
      <c r="AG65" s="721"/>
      <c r="AH65" s="721">
        <f t="shared" si="45"/>
        <v>0</v>
      </c>
      <c r="AI65" s="1086">
        <f t="shared" si="30"/>
        <v>0</v>
      </c>
      <c r="AJ65" s="722">
        <f t="shared" si="31"/>
        <v>0</v>
      </c>
      <c r="AK65" s="722"/>
    </row>
    <row r="66" spans="1:37" s="530" customFormat="1" x14ac:dyDescent="0.35">
      <c r="A66" s="831">
        <v>57</v>
      </c>
      <c r="B66" s="832" t="s">
        <v>94</v>
      </c>
      <c r="C66" s="832"/>
      <c r="D66" s="831" t="s">
        <v>95</v>
      </c>
      <c r="E66" s="833">
        <f>SUM(E47,E51,E56,E60,E53,E54,E55)</f>
        <v>2219000</v>
      </c>
      <c r="F66" s="833">
        <f t="shared" ref="F66:Y66" si="86">SUM(F47,F51,F56,F60,F53,F54,F55)</f>
        <v>110000</v>
      </c>
      <c r="G66" s="833">
        <f t="shared" si="86"/>
        <v>110000</v>
      </c>
      <c r="H66" s="833">
        <f t="shared" si="86"/>
        <v>110000</v>
      </c>
      <c r="I66" s="833">
        <f>SUM(I60,I56,I55,I54,I47)</f>
        <v>0</v>
      </c>
      <c r="J66" s="833">
        <f t="shared" si="86"/>
        <v>110000</v>
      </c>
      <c r="K66" s="833">
        <f t="shared" si="86"/>
        <v>0</v>
      </c>
      <c r="L66" s="833">
        <f t="shared" si="86"/>
        <v>0</v>
      </c>
      <c r="M66" s="833">
        <f t="shared" si="86"/>
        <v>115000</v>
      </c>
      <c r="N66" s="833"/>
      <c r="O66" s="833">
        <f t="shared" si="86"/>
        <v>0</v>
      </c>
      <c r="P66" s="833">
        <f t="shared" si="86"/>
        <v>2109000</v>
      </c>
      <c r="Q66" s="833">
        <f t="shared" si="86"/>
        <v>3220000</v>
      </c>
      <c r="R66" s="833">
        <f t="shared" si="86"/>
        <v>1697669</v>
      </c>
      <c r="S66" s="833">
        <f>S47+S54+S55+S56+S60</f>
        <v>2450000</v>
      </c>
      <c r="T66" s="833">
        <f t="shared" si="86"/>
        <v>1936730</v>
      </c>
      <c r="U66" s="833">
        <f t="shared" si="86"/>
        <v>0</v>
      </c>
      <c r="V66" s="833">
        <f t="shared" si="86"/>
        <v>0</v>
      </c>
      <c r="W66" s="833">
        <f t="shared" si="86"/>
        <v>0</v>
      </c>
      <c r="X66" s="799"/>
      <c r="Y66" s="833">
        <f t="shared" si="86"/>
        <v>0</v>
      </c>
      <c r="Z66" s="714">
        <f t="shared" si="61"/>
        <v>2219000</v>
      </c>
      <c r="AA66" s="719">
        <v>3281000</v>
      </c>
      <c r="AB66" s="719">
        <v>3281000</v>
      </c>
      <c r="AC66" s="715">
        <f>SUM(AC60,AC56,AC54,AC55,AC47)</f>
        <v>840147</v>
      </c>
      <c r="AD66" s="715">
        <f t="shared" ref="AD66:AE66" si="87">SUM(AD60,AD56,AD54,AD55,AD47)</f>
        <v>3059147</v>
      </c>
      <c r="AE66" s="715">
        <f t="shared" si="87"/>
        <v>3059147</v>
      </c>
      <c r="AF66" s="714">
        <f t="shared" si="44"/>
        <v>2046730</v>
      </c>
      <c r="AG66" s="714">
        <f>AG47+AG54+AG55+AG56+AG60</f>
        <v>2485430</v>
      </c>
      <c r="AH66" s="714">
        <f t="shared" si="45"/>
        <v>2450000</v>
      </c>
      <c r="AI66" s="1086">
        <f>SUM(AI47:AI60)</f>
        <v>1233739</v>
      </c>
      <c r="AJ66" s="1086">
        <f t="shared" ref="AJ66:AK66" si="88">SUM(AJ47:AJ60)</f>
        <v>3683739</v>
      </c>
      <c r="AK66" s="1086">
        <f t="shared" si="88"/>
        <v>2376321</v>
      </c>
    </row>
    <row r="67" spans="1:37" s="708" customFormat="1" hidden="1" x14ac:dyDescent="0.35">
      <c r="A67" s="810">
        <v>58</v>
      </c>
      <c r="B67" s="811" t="s">
        <v>96</v>
      </c>
      <c r="C67" s="811"/>
      <c r="D67" s="810" t="s">
        <v>97</v>
      </c>
      <c r="E67" s="812">
        <v>0</v>
      </c>
      <c r="F67" s="813">
        <v>0</v>
      </c>
      <c r="G67" s="813">
        <v>5000</v>
      </c>
      <c r="H67" s="813"/>
      <c r="I67" s="813"/>
      <c r="J67" s="813"/>
      <c r="K67" s="815">
        <v>0</v>
      </c>
      <c r="L67" s="813">
        <v>5000</v>
      </c>
      <c r="M67" s="815"/>
      <c r="N67" s="815"/>
      <c r="O67" s="815"/>
      <c r="P67" s="815"/>
      <c r="Q67" s="813">
        <f>P67</f>
        <v>0</v>
      </c>
      <c r="R67" s="815"/>
      <c r="S67" s="815"/>
      <c r="T67" s="815"/>
      <c r="U67" s="815"/>
      <c r="V67" s="813">
        <f>U67</f>
        <v>0</v>
      </c>
      <c r="W67" s="815"/>
      <c r="X67" s="798"/>
      <c r="Y67" s="815"/>
      <c r="Z67" s="721">
        <f t="shared" si="61"/>
        <v>0</v>
      </c>
      <c r="AA67" s="817">
        <v>10000</v>
      </c>
      <c r="AB67" s="817">
        <v>10000</v>
      </c>
      <c r="AC67" s="818">
        <f t="shared" ref="AC67:AC80" si="89">AE67-Z67</f>
        <v>0</v>
      </c>
      <c r="AD67" s="819">
        <f t="shared" si="8"/>
        <v>0</v>
      </c>
      <c r="AE67" s="819"/>
      <c r="AF67" s="721">
        <f t="shared" si="44"/>
        <v>0</v>
      </c>
      <c r="AG67" s="721"/>
      <c r="AH67" s="721">
        <f t="shared" si="45"/>
        <v>0</v>
      </c>
      <c r="AI67" s="1086">
        <f t="shared" si="30"/>
        <v>0</v>
      </c>
      <c r="AJ67" s="722">
        <f t="shared" si="31"/>
        <v>0</v>
      </c>
      <c r="AK67" s="722"/>
    </row>
    <row r="68" spans="1:37" s="708" customFormat="1" hidden="1" x14ac:dyDescent="0.35">
      <c r="A68" s="810">
        <v>59</v>
      </c>
      <c r="B68" s="811" t="s">
        <v>98</v>
      </c>
      <c r="C68" s="811"/>
      <c r="D68" s="810" t="s">
        <v>99</v>
      </c>
      <c r="E68" s="812"/>
      <c r="F68" s="813"/>
      <c r="G68" s="813">
        <f>F68</f>
        <v>0</v>
      </c>
      <c r="H68" s="813"/>
      <c r="I68" s="813"/>
      <c r="J68" s="813"/>
      <c r="K68" s="815"/>
      <c r="L68" s="813">
        <f>K68</f>
        <v>0</v>
      </c>
      <c r="M68" s="815"/>
      <c r="N68" s="815"/>
      <c r="O68" s="815"/>
      <c r="P68" s="815"/>
      <c r="Q68" s="813">
        <f>P68</f>
        <v>0</v>
      </c>
      <c r="R68" s="815"/>
      <c r="S68" s="815"/>
      <c r="T68" s="815"/>
      <c r="U68" s="815"/>
      <c r="V68" s="813">
        <f>U68</f>
        <v>0</v>
      </c>
      <c r="W68" s="815"/>
      <c r="X68" s="798"/>
      <c r="Y68" s="815"/>
      <c r="Z68" s="721">
        <f t="shared" si="61"/>
        <v>0</v>
      </c>
      <c r="AA68" s="817">
        <v>0</v>
      </c>
      <c r="AB68" s="817">
        <v>0</v>
      </c>
      <c r="AC68" s="818">
        <f t="shared" si="89"/>
        <v>0</v>
      </c>
      <c r="AD68" s="819">
        <f t="shared" si="8"/>
        <v>0</v>
      </c>
      <c r="AE68" s="819"/>
      <c r="AF68" s="721">
        <f t="shared" si="44"/>
        <v>0</v>
      </c>
      <c r="AG68" s="721"/>
      <c r="AH68" s="721">
        <f t="shared" si="45"/>
        <v>0</v>
      </c>
      <c r="AI68" s="1086">
        <f t="shared" si="30"/>
        <v>0</v>
      </c>
      <c r="AJ68" s="722">
        <f t="shared" si="31"/>
        <v>0</v>
      </c>
      <c r="AK68" s="722"/>
    </row>
    <row r="69" spans="1:37" s="708" customFormat="1" ht="28.5" x14ac:dyDescent="0.35">
      <c r="A69" s="822">
        <v>60</v>
      </c>
      <c r="B69" s="823" t="s">
        <v>100</v>
      </c>
      <c r="C69" s="823"/>
      <c r="D69" s="822" t="s">
        <v>101</v>
      </c>
      <c r="E69" s="828">
        <f>SUM(E67:E68)</f>
        <v>0</v>
      </c>
      <c r="F69" s="828">
        <f t="shared" ref="F69:Y69" si="90">SUM(F67:F68)</f>
        <v>0</v>
      </c>
      <c r="G69" s="828">
        <f t="shared" si="90"/>
        <v>5000</v>
      </c>
      <c r="H69" s="828">
        <f t="shared" si="90"/>
        <v>0</v>
      </c>
      <c r="I69" s="828"/>
      <c r="J69" s="828">
        <f t="shared" si="90"/>
        <v>0</v>
      </c>
      <c r="K69" s="828">
        <f t="shared" si="90"/>
        <v>0</v>
      </c>
      <c r="L69" s="828">
        <f t="shared" si="90"/>
        <v>5000</v>
      </c>
      <c r="M69" s="828">
        <f t="shared" si="90"/>
        <v>0</v>
      </c>
      <c r="N69" s="828"/>
      <c r="O69" s="828">
        <f t="shared" si="90"/>
        <v>0</v>
      </c>
      <c r="P69" s="828">
        <f t="shared" si="90"/>
        <v>0</v>
      </c>
      <c r="Q69" s="828">
        <f t="shared" si="90"/>
        <v>0</v>
      </c>
      <c r="R69" s="828">
        <f t="shared" si="90"/>
        <v>0</v>
      </c>
      <c r="S69" s="828"/>
      <c r="T69" s="828">
        <f t="shared" si="90"/>
        <v>0</v>
      </c>
      <c r="U69" s="828">
        <f t="shared" si="90"/>
        <v>0</v>
      </c>
      <c r="V69" s="828">
        <f t="shared" si="90"/>
        <v>0</v>
      </c>
      <c r="W69" s="828">
        <f t="shared" si="90"/>
        <v>0</v>
      </c>
      <c r="X69" s="800"/>
      <c r="Y69" s="828">
        <f t="shared" si="90"/>
        <v>0</v>
      </c>
      <c r="Z69" s="721">
        <f t="shared" si="61"/>
        <v>0</v>
      </c>
      <c r="AA69" s="817">
        <v>10000</v>
      </c>
      <c r="AB69" s="817">
        <v>10000</v>
      </c>
      <c r="AC69" s="818">
        <f t="shared" si="89"/>
        <v>0</v>
      </c>
      <c r="AD69" s="819">
        <f t="shared" si="8"/>
        <v>0</v>
      </c>
      <c r="AE69" s="819"/>
      <c r="AF69" s="721">
        <f t="shared" ref="AF69:AF100" si="91">SUM(J69,O69,T69,Y69)</f>
        <v>0</v>
      </c>
      <c r="AG69" s="721"/>
      <c r="AH69" s="721">
        <f t="shared" si="45"/>
        <v>0</v>
      </c>
      <c r="AI69" s="1086">
        <f t="shared" si="30"/>
        <v>0</v>
      </c>
      <c r="AJ69" s="722">
        <f t="shared" si="31"/>
        <v>0</v>
      </c>
      <c r="AK69" s="722"/>
    </row>
    <row r="70" spans="1:37" s="708" customFormat="1" ht="28.5" x14ac:dyDescent="0.35">
      <c r="A70" s="810">
        <v>61</v>
      </c>
      <c r="B70" s="811" t="s">
        <v>102</v>
      </c>
      <c r="C70" s="811" t="s">
        <v>913</v>
      </c>
      <c r="D70" s="810" t="s">
        <v>103</v>
      </c>
      <c r="E70" s="812">
        <f>SUM(E66,E69,E60,E56,E51,E47,E46,E40)*0.27</f>
        <v>1473660</v>
      </c>
      <c r="F70" s="813"/>
      <c r="G70" s="813">
        <f>F70</f>
        <v>0</v>
      </c>
      <c r="H70" s="813">
        <v>196</v>
      </c>
      <c r="I70" s="813"/>
      <c r="J70" s="813"/>
      <c r="K70" s="813"/>
      <c r="L70" s="813">
        <f>K70</f>
        <v>0</v>
      </c>
      <c r="M70" s="813">
        <v>1350</v>
      </c>
      <c r="N70" s="813"/>
      <c r="O70" s="813"/>
      <c r="P70" s="813">
        <v>1473660</v>
      </c>
      <c r="Q70" s="813">
        <v>979998</v>
      </c>
      <c r="R70" s="813">
        <v>535762</v>
      </c>
      <c r="S70" s="813">
        <f>(SUM(S66,S46,S40)-200000)*0.27</f>
        <v>1057050</v>
      </c>
      <c r="T70" s="814">
        <v>550476</v>
      </c>
      <c r="U70" s="814"/>
      <c r="V70" s="813">
        <f>T70</f>
        <v>550476</v>
      </c>
      <c r="W70" s="813"/>
      <c r="X70" s="797"/>
      <c r="Y70" s="813"/>
      <c r="Z70" s="721">
        <v>1473660</v>
      </c>
      <c r="AA70" s="817">
        <v>1000000</v>
      </c>
      <c r="AB70" s="817">
        <v>979998</v>
      </c>
      <c r="AC70" s="818">
        <f t="shared" si="89"/>
        <v>201460</v>
      </c>
      <c r="AD70" s="819">
        <f t="shared" si="8"/>
        <v>1675120</v>
      </c>
      <c r="AE70" s="820">
        <f>1473660+201460</f>
        <v>1675120</v>
      </c>
      <c r="AF70" s="721">
        <f t="shared" si="91"/>
        <v>550476</v>
      </c>
      <c r="AG70" s="721">
        <v>762719</v>
      </c>
      <c r="AH70" s="721">
        <f t="shared" si="45"/>
        <v>1057050</v>
      </c>
      <c r="AI70" s="1086">
        <f t="shared" si="30"/>
        <v>-219354</v>
      </c>
      <c r="AJ70" s="722">
        <f t="shared" si="31"/>
        <v>837696</v>
      </c>
      <c r="AK70" s="591">
        <v>837696</v>
      </c>
    </row>
    <row r="71" spans="1:37" s="708" customFormat="1" hidden="1" x14ac:dyDescent="0.35">
      <c r="A71" s="810">
        <v>62</v>
      </c>
      <c r="B71" s="811" t="s">
        <v>104</v>
      </c>
      <c r="C71" s="811"/>
      <c r="D71" s="810" t="s">
        <v>105</v>
      </c>
      <c r="E71" s="812"/>
      <c r="F71" s="813"/>
      <c r="G71" s="813">
        <f t="shared" ref="G71:G73" si="92">F71</f>
        <v>0</v>
      </c>
      <c r="H71" s="813"/>
      <c r="I71" s="813"/>
      <c r="J71" s="813"/>
      <c r="K71" s="815"/>
      <c r="L71" s="813">
        <f t="shared" ref="L71:L73" si="93">K71</f>
        <v>0</v>
      </c>
      <c r="M71" s="815"/>
      <c r="N71" s="815"/>
      <c r="O71" s="815"/>
      <c r="P71" s="815"/>
      <c r="Q71" s="813">
        <f t="shared" ref="Q71:Q73" si="94">P71</f>
        <v>0</v>
      </c>
      <c r="R71" s="815"/>
      <c r="S71" s="815">
        <v>0</v>
      </c>
      <c r="T71" s="815"/>
      <c r="U71" s="815"/>
      <c r="V71" s="813">
        <f t="shared" ref="V71:V73" si="95">U71</f>
        <v>0</v>
      </c>
      <c r="W71" s="815"/>
      <c r="X71" s="798"/>
      <c r="Y71" s="815"/>
      <c r="Z71" s="721">
        <f t="shared" ref="Z71:Z80" si="96">SUM(F71,K71,P71,U71)</f>
        <v>0</v>
      </c>
      <c r="AA71" s="817">
        <v>0</v>
      </c>
      <c r="AB71" s="817">
        <v>0</v>
      </c>
      <c r="AC71" s="818">
        <f t="shared" si="89"/>
        <v>0</v>
      </c>
      <c r="AD71" s="819">
        <f t="shared" si="8"/>
        <v>0</v>
      </c>
      <c r="AE71" s="819"/>
      <c r="AF71" s="721">
        <f t="shared" si="91"/>
        <v>0</v>
      </c>
      <c r="AG71" s="721"/>
      <c r="AH71" s="721">
        <f t="shared" ref="AH71:AH106" si="97">I71+N71+S71+X71</f>
        <v>0</v>
      </c>
      <c r="AI71" s="1086">
        <f t="shared" si="30"/>
        <v>0</v>
      </c>
      <c r="AJ71" s="722">
        <f t="shared" si="31"/>
        <v>0</v>
      </c>
      <c r="AK71" s="722"/>
    </row>
    <row r="72" spans="1:37" s="708" customFormat="1" hidden="1" x14ac:dyDescent="0.35">
      <c r="A72" s="810">
        <v>63</v>
      </c>
      <c r="B72" s="811" t="s">
        <v>106</v>
      </c>
      <c r="C72" s="811"/>
      <c r="D72" s="810" t="s">
        <v>107</v>
      </c>
      <c r="E72" s="812"/>
      <c r="F72" s="813"/>
      <c r="G72" s="813">
        <f t="shared" si="92"/>
        <v>0</v>
      </c>
      <c r="H72" s="813"/>
      <c r="I72" s="813"/>
      <c r="J72" s="813"/>
      <c r="K72" s="815"/>
      <c r="L72" s="813">
        <f t="shared" si="93"/>
        <v>0</v>
      </c>
      <c r="M72" s="815"/>
      <c r="N72" s="815"/>
      <c r="O72" s="815"/>
      <c r="P72" s="815"/>
      <c r="Q72" s="813">
        <f t="shared" si="94"/>
        <v>0</v>
      </c>
      <c r="R72" s="815"/>
      <c r="S72" s="815"/>
      <c r="T72" s="815"/>
      <c r="U72" s="815"/>
      <c r="V72" s="813">
        <f t="shared" si="95"/>
        <v>0</v>
      </c>
      <c r="W72" s="815"/>
      <c r="X72" s="798"/>
      <c r="Y72" s="815"/>
      <c r="Z72" s="721">
        <f t="shared" si="96"/>
        <v>0</v>
      </c>
      <c r="AA72" s="817">
        <v>0</v>
      </c>
      <c r="AB72" s="817">
        <v>0</v>
      </c>
      <c r="AC72" s="818">
        <f t="shared" si="89"/>
        <v>0</v>
      </c>
      <c r="AD72" s="819">
        <f t="shared" si="8"/>
        <v>0</v>
      </c>
      <c r="AE72" s="819"/>
      <c r="AF72" s="721">
        <f t="shared" si="91"/>
        <v>0</v>
      </c>
      <c r="AG72" s="721"/>
      <c r="AH72" s="721">
        <f t="shared" si="97"/>
        <v>0</v>
      </c>
      <c r="AI72" s="1086">
        <f t="shared" si="30"/>
        <v>0</v>
      </c>
      <c r="AJ72" s="722">
        <f t="shared" si="31"/>
        <v>0</v>
      </c>
      <c r="AK72" s="722"/>
    </row>
    <row r="73" spans="1:37" s="708" customFormat="1" hidden="1" x14ac:dyDescent="0.35">
      <c r="A73" s="810">
        <v>64</v>
      </c>
      <c r="B73" s="811" t="s">
        <v>108</v>
      </c>
      <c r="C73" s="811"/>
      <c r="D73" s="810" t="s">
        <v>109</v>
      </c>
      <c r="E73" s="812"/>
      <c r="F73" s="813"/>
      <c r="G73" s="813">
        <f t="shared" si="92"/>
        <v>0</v>
      </c>
      <c r="H73" s="813"/>
      <c r="I73" s="813"/>
      <c r="J73" s="813"/>
      <c r="K73" s="815"/>
      <c r="L73" s="813">
        <f t="shared" si="93"/>
        <v>0</v>
      </c>
      <c r="M73" s="815"/>
      <c r="N73" s="815"/>
      <c r="O73" s="815"/>
      <c r="P73" s="815"/>
      <c r="Q73" s="813">
        <f t="shared" si="94"/>
        <v>0</v>
      </c>
      <c r="R73" s="815"/>
      <c r="S73" s="815"/>
      <c r="T73" s="815"/>
      <c r="U73" s="815"/>
      <c r="V73" s="813">
        <f t="shared" si="95"/>
        <v>0</v>
      </c>
      <c r="W73" s="815"/>
      <c r="X73" s="798"/>
      <c r="Y73" s="815"/>
      <c r="Z73" s="721">
        <f t="shared" si="96"/>
        <v>0</v>
      </c>
      <c r="AA73" s="817">
        <v>0</v>
      </c>
      <c r="AB73" s="817">
        <v>0</v>
      </c>
      <c r="AC73" s="818">
        <f t="shared" si="89"/>
        <v>0</v>
      </c>
      <c r="AD73" s="819">
        <f t="shared" ref="AD73:AD116" si="98">Z73+AC73</f>
        <v>0</v>
      </c>
      <c r="AE73" s="819"/>
      <c r="AF73" s="721">
        <f t="shared" si="91"/>
        <v>0</v>
      </c>
      <c r="AG73" s="721"/>
      <c r="AH73" s="721">
        <f t="shared" si="97"/>
        <v>0</v>
      </c>
      <c r="AI73" s="1086">
        <f t="shared" si="30"/>
        <v>0</v>
      </c>
      <c r="AJ73" s="722">
        <f t="shared" si="31"/>
        <v>0</v>
      </c>
      <c r="AK73" s="722"/>
    </row>
    <row r="74" spans="1:37" s="708" customFormat="1" x14ac:dyDescent="0.35">
      <c r="A74" s="822">
        <v>65</v>
      </c>
      <c r="B74" s="823" t="s">
        <v>110</v>
      </c>
      <c r="C74" s="823"/>
      <c r="D74" s="822" t="s">
        <v>111</v>
      </c>
      <c r="E74" s="828">
        <f t="shared" ref="E74:W74" si="99">SUM(E75:E79)</f>
        <v>0</v>
      </c>
      <c r="F74" s="824">
        <f t="shared" si="99"/>
        <v>0</v>
      </c>
      <c r="G74" s="824">
        <f t="shared" si="99"/>
        <v>0</v>
      </c>
      <c r="H74" s="824">
        <f t="shared" si="99"/>
        <v>3358</v>
      </c>
      <c r="I74" s="824"/>
      <c r="J74" s="814">
        <v>964</v>
      </c>
      <c r="K74" s="824">
        <f t="shared" si="99"/>
        <v>0</v>
      </c>
      <c r="L74" s="824">
        <f t="shared" ref="L74" si="100">SUM(L75:L79)</f>
        <v>0</v>
      </c>
      <c r="M74" s="824">
        <f t="shared" si="99"/>
        <v>0</v>
      </c>
      <c r="N74" s="824"/>
      <c r="O74" s="824"/>
      <c r="P74" s="824">
        <f t="shared" si="99"/>
        <v>0</v>
      </c>
      <c r="Q74" s="824">
        <f t="shared" ref="Q74" si="101">SUM(Q75:Q79)</f>
        <v>0</v>
      </c>
      <c r="R74" s="824">
        <f t="shared" si="99"/>
        <v>2284</v>
      </c>
      <c r="S74" s="824">
        <v>5000</v>
      </c>
      <c r="T74" s="814">
        <v>7066</v>
      </c>
      <c r="U74" s="824">
        <f t="shared" si="99"/>
        <v>0</v>
      </c>
      <c r="V74" s="824">
        <f t="shared" ref="V74" si="102">SUM(V75:V79)</f>
        <v>0</v>
      </c>
      <c r="W74" s="824">
        <f t="shared" si="99"/>
        <v>0</v>
      </c>
      <c r="X74" s="797"/>
      <c r="Y74" s="824"/>
      <c r="Z74" s="721">
        <f t="shared" si="96"/>
        <v>0</v>
      </c>
      <c r="AA74" s="817">
        <v>0</v>
      </c>
      <c r="AB74" s="817">
        <v>0</v>
      </c>
      <c r="AC74" s="818">
        <f t="shared" si="89"/>
        <v>50000</v>
      </c>
      <c r="AD74" s="819">
        <f t="shared" si="98"/>
        <v>50000</v>
      </c>
      <c r="AE74" s="820">
        <v>50000</v>
      </c>
      <c r="AF74" s="721">
        <f t="shared" si="91"/>
        <v>8030</v>
      </c>
      <c r="AG74" s="721">
        <v>15627</v>
      </c>
      <c r="AH74" s="721">
        <f t="shared" si="97"/>
        <v>5000</v>
      </c>
      <c r="AI74" s="1086">
        <f t="shared" si="30"/>
        <v>9995</v>
      </c>
      <c r="AJ74" s="722">
        <f t="shared" si="31"/>
        <v>14995</v>
      </c>
      <c r="AK74" s="591">
        <v>14995</v>
      </c>
    </row>
    <row r="75" spans="1:37" s="708" customFormat="1" hidden="1" x14ac:dyDescent="0.35">
      <c r="A75" s="810">
        <v>66</v>
      </c>
      <c r="B75" s="829" t="s">
        <v>112</v>
      </c>
      <c r="C75" s="829"/>
      <c r="D75" s="810"/>
      <c r="E75" s="812"/>
      <c r="F75" s="813"/>
      <c r="G75" s="813">
        <f>F75</f>
        <v>0</v>
      </c>
      <c r="H75" s="813"/>
      <c r="I75" s="813"/>
      <c r="J75" s="813"/>
      <c r="K75" s="815"/>
      <c r="L75" s="813">
        <f>K75</f>
        <v>0</v>
      </c>
      <c r="M75" s="815"/>
      <c r="N75" s="815"/>
      <c r="O75" s="815"/>
      <c r="P75" s="815"/>
      <c r="Q75" s="813">
        <f>P75</f>
        <v>0</v>
      </c>
      <c r="R75" s="815"/>
      <c r="S75" s="815"/>
      <c r="T75" s="815"/>
      <c r="U75" s="815"/>
      <c r="V75" s="813">
        <f>U75</f>
        <v>0</v>
      </c>
      <c r="W75" s="815"/>
      <c r="X75" s="798"/>
      <c r="Y75" s="815"/>
      <c r="Z75" s="721">
        <f t="shared" si="96"/>
        <v>0</v>
      </c>
      <c r="AA75" s="817">
        <v>0</v>
      </c>
      <c r="AB75" s="817">
        <v>0</v>
      </c>
      <c r="AC75" s="818">
        <f t="shared" si="89"/>
        <v>0</v>
      </c>
      <c r="AD75" s="819">
        <f t="shared" si="98"/>
        <v>0</v>
      </c>
      <c r="AE75" s="819"/>
      <c r="AF75" s="721">
        <f t="shared" si="91"/>
        <v>0</v>
      </c>
      <c r="AG75" s="721"/>
      <c r="AH75" s="721">
        <f t="shared" si="97"/>
        <v>0</v>
      </c>
      <c r="AI75" s="1086">
        <f t="shared" si="30"/>
        <v>0</v>
      </c>
      <c r="AJ75" s="722">
        <f t="shared" si="31"/>
        <v>0</v>
      </c>
      <c r="AK75" s="722"/>
    </row>
    <row r="76" spans="1:37" s="708" customFormat="1" hidden="1" x14ac:dyDescent="0.35">
      <c r="A76" s="810">
        <v>67</v>
      </c>
      <c r="B76" s="829"/>
      <c r="C76" s="829"/>
      <c r="D76" s="810"/>
      <c r="E76" s="812"/>
      <c r="F76" s="813"/>
      <c r="G76" s="813">
        <f t="shared" ref="G76:G79" si="103">F76</f>
        <v>0</v>
      </c>
      <c r="H76" s="813"/>
      <c r="I76" s="813"/>
      <c r="J76" s="813"/>
      <c r="K76" s="815"/>
      <c r="L76" s="813">
        <f t="shared" ref="L76:L79" si="104">K76</f>
        <v>0</v>
      </c>
      <c r="M76" s="815"/>
      <c r="N76" s="815"/>
      <c r="O76" s="815"/>
      <c r="P76" s="815"/>
      <c r="Q76" s="813">
        <f t="shared" ref="Q76:Q79" si="105">P76</f>
        <v>0</v>
      </c>
      <c r="R76" s="815"/>
      <c r="S76" s="815"/>
      <c r="T76" s="815"/>
      <c r="U76" s="815"/>
      <c r="V76" s="813">
        <f t="shared" ref="V76:V79" si="106">U76</f>
        <v>0</v>
      </c>
      <c r="W76" s="815"/>
      <c r="X76" s="798"/>
      <c r="Y76" s="815"/>
      <c r="Z76" s="721">
        <f t="shared" si="96"/>
        <v>0</v>
      </c>
      <c r="AA76" s="817">
        <v>0</v>
      </c>
      <c r="AB76" s="817">
        <v>0</v>
      </c>
      <c r="AC76" s="818">
        <f t="shared" si="89"/>
        <v>0</v>
      </c>
      <c r="AD76" s="819">
        <f t="shared" si="98"/>
        <v>0</v>
      </c>
      <c r="AE76" s="819"/>
      <c r="AF76" s="721">
        <f t="shared" si="91"/>
        <v>0</v>
      </c>
      <c r="AG76" s="721"/>
      <c r="AH76" s="721">
        <f t="shared" si="97"/>
        <v>0</v>
      </c>
      <c r="AI76" s="1086">
        <f t="shared" si="30"/>
        <v>0</v>
      </c>
      <c r="AJ76" s="722">
        <f t="shared" si="31"/>
        <v>0</v>
      </c>
      <c r="AK76" s="722"/>
    </row>
    <row r="77" spans="1:37" s="708" customFormat="1" ht="28.5" hidden="1" x14ac:dyDescent="0.35">
      <c r="A77" s="810">
        <v>68</v>
      </c>
      <c r="B77" s="829" t="s">
        <v>113</v>
      </c>
      <c r="C77" s="829"/>
      <c r="D77" s="810"/>
      <c r="E77" s="812"/>
      <c r="F77" s="813"/>
      <c r="G77" s="813">
        <f t="shared" si="103"/>
        <v>0</v>
      </c>
      <c r="H77" s="813"/>
      <c r="I77" s="813"/>
      <c r="J77" s="813"/>
      <c r="K77" s="815"/>
      <c r="L77" s="813">
        <f t="shared" si="104"/>
        <v>0</v>
      </c>
      <c r="M77" s="815"/>
      <c r="N77" s="815"/>
      <c r="O77" s="815"/>
      <c r="P77" s="815"/>
      <c r="Q77" s="813">
        <f t="shared" si="105"/>
        <v>0</v>
      </c>
      <c r="R77" s="815"/>
      <c r="S77" s="815"/>
      <c r="T77" s="815"/>
      <c r="U77" s="815"/>
      <c r="V77" s="813">
        <f t="shared" si="106"/>
        <v>0</v>
      </c>
      <c r="W77" s="815"/>
      <c r="X77" s="798"/>
      <c r="Y77" s="815"/>
      <c r="Z77" s="721">
        <f t="shared" si="96"/>
        <v>0</v>
      </c>
      <c r="AA77" s="817">
        <v>0</v>
      </c>
      <c r="AB77" s="817">
        <v>0</v>
      </c>
      <c r="AC77" s="818">
        <f t="shared" si="89"/>
        <v>0</v>
      </c>
      <c r="AD77" s="819">
        <f t="shared" si="98"/>
        <v>0</v>
      </c>
      <c r="AE77" s="819"/>
      <c r="AF77" s="721">
        <f t="shared" si="91"/>
        <v>0</v>
      </c>
      <c r="AG77" s="721"/>
      <c r="AH77" s="721">
        <f t="shared" si="97"/>
        <v>0</v>
      </c>
      <c r="AI77" s="1086">
        <f t="shared" si="30"/>
        <v>0</v>
      </c>
      <c r="AJ77" s="722">
        <f t="shared" si="31"/>
        <v>0</v>
      </c>
      <c r="AK77" s="722"/>
    </row>
    <row r="78" spans="1:37" s="708" customFormat="1" hidden="1" x14ac:dyDescent="0.35">
      <c r="A78" s="810">
        <v>69</v>
      </c>
      <c r="B78" s="829" t="s">
        <v>114</v>
      </c>
      <c r="C78" s="829"/>
      <c r="D78" s="810"/>
      <c r="E78" s="812"/>
      <c r="F78" s="813"/>
      <c r="G78" s="813">
        <f t="shared" si="103"/>
        <v>0</v>
      </c>
      <c r="H78" s="813"/>
      <c r="I78" s="813"/>
      <c r="J78" s="813"/>
      <c r="K78" s="815"/>
      <c r="L78" s="813">
        <f t="shared" si="104"/>
        <v>0</v>
      </c>
      <c r="M78" s="815"/>
      <c r="N78" s="815"/>
      <c r="O78" s="815"/>
      <c r="P78" s="815"/>
      <c r="Q78" s="813">
        <f t="shared" si="105"/>
        <v>0</v>
      </c>
      <c r="R78" s="815"/>
      <c r="S78" s="815"/>
      <c r="T78" s="815"/>
      <c r="U78" s="815"/>
      <c r="V78" s="813">
        <f t="shared" si="106"/>
        <v>0</v>
      </c>
      <c r="W78" s="815"/>
      <c r="X78" s="798"/>
      <c r="Y78" s="815"/>
      <c r="Z78" s="721">
        <f t="shared" si="96"/>
        <v>0</v>
      </c>
      <c r="AA78" s="817">
        <v>0</v>
      </c>
      <c r="AB78" s="817">
        <v>0</v>
      </c>
      <c r="AC78" s="818">
        <f t="shared" si="89"/>
        <v>0</v>
      </c>
      <c r="AD78" s="819">
        <f t="shared" si="98"/>
        <v>0</v>
      </c>
      <c r="AE78" s="819"/>
      <c r="AF78" s="721">
        <f t="shared" si="91"/>
        <v>0</v>
      </c>
      <c r="AG78" s="721"/>
      <c r="AH78" s="721">
        <f t="shared" si="97"/>
        <v>0</v>
      </c>
      <c r="AI78" s="1086">
        <f t="shared" si="30"/>
        <v>0</v>
      </c>
      <c r="AJ78" s="722">
        <f t="shared" si="31"/>
        <v>0</v>
      </c>
      <c r="AK78" s="722"/>
    </row>
    <row r="79" spans="1:37" s="708" customFormat="1" hidden="1" x14ac:dyDescent="0.35">
      <c r="A79" s="810">
        <v>70</v>
      </c>
      <c r="B79" s="829" t="s">
        <v>115</v>
      </c>
      <c r="C79" s="829"/>
      <c r="D79" s="810"/>
      <c r="E79" s="812">
        <v>0</v>
      </c>
      <c r="F79" s="813"/>
      <c r="G79" s="813">
        <f t="shared" si="103"/>
        <v>0</v>
      </c>
      <c r="H79" s="813">
        <v>3358</v>
      </c>
      <c r="I79" s="813"/>
      <c r="J79" s="813"/>
      <c r="K79" s="815"/>
      <c r="L79" s="813">
        <f t="shared" si="104"/>
        <v>0</v>
      </c>
      <c r="M79" s="815"/>
      <c r="N79" s="815"/>
      <c r="O79" s="815"/>
      <c r="P79" s="815"/>
      <c r="Q79" s="813">
        <f t="shared" si="105"/>
        <v>0</v>
      </c>
      <c r="R79" s="815">
        <v>2284</v>
      </c>
      <c r="S79" s="815"/>
      <c r="T79" s="815"/>
      <c r="U79" s="815"/>
      <c r="V79" s="813">
        <f t="shared" si="106"/>
        <v>0</v>
      </c>
      <c r="W79" s="815"/>
      <c r="X79" s="798"/>
      <c r="Y79" s="815"/>
      <c r="Z79" s="721">
        <f t="shared" si="96"/>
        <v>0</v>
      </c>
      <c r="AA79" s="817">
        <v>0</v>
      </c>
      <c r="AB79" s="817">
        <v>0</v>
      </c>
      <c r="AC79" s="818">
        <f t="shared" si="89"/>
        <v>0</v>
      </c>
      <c r="AD79" s="819">
        <f t="shared" si="98"/>
        <v>0</v>
      </c>
      <c r="AE79" s="819"/>
      <c r="AF79" s="721">
        <f t="shared" si="91"/>
        <v>0</v>
      </c>
      <c r="AG79" s="721"/>
      <c r="AH79" s="721">
        <f t="shared" si="97"/>
        <v>0</v>
      </c>
      <c r="AI79" s="1086">
        <f t="shared" si="30"/>
        <v>0</v>
      </c>
      <c r="AJ79" s="722">
        <f t="shared" si="31"/>
        <v>0</v>
      </c>
      <c r="AK79" s="722"/>
    </row>
    <row r="80" spans="1:37" s="530" customFormat="1" ht="28.5" x14ac:dyDescent="0.35">
      <c r="A80" s="710">
        <v>71</v>
      </c>
      <c r="B80" s="711" t="s">
        <v>116</v>
      </c>
      <c r="C80" s="711"/>
      <c r="D80" s="710" t="s">
        <v>117</v>
      </c>
      <c r="E80" s="712">
        <f t="shared" ref="E80:Y80" si="107">SUM(E74,E73,E72,E71,E70)</f>
        <v>1473660</v>
      </c>
      <c r="F80" s="712">
        <f t="shared" si="107"/>
        <v>0</v>
      </c>
      <c r="G80" s="712">
        <f t="shared" si="107"/>
        <v>0</v>
      </c>
      <c r="H80" s="712">
        <f t="shared" si="107"/>
        <v>3554</v>
      </c>
      <c r="I80" s="712">
        <f>SUM(I70:I79)</f>
        <v>0</v>
      </c>
      <c r="J80" s="712">
        <f t="shared" si="107"/>
        <v>964</v>
      </c>
      <c r="K80" s="712">
        <f t="shared" si="107"/>
        <v>0</v>
      </c>
      <c r="L80" s="712">
        <f t="shared" si="107"/>
        <v>0</v>
      </c>
      <c r="M80" s="712">
        <f t="shared" si="107"/>
        <v>1350</v>
      </c>
      <c r="N80" s="712"/>
      <c r="O80" s="712">
        <f t="shared" si="107"/>
        <v>0</v>
      </c>
      <c r="P80" s="712">
        <f t="shared" si="107"/>
        <v>1473660</v>
      </c>
      <c r="Q80" s="712">
        <f t="shared" si="107"/>
        <v>979998</v>
      </c>
      <c r="R80" s="712">
        <f t="shared" si="107"/>
        <v>538046</v>
      </c>
      <c r="S80" s="712">
        <f>S70+S71+S72+S73+S74</f>
        <v>1062050</v>
      </c>
      <c r="T80" s="712">
        <f t="shared" si="107"/>
        <v>557542</v>
      </c>
      <c r="U80" s="712">
        <f t="shared" si="107"/>
        <v>0</v>
      </c>
      <c r="V80" s="712">
        <f t="shared" si="107"/>
        <v>550476</v>
      </c>
      <c r="W80" s="712">
        <f t="shared" si="107"/>
        <v>0</v>
      </c>
      <c r="X80" s="794"/>
      <c r="Y80" s="712">
        <f t="shared" si="107"/>
        <v>0</v>
      </c>
      <c r="Z80" s="714">
        <f t="shared" si="96"/>
        <v>1473660</v>
      </c>
      <c r="AA80" s="719">
        <v>1000000</v>
      </c>
      <c r="AB80" s="719">
        <v>979998</v>
      </c>
      <c r="AC80" s="715">
        <f t="shared" si="89"/>
        <v>251460</v>
      </c>
      <c r="AD80" s="716">
        <f t="shared" si="98"/>
        <v>1725120</v>
      </c>
      <c r="AE80" s="717">
        <f>SUM(AE70:AE74)</f>
        <v>1725120</v>
      </c>
      <c r="AF80" s="714">
        <f t="shared" si="91"/>
        <v>558506</v>
      </c>
      <c r="AG80" s="714">
        <f>AG70+AG71+AG72+AG73+AG74</f>
        <v>778346</v>
      </c>
      <c r="AH80" s="714">
        <f t="shared" si="97"/>
        <v>1062050</v>
      </c>
      <c r="AI80" s="1086">
        <f t="shared" si="30"/>
        <v>-209359</v>
      </c>
      <c r="AJ80" s="722">
        <f t="shared" si="31"/>
        <v>852691</v>
      </c>
      <c r="AK80" s="622">
        <f>SUM(AK69:AK74)</f>
        <v>852691</v>
      </c>
    </row>
    <row r="81" spans="1:37" s="611" customFormat="1" ht="21" x14ac:dyDescent="0.5">
      <c r="A81" s="1400" t="s">
        <v>118</v>
      </c>
      <c r="B81" s="1400"/>
      <c r="C81" s="1039"/>
      <c r="D81" s="836" t="s">
        <v>119</v>
      </c>
      <c r="E81" s="837">
        <f>SUM(E40,E46,E66,E69,E80)</f>
        <v>4812660</v>
      </c>
      <c r="F81" s="837">
        <f t="shared" ref="F81:Y81" si="108">SUM(F40,F46,F66,F69,F80)</f>
        <v>110000</v>
      </c>
      <c r="G81" s="837">
        <f t="shared" si="108"/>
        <v>115000</v>
      </c>
      <c r="H81" s="837">
        <f t="shared" si="108"/>
        <v>117477</v>
      </c>
      <c r="I81" s="837">
        <f>SUM(I80,I66,I46,I40)</f>
        <v>0</v>
      </c>
      <c r="J81" s="837">
        <f t="shared" si="108"/>
        <v>110964</v>
      </c>
      <c r="K81" s="837">
        <f t="shared" si="108"/>
        <v>0</v>
      </c>
      <c r="L81" s="837">
        <f t="shared" si="108"/>
        <v>5000</v>
      </c>
      <c r="M81" s="837">
        <f t="shared" si="108"/>
        <v>116350</v>
      </c>
      <c r="N81" s="837"/>
      <c r="O81" s="837">
        <f t="shared" si="108"/>
        <v>0</v>
      </c>
      <c r="P81" s="837">
        <f t="shared" si="108"/>
        <v>4702660</v>
      </c>
      <c r="Q81" s="837">
        <f t="shared" si="108"/>
        <v>5590998</v>
      </c>
      <c r="R81" s="837">
        <f t="shared" si="108"/>
        <v>2757087</v>
      </c>
      <c r="S81" s="837">
        <f>SUM(S40,S46,S66,S69,S80)</f>
        <v>5177050</v>
      </c>
      <c r="T81" s="837">
        <f t="shared" si="108"/>
        <v>3047786</v>
      </c>
      <c r="U81" s="837">
        <f t="shared" si="108"/>
        <v>0</v>
      </c>
      <c r="V81" s="837">
        <f t="shared" si="108"/>
        <v>550476</v>
      </c>
      <c r="W81" s="837">
        <f t="shared" si="108"/>
        <v>0</v>
      </c>
      <c r="X81" s="801"/>
      <c r="Y81" s="837">
        <f t="shared" si="108"/>
        <v>0</v>
      </c>
      <c r="Z81" s="838">
        <f t="shared" ref="Z81:AD81" si="109">SUM(Z80,Z69,Z66,Z46,Z40)</f>
        <v>4812660</v>
      </c>
      <c r="AA81" s="838">
        <f t="shared" si="109"/>
        <v>5462000</v>
      </c>
      <c r="AB81" s="838">
        <f t="shared" si="109"/>
        <v>5441998</v>
      </c>
      <c r="AC81" s="838">
        <f t="shared" si="109"/>
        <v>1012607</v>
      </c>
      <c r="AD81" s="838">
        <f t="shared" si="109"/>
        <v>5825267</v>
      </c>
      <c r="AE81" s="838">
        <f>SUM(AE80,AE69,AE66,AE46,AE40)</f>
        <v>5825267</v>
      </c>
      <c r="AF81" s="723">
        <f t="shared" si="91"/>
        <v>3158750</v>
      </c>
      <c r="AG81" s="723">
        <f>AG40+AG46+AG66+AG69+AG80</f>
        <v>4291122</v>
      </c>
      <c r="AH81" s="723">
        <f t="shared" si="97"/>
        <v>5177050</v>
      </c>
      <c r="AI81" s="1087">
        <f t="shared" ref="AI81:AJ81" si="110">SUM(AI40,AI46,AI66,AI80)</f>
        <v>767315</v>
      </c>
      <c r="AJ81" s="1087">
        <f t="shared" si="110"/>
        <v>5944365</v>
      </c>
      <c r="AK81" s="1087">
        <f>SUM(AK40,AK46,AK66,AK80)</f>
        <v>4636947</v>
      </c>
    </row>
    <row r="82" spans="1:37" s="708" customFormat="1" hidden="1" x14ac:dyDescent="0.35">
      <c r="A82" s="810">
        <v>72</v>
      </c>
      <c r="B82" s="811" t="s">
        <v>120</v>
      </c>
      <c r="C82" s="811"/>
      <c r="D82" s="810" t="s">
        <v>121</v>
      </c>
      <c r="E82" s="812"/>
      <c r="F82" s="813"/>
      <c r="G82" s="813"/>
      <c r="H82" s="813"/>
      <c r="I82" s="813"/>
      <c r="J82" s="813"/>
      <c r="K82" s="815"/>
      <c r="L82" s="813"/>
      <c r="M82" s="815"/>
      <c r="N82" s="815"/>
      <c r="O82" s="815"/>
      <c r="P82" s="815"/>
      <c r="Q82" s="813"/>
      <c r="R82" s="815"/>
      <c r="S82" s="815"/>
      <c r="T82" s="815"/>
      <c r="U82" s="815"/>
      <c r="V82" s="813"/>
      <c r="W82" s="815"/>
      <c r="X82" s="798"/>
      <c r="Y82" s="815"/>
      <c r="Z82" s="721">
        <f>SUM(F82,K82,P82,U82)</f>
        <v>0</v>
      </c>
      <c r="AA82" s="817">
        <v>0</v>
      </c>
      <c r="AB82" s="817">
        <v>0</v>
      </c>
      <c r="AC82" s="818">
        <f t="shared" ref="AC82:AC100" si="111">AE82-Z82</f>
        <v>0</v>
      </c>
      <c r="AD82" s="819">
        <f t="shared" si="98"/>
        <v>0</v>
      </c>
      <c r="AE82" s="819"/>
      <c r="AF82" s="721">
        <f t="shared" si="91"/>
        <v>0</v>
      </c>
      <c r="AG82" s="721"/>
      <c r="AH82" s="721">
        <f t="shared" si="97"/>
        <v>0</v>
      </c>
      <c r="AI82" s="1086">
        <f t="shared" si="30"/>
        <v>0</v>
      </c>
      <c r="AJ82" s="722">
        <f t="shared" si="31"/>
        <v>0</v>
      </c>
      <c r="AK82" s="722"/>
    </row>
    <row r="83" spans="1:37" s="708" customFormat="1" hidden="1" x14ac:dyDescent="0.35">
      <c r="A83" s="810">
        <v>73</v>
      </c>
      <c r="B83" s="811" t="s">
        <v>122</v>
      </c>
      <c r="C83" s="811"/>
      <c r="D83" s="810" t="s">
        <v>123</v>
      </c>
      <c r="E83" s="812"/>
      <c r="F83" s="813"/>
      <c r="G83" s="813"/>
      <c r="H83" s="813"/>
      <c r="I83" s="813"/>
      <c r="J83" s="813"/>
      <c r="K83" s="815"/>
      <c r="L83" s="813"/>
      <c r="M83" s="815"/>
      <c r="N83" s="815"/>
      <c r="O83" s="815"/>
      <c r="P83" s="815"/>
      <c r="Q83" s="813"/>
      <c r="R83" s="815"/>
      <c r="S83" s="815"/>
      <c r="T83" s="815"/>
      <c r="U83" s="815"/>
      <c r="V83" s="813"/>
      <c r="W83" s="815"/>
      <c r="X83" s="798"/>
      <c r="Y83" s="815"/>
      <c r="Z83" s="721">
        <f>SUM(F83,K83,P83,U83)</f>
        <v>0</v>
      </c>
      <c r="AA83" s="817">
        <v>0</v>
      </c>
      <c r="AB83" s="817">
        <v>0</v>
      </c>
      <c r="AC83" s="818">
        <f t="shared" si="111"/>
        <v>0</v>
      </c>
      <c r="AD83" s="819">
        <f t="shared" si="98"/>
        <v>0</v>
      </c>
      <c r="AE83" s="819"/>
      <c r="AF83" s="721">
        <f t="shared" si="91"/>
        <v>0</v>
      </c>
      <c r="AG83" s="721"/>
      <c r="AH83" s="721">
        <f t="shared" si="97"/>
        <v>0</v>
      </c>
      <c r="AI83" s="1086">
        <f t="shared" si="30"/>
        <v>0</v>
      </c>
      <c r="AJ83" s="722">
        <f t="shared" si="31"/>
        <v>0</v>
      </c>
      <c r="AK83" s="722"/>
    </row>
    <row r="84" spans="1:37" s="708" customFormat="1" x14ac:dyDescent="0.35">
      <c r="A84" s="810">
        <v>74</v>
      </c>
      <c r="B84" s="811" t="s">
        <v>124</v>
      </c>
      <c r="C84" s="811"/>
      <c r="D84" s="810" t="s">
        <v>125</v>
      </c>
      <c r="E84" s="812">
        <f>SUM(E85:E86)</f>
        <v>300000</v>
      </c>
      <c r="F84" s="813"/>
      <c r="G84" s="813"/>
      <c r="H84" s="813"/>
      <c r="I84" s="813"/>
      <c r="J84" s="813"/>
      <c r="K84" s="813"/>
      <c r="L84" s="813"/>
      <c r="M84" s="813"/>
      <c r="N84" s="813"/>
      <c r="O84" s="813"/>
      <c r="P84" s="813">
        <v>300000</v>
      </c>
      <c r="Q84" s="813"/>
      <c r="R84" s="813"/>
      <c r="S84" s="813"/>
      <c r="T84" s="814">
        <v>127800</v>
      </c>
      <c r="U84" s="813"/>
      <c r="V84" s="813"/>
      <c r="W84" s="813"/>
      <c r="X84" s="797"/>
      <c r="Y84" s="813"/>
      <c r="Z84" s="721">
        <f>SUM(F84,K84,P84,U84)</f>
        <v>300000</v>
      </c>
      <c r="AA84" s="817">
        <v>0</v>
      </c>
      <c r="AB84" s="817">
        <v>0</v>
      </c>
      <c r="AC84" s="818">
        <f t="shared" si="111"/>
        <v>-151346</v>
      </c>
      <c r="AD84" s="819">
        <f t="shared" si="98"/>
        <v>148654</v>
      </c>
      <c r="AE84" s="820">
        <v>148654</v>
      </c>
      <c r="AF84" s="721">
        <f t="shared" si="91"/>
        <v>127800</v>
      </c>
      <c r="AG84" s="721">
        <v>127800</v>
      </c>
      <c r="AH84" s="721">
        <f t="shared" si="97"/>
        <v>0</v>
      </c>
      <c r="AI84" s="1086">
        <f t="shared" si="30"/>
        <v>0</v>
      </c>
      <c r="AJ84" s="722">
        <f t="shared" si="31"/>
        <v>0</v>
      </c>
      <c r="AK84" s="722"/>
    </row>
    <row r="85" spans="1:37" s="708" customFormat="1" hidden="1" x14ac:dyDescent="0.35">
      <c r="A85" s="810">
        <v>75</v>
      </c>
      <c r="B85" s="834" t="s">
        <v>796</v>
      </c>
      <c r="C85" s="834"/>
      <c r="D85" s="810"/>
      <c r="E85" s="812">
        <v>200000</v>
      </c>
      <c r="F85" s="813"/>
      <c r="G85" s="813"/>
      <c r="H85" s="813"/>
      <c r="I85" s="813"/>
      <c r="J85" s="813"/>
      <c r="K85" s="815"/>
      <c r="L85" s="813"/>
      <c r="M85" s="815"/>
      <c r="N85" s="815"/>
      <c r="O85" s="815"/>
      <c r="P85" s="815">
        <v>200000</v>
      </c>
      <c r="Q85" s="813"/>
      <c r="R85" s="815"/>
      <c r="S85" s="815"/>
      <c r="T85" s="814"/>
      <c r="U85" s="815"/>
      <c r="V85" s="813"/>
      <c r="W85" s="815"/>
      <c r="X85" s="798"/>
      <c r="Y85" s="815"/>
      <c r="Z85" s="721">
        <f>SUM(F85,K85,P85,U85)</f>
        <v>200000</v>
      </c>
      <c r="AA85" s="817">
        <v>0</v>
      </c>
      <c r="AB85" s="817">
        <v>0</v>
      </c>
      <c r="AC85" s="818">
        <f t="shared" si="111"/>
        <v>-200000</v>
      </c>
      <c r="AD85" s="819">
        <f t="shared" si="98"/>
        <v>0</v>
      </c>
      <c r="AE85" s="819"/>
      <c r="AF85" s="721">
        <f t="shared" si="91"/>
        <v>0</v>
      </c>
      <c r="AG85" s="721">
        <v>48591</v>
      </c>
      <c r="AH85" s="721">
        <f t="shared" si="97"/>
        <v>0</v>
      </c>
      <c r="AI85" s="1086">
        <f t="shared" si="30"/>
        <v>0</v>
      </c>
      <c r="AJ85" s="722">
        <f t="shared" si="31"/>
        <v>0</v>
      </c>
      <c r="AK85" s="722"/>
    </row>
    <row r="86" spans="1:37" s="708" customFormat="1" ht="28.5" hidden="1" x14ac:dyDescent="0.35">
      <c r="A86" s="810">
        <v>76</v>
      </c>
      <c r="B86" s="834" t="s">
        <v>797</v>
      </c>
      <c r="C86" s="834"/>
      <c r="D86" s="810"/>
      <c r="E86" s="812">
        <v>100000</v>
      </c>
      <c r="F86" s="813"/>
      <c r="G86" s="813"/>
      <c r="H86" s="813"/>
      <c r="I86" s="813"/>
      <c r="J86" s="813"/>
      <c r="K86" s="815"/>
      <c r="L86" s="813"/>
      <c r="M86" s="815"/>
      <c r="N86" s="815"/>
      <c r="O86" s="815"/>
      <c r="P86" s="815">
        <v>100000</v>
      </c>
      <c r="Q86" s="813"/>
      <c r="R86" s="815"/>
      <c r="S86" s="815"/>
      <c r="T86" s="815"/>
      <c r="U86" s="815"/>
      <c r="V86" s="813"/>
      <c r="W86" s="815"/>
      <c r="X86" s="798"/>
      <c r="Y86" s="815"/>
      <c r="Z86" s="721">
        <f>SUM(F86,K86,P86,U86)</f>
        <v>100000</v>
      </c>
      <c r="AA86" s="817">
        <v>0</v>
      </c>
      <c r="AB86" s="817">
        <v>0</v>
      </c>
      <c r="AC86" s="818">
        <f t="shared" si="111"/>
        <v>-100000</v>
      </c>
      <c r="AD86" s="819">
        <f t="shared" si="98"/>
        <v>0</v>
      </c>
      <c r="AE86" s="819"/>
      <c r="AF86" s="721">
        <f t="shared" si="91"/>
        <v>0</v>
      </c>
      <c r="AG86" s="721">
        <v>37365</v>
      </c>
      <c r="AH86" s="721">
        <f t="shared" si="97"/>
        <v>0</v>
      </c>
      <c r="AI86" s="1086">
        <f t="shared" si="30"/>
        <v>0</v>
      </c>
      <c r="AJ86" s="722">
        <f t="shared" si="31"/>
        <v>0</v>
      </c>
      <c r="AK86" s="722"/>
    </row>
    <row r="87" spans="1:37" s="708" customFormat="1" ht="28.5" x14ac:dyDescent="0.35">
      <c r="A87" s="810">
        <v>77</v>
      </c>
      <c r="B87" s="811" t="s">
        <v>126</v>
      </c>
      <c r="C87" s="811" t="s">
        <v>947</v>
      </c>
      <c r="D87" s="810" t="s">
        <v>127</v>
      </c>
      <c r="E87" s="812">
        <f t="shared" ref="E87:AB87" si="112">SUM(E88:E97)</f>
        <v>0</v>
      </c>
      <c r="F87" s="812">
        <f t="shared" si="112"/>
        <v>0</v>
      </c>
      <c r="G87" s="812">
        <f t="shared" si="112"/>
        <v>0</v>
      </c>
      <c r="H87" s="812">
        <f t="shared" si="112"/>
        <v>0</v>
      </c>
      <c r="I87" s="812"/>
      <c r="J87" s="812">
        <f t="shared" si="112"/>
        <v>0</v>
      </c>
      <c r="K87" s="812">
        <f t="shared" si="112"/>
        <v>0</v>
      </c>
      <c r="L87" s="812">
        <f t="shared" si="112"/>
        <v>0</v>
      </c>
      <c r="M87" s="812">
        <f t="shared" si="112"/>
        <v>0</v>
      </c>
      <c r="N87" s="812"/>
      <c r="O87" s="812">
        <f t="shared" si="112"/>
        <v>0</v>
      </c>
      <c r="P87" s="812">
        <f t="shared" si="112"/>
        <v>0</v>
      </c>
      <c r="Q87" s="812">
        <f t="shared" si="112"/>
        <v>0</v>
      </c>
      <c r="R87" s="812">
        <f t="shared" si="112"/>
        <v>0</v>
      </c>
      <c r="S87" s="812">
        <v>380000</v>
      </c>
      <c r="T87" s="812">
        <v>10591</v>
      </c>
      <c r="U87" s="812">
        <f t="shared" si="112"/>
        <v>0</v>
      </c>
      <c r="V87" s="812">
        <f t="shared" si="112"/>
        <v>0</v>
      </c>
      <c r="W87" s="812">
        <f t="shared" si="112"/>
        <v>0</v>
      </c>
      <c r="X87" s="800"/>
      <c r="Y87" s="812">
        <f t="shared" si="112"/>
        <v>0</v>
      </c>
      <c r="Z87" s="812">
        <f t="shared" si="112"/>
        <v>0</v>
      </c>
      <c r="AA87" s="812">
        <f t="shared" si="112"/>
        <v>0</v>
      </c>
      <c r="AB87" s="812">
        <f t="shared" si="112"/>
        <v>0</v>
      </c>
      <c r="AC87" s="818">
        <f t="shared" si="111"/>
        <v>48591</v>
      </c>
      <c r="AD87" s="819">
        <f t="shared" si="98"/>
        <v>48591</v>
      </c>
      <c r="AE87" s="820">
        <v>48591</v>
      </c>
      <c r="AF87" s="721">
        <f t="shared" si="91"/>
        <v>10591</v>
      </c>
      <c r="AG87" s="721">
        <v>48591</v>
      </c>
      <c r="AH87" s="721">
        <f t="shared" si="97"/>
        <v>380000</v>
      </c>
      <c r="AI87" s="1086">
        <f t="shared" si="30"/>
        <v>5254661</v>
      </c>
      <c r="AJ87" s="722">
        <f t="shared" si="31"/>
        <v>5634661</v>
      </c>
      <c r="AK87" s="591">
        <v>5634661</v>
      </c>
    </row>
    <row r="88" spans="1:37" s="708" customFormat="1" hidden="1" x14ac:dyDescent="0.35">
      <c r="A88" s="810">
        <v>78</v>
      </c>
      <c r="B88" s="811" t="s">
        <v>417</v>
      </c>
      <c r="C88" s="811"/>
      <c r="D88" s="810"/>
      <c r="E88" s="812"/>
      <c r="F88" s="813"/>
      <c r="G88" s="813"/>
      <c r="H88" s="813"/>
      <c r="I88" s="813"/>
      <c r="J88" s="813"/>
      <c r="K88" s="815"/>
      <c r="L88" s="813"/>
      <c r="M88" s="815"/>
      <c r="N88" s="815"/>
      <c r="O88" s="815"/>
      <c r="P88" s="815"/>
      <c r="Q88" s="813"/>
      <c r="R88" s="815"/>
      <c r="S88" s="815"/>
      <c r="T88" s="815"/>
      <c r="U88" s="815"/>
      <c r="V88" s="813"/>
      <c r="W88" s="815"/>
      <c r="X88" s="798"/>
      <c r="Y88" s="815"/>
      <c r="Z88" s="721">
        <f t="shared" ref="Z88:Z100" si="113">SUM(F88,K88,P88,U88)</f>
        <v>0</v>
      </c>
      <c r="AA88" s="817">
        <v>0</v>
      </c>
      <c r="AB88" s="817">
        <v>0</v>
      </c>
      <c r="AC88" s="818">
        <f t="shared" si="111"/>
        <v>0</v>
      </c>
      <c r="AD88" s="819">
        <f t="shared" si="98"/>
        <v>0</v>
      </c>
      <c r="AE88" s="819"/>
      <c r="AF88" s="721">
        <f t="shared" si="91"/>
        <v>0</v>
      </c>
      <c r="AG88" s="721">
        <v>37365</v>
      </c>
      <c r="AH88" s="721">
        <f t="shared" si="97"/>
        <v>0</v>
      </c>
      <c r="AI88" s="1086">
        <f t="shared" si="30"/>
        <v>0</v>
      </c>
      <c r="AJ88" s="722">
        <f t="shared" si="31"/>
        <v>0</v>
      </c>
      <c r="AK88" s="722"/>
    </row>
    <row r="89" spans="1:37" s="708" customFormat="1" hidden="1" x14ac:dyDescent="0.35">
      <c r="A89" s="810">
        <v>79</v>
      </c>
      <c r="B89" s="839" t="s">
        <v>418</v>
      </c>
      <c r="C89" s="839"/>
      <c r="D89" s="810"/>
      <c r="E89" s="812"/>
      <c r="F89" s="813"/>
      <c r="G89" s="813"/>
      <c r="H89" s="813"/>
      <c r="I89" s="813"/>
      <c r="J89" s="813"/>
      <c r="K89" s="815"/>
      <c r="L89" s="813"/>
      <c r="M89" s="815"/>
      <c r="N89" s="815"/>
      <c r="O89" s="815"/>
      <c r="P89" s="815"/>
      <c r="Q89" s="813"/>
      <c r="R89" s="815"/>
      <c r="S89" s="815"/>
      <c r="T89" s="815"/>
      <c r="U89" s="815"/>
      <c r="V89" s="813"/>
      <c r="W89" s="815"/>
      <c r="X89" s="798"/>
      <c r="Y89" s="815"/>
      <c r="Z89" s="721">
        <f t="shared" si="113"/>
        <v>0</v>
      </c>
      <c r="AA89" s="817">
        <v>0</v>
      </c>
      <c r="AB89" s="817">
        <v>0</v>
      </c>
      <c r="AC89" s="818">
        <f t="shared" si="111"/>
        <v>0</v>
      </c>
      <c r="AD89" s="819">
        <f t="shared" si="98"/>
        <v>0</v>
      </c>
      <c r="AE89" s="819"/>
      <c r="AF89" s="721">
        <f t="shared" si="91"/>
        <v>0</v>
      </c>
      <c r="AG89" s="721"/>
      <c r="AH89" s="721">
        <f t="shared" si="97"/>
        <v>0</v>
      </c>
      <c r="AI89" s="1086">
        <f t="shared" si="30"/>
        <v>0</v>
      </c>
      <c r="AJ89" s="722">
        <f t="shared" si="31"/>
        <v>0</v>
      </c>
      <c r="AK89" s="722"/>
    </row>
    <row r="90" spans="1:37" s="708" customFormat="1" hidden="1" x14ac:dyDescent="0.35">
      <c r="A90" s="810">
        <v>80</v>
      </c>
      <c r="B90" s="810" t="s">
        <v>419</v>
      </c>
      <c r="C90" s="810"/>
      <c r="D90" s="810"/>
      <c r="E90" s="812"/>
      <c r="F90" s="813"/>
      <c r="G90" s="813"/>
      <c r="H90" s="813"/>
      <c r="I90" s="813"/>
      <c r="J90" s="813"/>
      <c r="K90" s="815"/>
      <c r="L90" s="813"/>
      <c r="M90" s="815"/>
      <c r="N90" s="815"/>
      <c r="O90" s="815"/>
      <c r="P90" s="815"/>
      <c r="Q90" s="813"/>
      <c r="R90" s="815"/>
      <c r="S90" s="815"/>
      <c r="T90" s="815"/>
      <c r="U90" s="815"/>
      <c r="V90" s="813"/>
      <c r="W90" s="815"/>
      <c r="X90" s="798"/>
      <c r="Y90" s="815"/>
      <c r="Z90" s="721">
        <f t="shared" si="113"/>
        <v>0</v>
      </c>
      <c r="AA90" s="817">
        <v>0</v>
      </c>
      <c r="AB90" s="817">
        <v>0</v>
      </c>
      <c r="AC90" s="818">
        <f t="shared" si="111"/>
        <v>0</v>
      </c>
      <c r="AD90" s="819">
        <f t="shared" si="98"/>
        <v>0</v>
      </c>
      <c r="AE90" s="819"/>
      <c r="AF90" s="721">
        <f t="shared" si="91"/>
        <v>0</v>
      </c>
      <c r="AG90" s="721"/>
      <c r="AH90" s="721">
        <f t="shared" si="97"/>
        <v>0</v>
      </c>
      <c r="AI90" s="1086">
        <f t="shared" si="30"/>
        <v>0</v>
      </c>
      <c r="AJ90" s="722">
        <f t="shared" si="31"/>
        <v>0</v>
      </c>
      <c r="AK90" s="722"/>
    </row>
    <row r="91" spans="1:37" s="708" customFormat="1" hidden="1" x14ac:dyDescent="0.35">
      <c r="A91" s="810">
        <v>81</v>
      </c>
      <c r="B91" s="810" t="s">
        <v>420</v>
      </c>
      <c r="C91" s="810"/>
      <c r="D91" s="810"/>
      <c r="E91" s="812"/>
      <c r="F91" s="813"/>
      <c r="G91" s="813"/>
      <c r="H91" s="813"/>
      <c r="I91" s="813"/>
      <c r="J91" s="813"/>
      <c r="K91" s="815"/>
      <c r="L91" s="813"/>
      <c r="M91" s="815"/>
      <c r="N91" s="815"/>
      <c r="O91" s="815"/>
      <c r="P91" s="815"/>
      <c r="Q91" s="813"/>
      <c r="R91" s="815"/>
      <c r="S91" s="815"/>
      <c r="T91" s="815"/>
      <c r="U91" s="815"/>
      <c r="V91" s="813"/>
      <c r="W91" s="815"/>
      <c r="X91" s="798"/>
      <c r="Y91" s="815"/>
      <c r="Z91" s="721">
        <f t="shared" si="113"/>
        <v>0</v>
      </c>
      <c r="AA91" s="817">
        <v>0</v>
      </c>
      <c r="AB91" s="817">
        <v>0</v>
      </c>
      <c r="AC91" s="818">
        <f t="shared" si="111"/>
        <v>0</v>
      </c>
      <c r="AD91" s="819">
        <f t="shared" si="98"/>
        <v>0</v>
      </c>
      <c r="AE91" s="819"/>
      <c r="AF91" s="721">
        <f t="shared" si="91"/>
        <v>0</v>
      </c>
      <c r="AG91" s="721"/>
      <c r="AH91" s="721">
        <f t="shared" si="97"/>
        <v>0</v>
      </c>
      <c r="AI91" s="1086">
        <f t="shared" ref="AI91:AI118" si="114">AJ91-AH91</f>
        <v>0</v>
      </c>
      <c r="AJ91" s="722">
        <f t="shared" ref="AJ91:AJ118" si="115">AK91</f>
        <v>0</v>
      </c>
      <c r="AK91" s="722"/>
    </row>
    <row r="92" spans="1:37" s="708" customFormat="1" ht="28.5" hidden="1" x14ac:dyDescent="0.35">
      <c r="A92" s="810">
        <v>82</v>
      </c>
      <c r="B92" s="811" t="s">
        <v>421</v>
      </c>
      <c r="C92" s="811"/>
      <c r="D92" s="810"/>
      <c r="E92" s="812"/>
      <c r="F92" s="813"/>
      <c r="G92" s="813"/>
      <c r="H92" s="813"/>
      <c r="I92" s="813"/>
      <c r="J92" s="813"/>
      <c r="K92" s="815"/>
      <c r="L92" s="813"/>
      <c r="M92" s="815"/>
      <c r="N92" s="815"/>
      <c r="O92" s="815"/>
      <c r="P92" s="815"/>
      <c r="Q92" s="813"/>
      <c r="R92" s="815"/>
      <c r="S92" s="815"/>
      <c r="T92" s="815"/>
      <c r="U92" s="815"/>
      <c r="V92" s="813"/>
      <c r="W92" s="815"/>
      <c r="X92" s="798"/>
      <c r="Y92" s="815"/>
      <c r="Z92" s="721">
        <f t="shared" si="113"/>
        <v>0</v>
      </c>
      <c r="AA92" s="817">
        <v>0</v>
      </c>
      <c r="AB92" s="817">
        <v>0</v>
      </c>
      <c r="AC92" s="818">
        <f t="shared" si="111"/>
        <v>0</v>
      </c>
      <c r="AD92" s="819">
        <f t="shared" si="98"/>
        <v>0</v>
      </c>
      <c r="AE92" s="819"/>
      <c r="AF92" s="721">
        <f t="shared" si="91"/>
        <v>0</v>
      </c>
      <c r="AG92" s="721"/>
      <c r="AH92" s="721">
        <f t="shared" si="97"/>
        <v>0</v>
      </c>
      <c r="AI92" s="1086">
        <f t="shared" si="114"/>
        <v>0</v>
      </c>
      <c r="AJ92" s="722">
        <f t="shared" si="115"/>
        <v>0</v>
      </c>
      <c r="AK92" s="722"/>
    </row>
    <row r="93" spans="1:37" s="708" customFormat="1" ht="28.5" hidden="1" x14ac:dyDescent="0.35">
      <c r="A93" s="810">
        <v>83</v>
      </c>
      <c r="B93" s="811" t="s">
        <v>422</v>
      </c>
      <c r="C93" s="811"/>
      <c r="D93" s="810"/>
      <c r="E93" s="812"/>
      <c r="F93" s="813"/>
      <c r="G93" s="813"/>
      <c r="H93" s="813"/>
      <c r="I93" s="813"/>
      <c r="J93" s="813"/>
      <c r="K93" s="815"/>
      <c r="L93" s="813"/>
      <c r="M93" s="815"/>
      <c r="N93" s="815"/>
      <c r="O93" s="815"/>
      <c r="P93" s="815"/>
      <c r="Q93" s="813"/>
      <c r="R93" s="815"/>
      <c r="S93" s="815"/>
      <c r="T93" s="815"/>
      <c r="U93" s="815"/>
      <c r="V93" s="813"/>
      <c r="W93" s="815"/>
      <c r="X93" s="798"/>
      <c r="Y93" s="815"/>
      <c r="Z93" s="721">
        <f t="shared" si="113"/>
        <v>0</v>
      </c>
      <c r="AA93" s="817">
        <v>0</v>
      </c>
      <c r="AB93" s="817">
        <v>0</v>
      </c>
      <c r="AC93" s="818">
        <f t="shared" si="111"/>
        <v>0</v>
      </c>
      <c r="AD93" s="819">
        <f t="shared" si="98"/>
        <v>0</v>
      </c>
      <c r="AE93" s="819"/>
      <c r="AF93" s="721">
        <f t="shared" si="91"/>
        <v>0</v>
      </c>
      <c r="AG93" s="721"/>
      <c r="AH93" s="721">
        <f t="shared" si="97"/>
        <v>0</v>
      </c>
      <c r="AI93" s="1086">
        <f t="shared" si="114"/>
        <v>0</v>
      </c>
      <c r="AJ93" s="722">
        <f t="shared" si="115"/>
        <v>0</v>
      </c>
      <c r="AK93" s="722"/>
    </row>
    <row r="94" spans="1:37" s="708" customFormat="1" hidden="1" x14ac:dyDescent="0.35">
      <c r="A94" s="810">
        <v>84</v>
      </c>
      <c r="B94" s="810" t="s">
        <v>423</v>
      </c>
      <c r="C94" s="810"/>
      <c r="D94" s="810"/>
      <c r="E94" s="812"/>
      <c r="F94" s="813"/>
      <c r="G94" s="813"/>
      <c r="H94" s="813"/>
      <c r="I94" s="813"/>
      <c r="J94" s="813"/>
      <c r="K94" s="815"/>
      <c r="L94" s="813"/>
      <c r="M94" s="815"/>
      <c r="N94" s="815"/>
      <c r="O94" s="815"/>
      <c r="P94" s="815"/>
      <c r="Q94" s="813"/>
      <c r="R94" s="815"/>
      <c r="S94" s="815"/>
      <c r="T94" s="815"/>
      <c r="U94" s="815"/>
      <c r="V94" s="813"/>
      <c r="W94" s="815"/>
      <c r="X94" s="798"/>
      <c r="Y94" s="815"/>
      <c r="Z94" s="721">
        <f t="shared" si="113"/>
        <v>0</v>
      </c>
      <c r="AA94" s="817">
        <v>0</v>
      </c>
      <c r="AB94" s="817">
        <v>0</v>
      </c>
      <c r="AC94" s="818">
        <f t="shared" si="111"/>
        <v>0</v>
      </c>
      <c r="AD94" s="819">
        <f t="shared" si="98"/>
        <v>0</v>
      </c>
      <c r="AE94" s="819"/>
      <c r="AF94" s="721">
        <f t="shared" si="91"/>
        <v>0</v>
      </c>
      <c r="AG94" s="721"/>
      <c r="AH94" s="721">
        <f t="shared" si="97"/>
        <v>0</v>
      </c>
      <c r="AI94" s="1086">
        <f t="shared" si="114"/>
        <v>0</v>
      </c>
      <c r="AJ94" s="722">
        <f t="shared" si="115"/>
        <v>0</v>
      </c>
      <c r="AK94" s="722"/>
    </row>
    <row r="95" spans="1:37" s="708" customFormat="1" hidden="1" x14ac:dyDescent="0.35">
      <c r="A95" s="810">
        <v>85</v>
      </c>
      <c r="B95" s="810" t="s">
        <v>424</v>
      </c>
      <c r="C95" s="810"/>
      <c r="D95" s="810"/>
      <c r="E95" s="812"/>
      <c r="F95" s="813"/>
      <c r="G95" s="813"/>
      <c r="H95" s="813"/>
      <c r="I95" s="813"/>
      <c r="J95" s="813"/>
      <c r="K95" s="815"/>
      <c r="L95" s="813"/>
      <c r="M95" s="815"/>
      <c r="N95" s="815"/>
      <c r="O95" s="815"/>
      <c r="P95" s="815"/>
      <c r="Q95" s="813"/>
      <c r="R95" s="815"/>
      <c r="S95" s="815"/>
      <c r="T95" s="815"/>
      <c r="U95" s="815"/>
      <c r="V95" s="813"/>
      <c r="W95" s="815"/>
      <c r="X95" s="798"/>
      <c r="Y95" s="815"/>
      <c r="Z95" s="721">
        <f t="shared" si="113"/>
        <v>0</v>
      </c>
      <c r="AA95" s="817">
        <v>0</v>
      </c>
      <c r="AB95" s="817">
        <v>0</v>
      </c>
      <c r="AC95" s="818">
        <f t="shared" si="111"/>
        <v>0</v>
      </c>
      <c r="AD95" s="819">
        <f t="shared" si="98"/>
        <v>0</v>
      </c>
      <c r="AE95" s="819"/>
      <c r="AF95" s="721">
        <f t="shared" si="91"/>
        <v>0</v>
      </c>
      <c r="AG95" s="721"/>
      <c r="AH95" s="721">
        <f t="shared" si="97"/>
        <v>0</v>
      </c>
      <c r="AI95" s="1086">
        <f t="shared" si="114"/>
        <v>0</v>
      </c>
      <c r="AJ95" s="722">
        <f t="shared" si="115"/>
        <v>0</v>
      </c>
      <c r="AK95" s="722"/>
    </row>
    <row r="96" spans="1:37" s="708" customFormat="1" hidden="1" x14ac:dyDescent="0.35">
      <c r="A96" s="810">
        <v>86</v>
      </c>
      <c r="B96" s="823" t="s">
        <v>425</v>
      </c>
      <c r="C96" s="823"/>
      <c r="D96" s="810"/>
      <c r="E96" s="812"/>
      <c r="F96" s="813"/>
      <c r="G96" s="813"/>
      <c r="H96" s="813"/>
      <c r="I96" s="813"/>
      <c r="J96" s="813"/>
      <c r="K96" s="815"/>
      <c r="L96" s="813"/>
      <c r="M96" s="815"/>
      <c r="N96" s="815"/>
      <c r="O96" s="815"/>
      <c r="P96" s="815"/>
      <c r="Q96" s="813"/>
      <c r="R96" s="815"/>
      <c r="S96" s="815"/>
      <c r="T96" s="815"/>
      <c r="U96" s="815"/>
      <c r="V96" s="813"/>
      <c r="W96" s="815"/>
      <c r="X96" s="798"/>
      <c r="Y96" s="815"/>
      <c r="Z96" s="721">
        <f t="shared" si="113"/>
        <v>0</v>
      </c>
      <c r="AA96" s="817">
        <v>0</v>
      </c>
      <c r="AB96" s="817">
        <v>0</v>
      </c>
      <c r="AC96" s="818">
        <f t="shared" si="111"/>
        <v>0</v>
      </c>
      <c r="AD96" s="819">
        <f t="shared" si="98"/>
        <v>0</v>
      </c>
      <c r="AE96" s="819"/>
      <c r="AF96" s="721">
        <f t="shared" si="91"/>
        <v>0</v>
      </c>
      <c r="AG96" s="721"/>
      <c r="AH96" s="721">
        <f t="shared" si="97"/>
        <v>0</v>
      </c>
      <c r="AI96" s="1086">
        <f t="shared" si="114"/>
        <v>0</v>
      </c>
      <c r="AJ96" s="722">
        <f t="shared" si="115"/>
        <v>0</v>
      </c>
      <c r="AK96" s="722"/>
    </row>
    <row r="97" spans="1:37" s="708" customFormat="1" hidden="1" x14ac:dyDescent="0.35">
      <c r="A97" s="810">
        <v>87</v>
      </c>
      <c r="B97" s="823" t="s">
        <v>426</v>
      </c>
      <c r="C97" s="823"/>
      <c r="D97" s="810"/>
      <c r="E97" s="812"/>
      <c r="F97" s="813"/>
      <c r="G97" s="813"/>
      <c r="H97" s="813"/>
      <c r="I97" s="813"/>
      <c r="J97" s="813"/>
      <c r="K97" s="815"/>
      <c r="L97" s="813"/>
      <c r="M97" s="815"/>
      <c r="N97" s="815"/>
      <c r="O97" s="815"/>
      <c r="P97" s="815"/>
      <c r="Q97" s="813"/>
      <c r="R97" s="815"/>
      <c r="S97" s="815"/>
      <c r="T97" s="815"/>
      <c r="U97" s="815"/>
      <c r="V97" s="813"/>
      <c r="W97" s="815"/>
      <c r="X97" s="798"/>
      <c r="Y97" s="815"/>
      <c r="Z97" s="721">
        <f t="shared" si="113"/>
        <v>0</v>
      </c>
      <c r="AA97" s="817">
        <v>0</v>
      </c>
      <c r="AB97" s="817">
        <v>0</v>
      </c>
      <c r="AC97" s="818">
        <f t="shared" si="111"/>
        <v>0</v>
      </c>
      <c r="AD97" s="819">
        <f t="shared" si="98"/>
        <v>0</v>
      </c>
      <c r="AE97" s="819"/>
      <c r="AF97" s="721">
        <f t="shared" si="91"/>
        <v>0</v>
      </c>
      <c r="AG97" s="721"/>
      <c r="AH97" s="721">
        <f t="shared" si="97"/>
        <v>0</v>
      </c>
      <c r="AI97" s="1086">
        <f t="shared" si="114"/>
        <v>0</v>
      </c>
      <c r="AJ97" s="722">
        <f t="shared" si="115"/>
        <v>0</v>
      </c>
      <c r="AK97" s="722"/>
    </row>
    <row r="98" spans="1:37" s="708" customFormat="1" hidden="1" x14ac:dyDescent="0.35">
      <c r="A98" s="810">
        <v>88</v>
      </c>
      <c r="B98" s="811" t="s">
        <v>128</v>
      </c>
      <c r="C98" s="811"/>
      <c r="D98" s="810" t="s">
        <v>129</v>
      </c>
      <c r="E98" s="812"/>
      <c r="F98" s="813"/>
      <c r="G98" s="813"/>
      <c r="H98" s="813"/>
      <c r="I98" s="813"/>
      <c r="J98" s="813"/>
      <c r="K98" s="815"/>
      <c r="L98" s="813"/>
      <c r="M98" s="815"/>
      <c r="N98" s="815"/>
      <c r="O98" s="815"/>
      <c r="P98" s="815"/>
      <c r="Q98" s="813"/>
      <c r="R98" s="815"/>
      <c r="S98" s="815"/>
      <c r="T98" s="815"/>
      <c r="U98" s="815"/>
      <c r="V98" s="813"/>
      <c r="W98" s="815"/>
      <c r="X98" s="798"/>
      <c r="Y98" s="815"/>
      <c r="Z98" s="721">
        <f t="shared" si="113"/>
        <v>0</v>
      </c>
      <c r="AA98" s="817">
        <v>0</v>
      </c>
      <c r="AB98" s="817">
        <v>0</v>
      </c>
      <c r="AC98" s="818">
        <f t="shared" si="111"/>
        <v>0</v>
      </c>
      <c r="AD98" s="819">
        <f t="shared" si="98"/>
        <v>0</v>
      </c>
      <c r="AE98" s="819"/>
      <c r="AF98" s="721">
        <f t="shared" si="91"/>
        <v>0</v>
      </c>
      <c r="AG98" s="721"/>
      <c r="AH98" s="721">
        <f t="shared" si="97"/>
        <v>0</v>
      </c>
      <c r="AI98" s="1086">
        <f t="shared" si="114"/>
        <v>0</v>
      </c>
      <c r="AJ98" s="722">
        <f t="shared" si="115"/>
        <v>0</v>
      </c>
      <c r="AK98" s="722"/>
    </row>
    <row r="99" spans="1:37" s="708" customFormat="1" ht="28.5" hidden="1" x14ac:dyDescent="0.35">
      <c r="A99" s="810">
        <v>89</v>
      </c>
      <c r="B99" s="811" t="s">
        <v>130</v>
      </c>
      <c r="C99" s="811"/>
      <c r="D99" s="810" t="s">
        <v>131</v>
      </c>
      <c r="E99" s="812"/>
      <c r="F99" s="813"/>
      <c r="G99" s="813"/>
      <c r="H99" s="813"/>
      <c r="I99" s="813"/>
      <c r="J99" s="813"/>
      <c r="K99" s="815"/>
      <c r="L99" s="813"/>
      <c r="M99" s="815"/>
      <c r="N99" s="815"/>
      <c r="O99" s="815"/>
      <c r="P99" s="815"/>
      <c r="Q99" s="813"/>
      <c r="R99" s="815"/>
      <c r="S99" s="815"/>
      <c r="T99" s="815"/>
      <c r="U99" s="815"/>
      <c r="V99" s="813"/>
      <c r="W99" s="815"/>
      <c r="X99" s="798"/>
      <c r="Y99" s="815"/>
      <c r="Z99" s="721">
        <f t="shared" si="113"/>
        <v>0</v>
      </c>
      <c r="AA99" s="817">
        <v>0</v>
      </c>
      <c r="AB99" s="817">
        <v>0</v>
      </c>
      <c r="AC99" s="818">
        <f t="shared" si="111"/>
        <v>0</v>
      </c>
      <c r="AD99" s="819">
        <f t="shared" si="98"/>
        <v>0</v>
      </c>
      <c r="AE99" s="819"/>
      <c r="AF99" s="721">
        <f t="shared" si="91"/>
        <v>0</v>
      </c>
      <c r="AG99" s="721"/>
      <c r="AH99" s="721">
        <f t="shared" si="97"/>
        <v>0</v>
      </c>
      <c r="AI99" s="1086">
        <f t="shared" si="114"/>
        <v>0</v>
      </c>
      <c r="AJ99" s="722">
        <f t="shared" si="115"/>
        <v>0</v>
      </c>
      <c r="AK99" s="722"/>
    </row>
    <row r="100" spans="1:37" s="708" customFormat="1" ht="28.5" x14ac:dyDescent="0.35">
      <c r="A100" s="810">
        <v>90</v>
      </c>
      <c r="B100" s="811" t="s">
        <v>940</v>
      </c>
      <c r="C100" s="811"/>
      <c r="D100" s="810" t="s">
        <v>133</v>
      </c>
      <c r="E100" s="812"/>
      <c r="F100" s="813">
        <f>SUM(F87,F84,F82,F83)*0.27</f>
        <v>0</v>
      </c>
      <c r="G100" s="813"/>
      <c r="H100" s="813"/>
      <c r="I100" s="813"/>
      <c r="J100" s="813"/>
      <c r="K100" s="813">
        <f>SUM(K87,K84,K82,K83)*0.27</f>
        <v>0</v>
      </c>
      <c r="L100" s="813"/>
      <c r="M100" s="813"/>
      <c r="N100" s="813"/>
      <c r="O100" s="813"/>
      <c r="P100" s="813">
        <v>0</v>
      </c>
      <c r="Q100" s="813"/>
      <c r="R100" s="813"/>
      <c r="S100" s="813">
        <f>S87*0.27</f>
        <v>102600</v>
      </c>
      <c r="T100" s="813">
        <v>37365</v>
      </c>
      <c r="U100" s="813">
        <f>SUM(U87,U84,U82,U83)*0.27</f>
        <v>0</v>
      </c>
      <c r="V100" s="813"/>
      <c r="W100" s="813"/>
      <c r="X100" s="797"/>
      <c r="Y100" s="813"/>
      <c r="Z100" s="721">
        <f t="shared" si="113"/>
        <v>0</v>
      </c>
      <c r="AA100" s="817">
        <v>0</v>
      </c>
      <c r="AB100" s="817">
        <v>0</v>
      </c>
      <c r="AC100" s="818">
        <f t="shared" si="111"/>
        <v>37755</v>
      </c>
      <c r="AD100" s="819">
        <f t="shared" si="98"/>
        <v>37755</v>
      </c>
      <c r="AE100" s="820">
        <v>37755</v>
      </c>
      <c r="AF100" s="721">
        <f t="shared" si="91"/>
        <v>37365</v>
      </c>
      <c r="AG100" s="721">
        <v>37365</v>
      </c>
      <c r="AH100" s="721">
        <f t="shared" si="97"/>
        <v>102600</v>
      </c>
      <c r="AI100" s="1086">
        <f t="shared" si="114"/>
        <v>1355201</v>
      </c>
      <c r="AJ100" s="722">
        <f t="shared" si="115"/>
        <v>1457801</v>
      </c>
      <c r="AK100" s="591">
        <v>1457801</v>
      </c>
    </row>
    <row r="101" spans="1:37" s="530" customFormat="1" x14ac:dyDescent="0.35">
      <c r="A101" s="1401" t="s">
        <v>427</v>
      </c>
      <c r="B101" s="1401"/>
      <c r="C101" s="1401"/>
      <c r="D101" s="1401"/>
      <c r="E101" s="840">
        <f>SUM(E82:E84,E87,E98:E100)</f>
        <v>300000</v>
      </c>
      <c r="F101" s="841">
        <f t="shared" ref="F101" si="116">SUM(F82:F84,F87,F98:F100)</f>
        <v>0</v>
      </c>
      <c r="G101" s="841">
        <f t="shared" ref="G101:Y101" si="117">SUM(G82:G84,G87,G98:G100)</f>
        <v>0</v>
      </c>
      <c r="H101" s="841">
        <f t="shared" si="117"/>
        <v>0</v>
      </c>
      <c r="I101" s="841"/>
      <c r="J101" s="841">
        <f t="shared" si="117"/>
        <v>0</v>
      </c>
      <c r="K101" s="841">
        <f t="shared" si="117"/>
        <v>0</v>
      </c>
      <c r="L101" s="841">
        <f t="shared" si="117"/>
        <v>0</v>
      </c>
      <c r="M101" s="841">
        <f t="shared" si="117"/>
        <v>0</v>
      </c>
      <c r="N101" s="841"/>
      <c r="O101" s="841">
        <f t="shared" si="117"/>
        <v>0</v>
      </c>
      <c r="P101" s="841">
        <f t="shared" si="117"/>
        <v>300000</v>
      </c>
      <c r="Q101" s="841">
        <f t="shared" si="117"/>
        <v>0</v>
      </c>
      <c r="R101" s="841">
        <f t="shared" si="117"/>
        <v>0</v>
      </c>
      <c r="S101" s="841">
        <f>S84+S87+S100</f>
        <v>482600</v>
      </c>
      <c r="T101" s="841">
        <f t="shared" si="117"/>
        <v>175756</v>
      </c>
      <c r="U101" s="841">
        <f t="shared" si="117"/>
        <v>0</v>
      </c>
      <c r="V101" s="841">
        <f t="shared" si="117"/>
        <v>0</v>
      </c>
      <c r="W101" s="841">
        <f t="shared" si="117"/>
        <v>0</v>
      </c>
      <c r="X101" s="802"/>
      <c r="Y101" s="841">
        <f t="shared" si="117"/>
        <v>0</v>
      </c>
      <c r="Z101" s="841">
        <f>SUM(Z82:Z84,Z87,Z98:Z100)</f>
        <v>300000</v>
      </c>
      <c r="AA101" s="841">
        <f t="shared" ref="AA101:AE101" si="118">SUM(AA82:AA84,AA87,AA98:AA100)</f>
        <v>0</v>
      </c>
      <c r="AB101" s="841">
        <f t="shared" si="118"/>
        <v>0</v>
      </c>
      <c r="AC101" s="841">
        <f t="shared" si="118"/>
        <v>-65000</v>
      </c>
      <c r="AD101" s="841">
        <f t="shared" si="118"/>
        <v>235000</v>
      </c>
      <c r="AE101" s="841">
        <f t="shared" si="118"/>
        <v>235000</v>
      </c>
      <c r="AF101" s="714">
        <f t="shared" ref="AF101:AF106" si="119">SUM(J101,O101,T101,Y101)</f>
        <v>175756</v>
      </c>
      <c r="AG101" s="714">
        <f>AG84+AG87+AG100</f>
        <v>213756</v>
      </c>
      <c r="AH101" s="714">
        <f t="shared" si="97"/>
        <v>482600</v>
      </c>
      <c r="AI101" s="1086">
        <f t="shared" si="114"/>
        <v>6609862</v>
      </c>
      <c r="AJ101" s="722">
        <f t="shared" si="115"/>
        <v>7092462</v>
      </c>
      <c r="AK101" s="622">
        <f>SUM(AK84:AK100)</f>
        <v>7092462</v>
      </c>
    </row>
    <row r="102" spans="1:37" s="530" customFormat="1" hidden="1" x14ac:dyDescent="0.35">
      <c r="A102" s="842">
        <v>91</v>
      </c>
      <c r="B102" s="843" t="s">
        <v>136</v>
      </c>
      <c r="C102" s="843"/>
      <c r="D102" s="842" t="s">
        <v>137</v>
      </c>
      <c r="E102" s="844"/>
      <c r="F102" s="845"/>
      <c r="G102" s="845"/>
      <c r="H102" s="845"/>
      <c r="I102" s="845"/>
      <c r="J102" s="845"/>
      <c r="K102" s="845"/>
      <c r="L102" s="845"/>
      <c r="M102" s="845"/>
      <c r="N102" s="845"/>
      <c r="O102" s="845"/>
      <c r="P102" s="845"/>
      <c r="Q102" s="845"/>
      <c r="R102" s="845"/>
      <c r="S102" s="845"/>
      <c r="T102" s="845"/>
      <c r="U102" s="845"/>
      <c r="V102" s="845"/>
      <c r="W102" s="845"/>
      <c r="X102" s="793"/>
      <c r="Y102" s="845"/>
      <c r="Z102" s="845"/>
      <c r="AA102" s="845"/>
      <c r="AB102" s="845"/>
      <c r="AC102" s="715">
        <f>AE102-Z102</f>
        <v>0</v>
      </c>
      <c r="AD102" s="716">
        <f t="shared" si="98"/>
        <v>0</v>
      </c>
      <c r="AE102" s="716"/>
      <c r="AF102" s="714">
        <f t="shared" si="119"/>
        <v>0</v>
      </c>
      <c r="AG102" s="714"/>
      <c r="AH102" s="714">
        <f t="shared" si="97"/>
        <v>0</v>
      </c>
      <c r="AI102" s="1086">
        <f t="shared" si="114"/>
        <v>0</v>
      </c>
      <c r="AJ102" s="722">
        <f t="shared" si="115"/>
        <v>0</v>
      </c>
      <c r="AK102" s="622"/>
    </row>
    <row r="103" spans="1:37" s="530" customFormat="1" hidden="1" x14ac:dyDescent="0.35">
      <c r="A103" s="842">
        <v>92</v>
      </c>
      <c r="B103" s="843" t="s">
        <v>138</v>
      </c>
      <c r="C103" s="843"/>
      <c r="D103" s="842" t="s">
        <v>139</v>
      </c>
      <c r="E103" s="844"/>
      <c r="F103" s="845"/>
      <c r="G103" s="845"/>
      <c r="H103" s="845"/>
      <c r="I103" s="845"/>
      <c r="J103" s="845"/>
      <c r="K103" s="845"/>
      <c r="L103" s="845"/>
      <c r="M103" s="845"/>
      <c r="N103" s="845"/>
      <c r="O103" s="845"/>
      <c r="P103" s="845"/>
      <c r="Q103" s="845"/>
      <c r="R103" s="845"/>
      <c r="S103" s="845"/>
      <c r="T103" s="845"/>
      <c r="U103" s="845"/>
      <c r="V103" s="845"/>
      <c r="W103" s="845"/>
      <c r="X103" s="793"/>
      <c r="Y103" s="845"/>
      <c r="Z103" s="845"/>
      <c r="AA103" s="845"/>
      <c r="AB103" s="845"/>
      <c r="AC103" s="715">
        <f>AE103-Z103</f>
        <v>0</v>
      </c>
      <c r="AD103" s="716">
        <f t="shared" si="98"/>
        <v>0</v>
      </c>
      <c r="AE103" s="716"/>
      <c r="AF103" s="714">
        <f t="shared" si="119"/>
        <v>0</v>
      </c>
      <c r="AG103" s="714"/>
      <c r="AH103" s="714">
        <f t="shared" si="97"/>
        <v>0</v>
      </c>
      <c r="AI103" s="1086">
        <f t="shared" si="114"/>
        <v>0</v>
      </c>
      <c r="AJ103" s="722">
        <f t="shared" si="115"/>
        <v>0</v>
      </c>
      <c r="AK103" s="622"/>
    </row>
    <row r="104" spans="1:37" s="530" customFormat="1" hidden="1" x14ac:dyDescent="0.35">
      <c r="A104" s="842">
        <v>93</v>
      </c>
      <c r="B104" s="843" t="s">
        <v>428</v>
      </c>
      <c r="C104" s="843"/>
      <c r="D104" s="842" t="s">
        <v>141</v>
      </c>
      <c r="E104" s="844"/>
      <c r="F104" s="845"/>
      <c r="G104" s="845"/>
      <c r="H104" s="845"/>
      <c r="I104" s="845"/>
      <c r="J104" s="845"/>
      <c r="K104" s="845"/>
      <c r="L104" s="845"/>
      <c r="M104" s="845"/>
      <c r="N104" s="845"/>
      <c r="O104" s="845"/>
      <c r="P104" s="845"/>
      <c r="Q104" s="845"/>
      <c r="R104" s="845"/>
      <c r="S104" s="845"/>
      <c r="T104" s="845"/>
      <c r="U104" s="845"/>
      <c r="V104" s="845"/>
      <c r="W104" s="845"/>
      <c r="X104" s="793"/>
      <c r="Y104" s="845"/>
      <c r="Z104" s="845"/>
      <c r="AA104" s="845"/>
      <c r="AB104" s="845"/>
      <c r="AC104" s="715">
        <f>AE104-Z104</f>
        <v>0</v>
      </c>
      <c r="AD104" s="716">
        <f t="shared" si="98"/>
        <v>0</v>
      </c>
      <c r="AE104" s="716"/>
      <c r="AF104" s="714">
        <f t="shared" si="119"/>
        <v>0</v>
      </c>
      <c r="AG104" s="714"/>
      <c r="AH104" s="714">
        <f t="shared" si="97"/>
        <v>0</v>
      </c>
      <c r="AI104" s="1086">
        <f t="shared" si="114"/>
        <v>0</v>
      </c>
      <c r="AJ104" s="722">
        <f t="shared" si="115"/>
        <v>0</v>
      </c>
      <c r="AK104" s="622"/>
    </row>
    <row r="105" spans="1:37" s="530" customFormat="1" ht="28.5" hidden="1" x14ac:dyDescent="0.35">
      <c r="A105" s="842">
        <v>94</v>
      </c>
      <c r="B105" s="843" t="s">
        <v>429</v>
      </c>
      <c r="C105" s="843"/>
      <c r="D105" s="842" t="s">
        <v>143</v>
      </c>
      <c r="E105" s="844"/>
      <c r="F105" s="845"/>
      <c r="G105" s="845"/>
      <c r="H105" s="845"/>
      <c r="I105" s="845"/>
      <c r="J105" s="845"/>
      <c r="K105" s="845"/>
      <c r="L105" s="845"/>
      <c r="M105" s="845"/>
      <c r="N105" s="845"/>
      <c r="O105" s="845"/>
      <c r="P105" s="845"/>
      <c r="Q105" s="845"/>
      <c r="R105" s="845"/>
      <c r="S105" s="845"/>
      <c r="T105" s="845"/>
      <c r="U105" s="845"/>
      <c r="V105" s="845"/>
      <c r="W105" s="845"/>
      <c r="X105" s="793"/>
      <c r="Y105" s="845"/>
      <c r="Z105" s="845"/>
      <c r="AA105" s="845"/>
      <c r="AB105" s="845"/>
      <c r="AC105" s="715">
        <f>AE105-Z105</f>
        <v>0</v>
      </c>
      <c r="AD105" s="716">
        <f t="shared" si="98"/>
        <v>0</v>
      </c>
      <c r="AE105" s="716"/>
      <c r="AF105" s="714">
        <f t="shared" si="119"/>
        <v>0</v>
      </c>
      <c r="AG105" s="714"/>
      <c r="AH105" s="714">
        <f t="shared" si="97"/>
        <v>0</v>
      </c>
      <c r="AI105" s="1086">
        <f t="shared" si="114"/>
        <v>0</v>
      </c>
      <c r="AJ105" s="722">
        <f t="shared" si="115"/>
        <v>0</v>
      </c>
      <c r="AK105" s="622"/>
    </row>
    <row r="106" spans="1:37" s="530" customFormat="1" x14ac:dyDescent="0.35">
      <c r="A106" s="1402" t="s">
        <v>430</v>
      </c>
      <c r="B106" s="1402"/>
      <c r="C106" s="1402"/>
      <c r="D106" s="1402"/>
      <c r="E106" s="840">
        <f t="shared" ref="E106:F106" si="120">SUM(E102:E105)</f>
        <v>0</v>
      </c>
      <c r="F106" s="841">
        <f t="shared" si="120"/>
        <v>0</v>
      </c>
      <c r="G106" s="841">
        <f t="shared" ref="G106:AB106" si="121">SUM(G102:G105)</f>
        <v>0</v>
      </c>
      <c r="H106" s="841">
        <f t="shared" si="121"/>
        <v>0</v>
      </c>
      <c r="I106" s="841"/>
      <c r="J106" s="841">
        <f t="shared" si="121"/>
        <v>0</v>
      </c>
      <c r="K106" s="841">
        <f t="shared" si="121"/>
        <v>0</v>
      </c>
      <c r="L106" s="841">
        <f t="shared" si="121"/>
        <v>0</v>
      </c>
      <c r="M106" s="841">
        <f t="shared" si="121"/>
        <v>0</v>
      </c>
      <c r="N106" s="841"/>
      <c r="O106" s="841">
        <f t="shared" si="121"/>
        <v>0</v>
      </c>
      <c r="P106" s="841">
        <f t="shared" si="121"/>
        <v>0</v>
      </c>
      <c r="Q106" s="841">
        <f t="shared" si="121"/>
        <v>0</v>
      </c>
      <c r="R106" s="841">
        <f t="shared" si="121"/>
        <v>0</v>
      </c>
      <c r="S106" s="841">
        <f>SUM(S102:S105)</f>
        <v>0</v>
      </c>
      <c r="T106" s="841">
        <f t="shared" si="121"/>
        <v>0</v>
      </c>
      <c r="U106" s="841">
        <f t="shared" si="121"/>
        <v>0</v>
      </c>
      <c r="V106" s="841">
        <f t="shared" si="121"/>
        <v>0</v>
      </c>
      <c r="W106" s="841">
        <f t="shared" si="121"/>
        <v>0</v>
      </c>
      <c r="X106" s="802"/>
      <c r="Y106" s="841">
        <f t="shared" si="121"/>
        <v>0</v>
      </c>
      <c r="Z106" s="841">
        <f t="shared" si="121"/>
        <v>0</v>
      </c>
      <c r="AA106" s="841">
        <f t="shared" si="121"/>
        <v>0</v>
      </c>
      <c r="AB106" s="841">
        <f t="shared" si="121"/>
        <v>0</v>
      </c>
      <c r="AC106" s="715">
        <f>AE106-Z106</f>
        <v>0</v>
      </c>
      <c r="AD106" s="716">
        <f t="shared" si="98"/>
        <v>0</v>
      </c>
      <c r="AE106" s="716"/>
      <c r="AF106" s="714">
        <f t="shared" si="119"/>
        <v>0</v>
      </c>
      <c r="AG106" s="714"/>
      <c r="AH106" s="714">
        <f t="shared" si="97"/>
        <v>0</v>
      </c>
      <c r="AI106" s="1086">
        <f t="shared" si="114"/>
        <v>0</v>
      </c>
      <c r="AJ106" s="722">
        <f t="shared" si="115"/>
        <v>0</v>
      </c>
      <c r="AK106" s="622"/>
    </row>
    <row r="107" spans="1:37" s="611" customFormat="1" ht="21" x14ac:dyDescent="0.5">
      <c r="A107" s="1406" t="s">
        <v>431</v>
      </c>
      <c r="B107" s="1406"/>
      <c r="C107" s="1406"/>
      <c r="D107" s="1406"/>
      <c r="E107" s="837">
        <f>SUM(E26,E81,E101,E106)</f>
        <v>54405747</v>
      </c>
      <c r="F107" s="846">
        <f>SUM(F26,F81,F101,F106)</f>
        <v>23208892</v>
      </c>
      <c r="G107" s="846">
        <f t="shared" ref="G107:Y107" si="122">SUM(G26,G81,G101,G106)</f>
        <v>23312265</v>
      </c>
      <c r="H107" s="846">
        <f t="shared" si="122"/>
        <v>16177823</v>
      </c>
      <c r="I107" s="846">
        <f>SUM(I26,I81,I101,I106)</f>
        <v>24058031</v>
      </c>
      <c r="J107" s="846">
        <f t="shared" si="122"/>
        <v>22905663</v>
      </c>
      <c r="K107" s="846">
        <f t="shared" si="122"/>
        <v>17632718</v>
      </c>
      <c r="L107" s="846">
        <f t="shared" si="122"/>
        <v>29131710</v>
      </c>
      <c r="M107" s="846">
        <f t="shared" si="122"/>
        <v>18725391</v>
      </c>
      <c r="N107" s="846">
        <f>SUM(N26,N81,N101,N106)</f>
        <v>17867431.875</v>
      </c>
      <c r="O107" s="846">
        <f t="shared" si="122"/>
        <v>14105925</v>
      </c>
      <c r="P107" s="846">
        <f t="shared" si="122"/>
        <v>9271026</v>
      </c>
      <c r="Q107" s="846">
        <f t="shared" si="122"/>
        <v>9348844</v>
      </c>
      <c r="R107" s="846">
        <f t="shared" si="122"/>
        <v>2762048</v>
      </c>
      <c r="S107" s="846">
        <f>SUM(S26,S81,S101,S106)</f>
        <v>9337118</v>
      </c>
      <c r="T107" s="846">
        <f t="shared" si="122"/>
        <v>3225238</v>
      </c>
      <c r="U107" s="846">
        <f t="shared" si="122"/>
        <v>4293111</v>
      </c>
      <c r="V107" s="846">
        <f t="shared" si="122"/>
        <v>4515406</v>
      </c>
      <c r="W107" s="846">
        <f t="shared" si="122"/>
        <v>2985733</v>
      </c>
      <c r="X107" s="803">
        <f>SUM(X26,X81,X101,X106)</f>
        <v>4404898.75</v>
      </c>
      <c r="Y107" s="846">
        <f t="shared" si="122"/>
        <v>3227566</v>
      </c>
      <c r="Z107" s="846">
        <f>SUM(Z26,Z81,Z101,Z106)</f>
        <v>54405747</v>
      </c>
      <c r="AA107" s="846">
        <f t="shared" ref="AA107:AF107" si="123">SUM(AA26,AA81,AA101,AA106)</f>
        <v>61198960</v>
      </c>
      <c r="AB107" s="846">
        <f t="shared" si="123"/>
        <v>61630903</v>
      </c>
      <c r="AC107" s="846">
        <f t="shared" si="123"/>
        <v>1440508</v>
      </c>
      <c r="AD107" s="846">
        <f t="shared" si="123"/>
        <v>55846255</v>
      </c>
      <c r="AE107" s="846">
        <f t="shared" si="123"/>
        <v>6060267</v>
      </c>
      <c r="AF107" s="846">
        <f t="shared" si="123"/>
        <v>43464392</v>
      </c>
      <c r="AG107" s="846">
        <f>SUM(AG26,AG81,AG101,AG106)</f>
        <v>48099921</v>
      </c>
      <c r="AH107" s="846">
        <f>SUM(AH26,AH81,AH101,AH106)</f>
        <v>55667479.625</v>
      </c>
      <c r="AI107" s="1087">
        <f t="shared" ref="AI107:AJ107" si="124">AI101+AI81+AI26</f>
        <v>6733597.375</v>
      </c>
      <c r="AJ107" s="1087">
        <f t="shared" si="124"/>
        <v>62401077</v>
      </c>
      <c r="AK107" s="1087">
        <f>AK101+AK81+AK26</f>
        <v>61093659</v>
      </c>
    </row>
    <row r="108" spans="1:37" ht="21" x14ac:dyDescent="0.5">
      <c r="A108" s="1405" t="s">
        <v>148</v>
      </c>
      <c r="B108" s="1405"/>
      <c r="C108" s="1405"/>
      <c r="D108" s="1405"/>
      <c r="E108" s="1405"/>
      <c r="F108" s="1405"/>
      <c r="G108" s="1405"/>
      <c r="H108" s="1405"/>
      <c r="I108" s="1405"/>
      <c r="J108" s="1405"/>
      <c r="K108" s="1405"/>
      <c r="L108" s="1405"/>
      <c r="M108" s="1405"/>
      <c r="N108" s="1405"/>
      <c r="O108" s="1405"/>
      <c r="P108" s="1405"/>
      <c r="Q108" s="1405"/>
      <c r="R108" s="1405"/>
      <c r="S108" s="1405"/>
      <c r="T108" s="1405"/>
      <c r="U108" s="1405"/>
      <c r="V108" s="1405"/>
      <c r="W108" s="1405"/>
      <c r="X108" s="1405"/>
      <c r="Y108" s="1405"/>
      <c r="Z108" s="1405"/>
      <c r="AA108" s="521"/>
      <c r="AB108" s="521"/>
      <c r="AC108" s="827">
        <f>AE108-Z108</f>
        <v>0</v>
      </c>
      <c r="AD108" s="668">
        <f t="shared" si="98"/>
        <v>0</v>
      </c>
      <c r="AE108" s="668"/>
      <c r="AF108" s="714">
        <f>SUM(J108,O108,T108,Y108)</f>
        <v>0</v>
      </c>
      <c r="AG108" s="714"/>
      <c r="AH108" s="714">
        <f t="shared" ref="AH108:AH118" si="125">I108+N108+S108+X108</f>
        <v>0</v>
      </c>
      <c r="AI108" s="1086">
        <f t="shared" si="114"/>
        <v>0</v>
      </c>
      <c r="AJ108" s="722">
        <f t="shared" si="115"/>
        <v>0</v>
      </c>
      <c r="AK108" s="1038"/>
    </row>
    <row r="109" spans="1:37" s="408" customFormat="1" ht="21" x14ac:dyDescent="0.5">
      <c r="A109" s="1041"/>
      <c r="B109" s="847" t="s">
        <v>699</v>
      </c>
      <c r="C109" s="847"/>
      <c r="D109" s="1041"/>
      <c r="E109" s="1041"/>
      <c r="F109" s="1041"/>
      <c r="G109" s="848">
        <v>451945</v>
      </c>
      <c r="H109" s="848">
        <v>451945</v>
      </c>
      <c r="I109" s="848"/>
      <c r="J109" s="848"/>
      <c r="K109" s="1041"/>
      <c r="L109" s="1041"/>
      <c r="M109" s="1041"/>
      <c r="N109" s="1041"/>
      <c r="O109" s="1041"/>
      <c r="P109" s="1041"/>
      <c r="Q109" s="1041"/>
      <c r="R109" s="1041"/>
      <c r="S109" s="1041"/>
      <c r="T109" s="1041"/>
      <c r="U109" s="1041"/>
      <c r="V109" s="1041"/>
      <c r="W109" s="1041"/>
      <c r="X109" s="804"/>
      <c r="Y109" s="1041"/>
      <c r="Z109" s="714">
        <f>SUM(F109,K109,P109,U109)</f>
        <v>0</v>
      </c>
      <c r="AA109" s="521">
        <v>0</v>
      </c>
      <c r="AB109" s="521">
        <v>451945</v>
      </c>
      <c r="AC109" s="827">
        <f>AE109-Z109</f>
        <v>0</v>
      </c>
      <c r="AD109" s="668">
        <f t="shared" si="98"/>
        <v>0</v>
      </c>
      <c r="AE109" s="668"/>
      <c r="AF109" s="714">
        <f>SUM(J109,O109,T109,Y109)</f>
        <v>0</v>
      </c>
      <c r="AG109" s="714"/>
      <c r="AH109" s="714">
        <f t="shared" si="125"/>
        <v>0</v>
      </c>
      <c r="AI109" s="1086">
        <f t="shared" si="114"/>
        <v>0</v>
      </c>
      <c r="AJ109" s="722">
        <f t="shared" si="115"/>
        <v>0</v>
      </c>
      <c r="AK109" s="1035"/>
    </row>
    <row r="110" spans="1:37" x14ac:dyDescent="0.35">
      <c r="A110" s="521">
        <v>95</v>
      </c>
      <c r="B110" s="849" t="s">
        <v>889</v>
      </c>
      <c r="C110" s="849" t="s">
        <v>941</v>
      </c>
      <c r="D110" s="850" t="s">
        <v>474</v>
      </c>
      <c r="E110" s="851"/>
      <c r="F110" s="852"/>
      <c r="G110" s="852">
        <f>F110</f>
        <v>0</v>
      </c>
      <c r="H110" s="852"/>
      <c r="I110" s="852"/>
      <c r="J110" s="852"/>
      <c r="K110" s="668"/>
      <c r="L110" s="852">
        <f>K110</f>
        <v>0</v>
      </c>
      <c r="M110" s="668"/>
      <c r="N110" s="668"/>
      <c r="O110" s="668"/>
      <c r="P110" s="668"/>
      <c r="Q110" s="852">
        <f>P110</f>
        <v>0</v>
      </c>
      <c r="R110" s="668"/>
      <c r="S110" s="668"/>
      <c r="T110" s="668">
        <v>5156</v>
      </c>
      <c r="U110" s="668"/>
      <c r="V110" s="852">
        <f>U110</f>
        <v>0</v>
      </c>
      <c r="W110" s="668"/>
      <c r="X110" s="805"/>
      <c r="Y110" s="668"/>
      <c r="Z110" s="714">
        <f>SUM(F110,K110,P110,U110)</f>
        <v>0</v>
      </c>
      <c r="AA110" s="521">
        <v>0</v>
      </c>
      <c r="AB110" s="521">
        <v>0</v>
      </c>
      <c r="AC110" s="827">
        <f>AE110-Z110</f>
        <v>0</v>
      </c>
      <c r="AD110" s="668">
        <f t="shared" si="98"/>
        <v>0</v>
      </c>
      <c r="AE110" s="668"/>
      <c r="AF110" s="714">
        <f>SUM(J110,O110,T110,Y110)</f>
        <v>5156</v>
      </c>
      <c r="AG110" s="714"/>
      <c r="AH110" s="714">
        <f t="shared" si="125"/>
        <v>0</v>
      </c>
      <c r="AI110" s="1086">
        <f t="shared" si="114"/>
        <v>3055</v>
      </c>
      <c r="AJ110" s="722">
        <v>3055</v>
      </c>
      <c r="AK110" s="591">
        <v>3055</v>
      </c>
    </row>
    <row r="111" spans="1:37" x14ac:dyDescent="0.35">
      <c r="A111" s="521">
        <v>96</v>
      </c>
      <c r="B111" s="853" t="s">
        <v>433</v>
      </c>
      <c r="C111" s="853"/>
      <c r="D111" s="850" t="s">
        <v>434</v>
      </c>
      <c r="E111" s="851"/>
      <c r="F111" s="854"/>
      <c r="G111" s="852">
        <f t="shared" ref="G111:G116" si="126">F111</f>
        <v>0</v>
      </c>
      <c r="H111" s="854"/>
      <c r="I111" s="854"/>
      <c r="J111" s="854"/>
      <c r="K111" s="521"/>
      <c r="L111" s="852">
        <f t="shared" ref="L111:L116" si="127">K111</f>
        <v>0</v>
      </c>
      <c r="M111" s="521"/>
      <c r="N111" s="521"/>
      <c r="O111" s="521"/>
      <c r="P111" s="521"/>
      <c r="Q111" s="852">
        <f t="shared" ref="Q111:Q116" si="128">P111</f>
        <v>0</v>
      </c>
      <c r="R111" s="521"/>
      <c r="S111" s="521"/>
      <c r="T111" s="521"/>
      <c r="U111" s="668"/>
      <c r="V111" s="852">
        <f t="shared" ref="V111:V116" si="129">U111</f>
        <v>0</v>
      </c>
      <c r="W111" s="668"/>
      <c r="X111" s="805"/>
      <c r="Y111" s="668"/>
      <c r="Z111" s="714">
        <f>SUM(F111,K111,P111,U111)</f>
        <v>0</v>
      </c>
      <c r="AA111" s="521">
        <v>0</v>
      </c>
      <c r="AB111" s="521">
        <v>0</v>
      </c>
      <c r="AC111" s="827">
        <f>AE111-Z111</f>
        <v>0</v>
      </c>
      <c r="AD111" s="668">
        <f t="shared" si="98"/>
        <v>0</v>
      </c>
      <c r="AE111" s="668"/>
      <c r="AF111" s="714">
        <f>SUM(J111,O111,T111,Y111)</f>
        <v>0</v>
      </c>
      <c r="AG111" s="714"/>
      <c r="AH111" s="714">
        <f t="shared" si="125"/>
        <v>0</v>
      </c>
      <c r="AI111" s="1086">
        <f t="shared" si="114"/>
        <v>0</v>
      </c>
      <c r="AJ111" s="722">
        <f t="shared" si="115"/>
        <v>0</v>
      </c>
      <c r="AK111" s="1038"/>
    </row>
    <row r="112" spans="1:37" x14ac:dyDescent="0.35">
      <c r="A112" s="521">
        <v>97</v>
      </c>
      <c r="B112" s="853" t="s">
        <v>151</v>
      </c>
      <c r="C112" s="853"/>
      <c r="D112" s="850" t="s">
        <v>152</v>
      </c>
      <c r="E112" s="851"/>
      <c r="F112" s="854"/>
      <c r="G112" s="852">
        <f t="shared" si="126"/>
        <v>0</v>
      </c>
      <c r="H112" s="854"/>
      <c r="I112" s="854"/>
      <c r="J112" s="854"/>
      <c r="K112" s="521"/>
      <c r="L112" s="852">
        <f t="shared" si="127"/>
        <v>0</v>
      </c>
      <c r="M112" s="521"/>
      <c r="N112" s="521"/>
      <c r="O112" s="521"/>
      <c r="P112" s="521"/>
      <c r="Q112" s="852">
        <f t="shared" si="128"/>
        <v>0</v>
      </c>
      <c r="R112" s="521"/>
      <c r="S112" s="521">
        <v>1192750</v>
      </c>
      <c r="T112" s="521"/>
      <c r="U112" s="668"/>
      <c r="V112" s="852">
        <f t="shared" si="129"/>
        <v>0</v>
      </c>
      <c r="W112" s="668"/>
      <c r="X112" s="805"/>
      <c r="Y112" s="668"/>
      <c r="Z112" s="714">
        <f>SUM(F112,K112,P112,U112)</f>
        <v>0</v>
      </c>
      <c r="AA112" s="521">
        <v>0</v>
      </c>
      <c r="AB112" s="521">
        <v>0</v>
      </c>
      <c r="AC112" s="827">
        <f>AE112-Z112</f>
        <v>0</v>
      </c>
      <c r="AD112" s="668">
        <f t="shared" si="98"/>
        <v>0</v>
      </c>
      <c r="AE112" s="668"/>
      <c r="AF112" s="714">
        <f>SUM(J112,O112,T112,Y112)</f>
        <v>0</v>
      </c>
      <c r="AG112" s="714"/>
      <c r="AH112" s="714">
        <f t="shared" si="125"/>
        <v>1192750</v>
      </c>
      <c r="AI112" s="1086">
        <f t="shared" si="114"/>
        <v>1619166</v>
      </c>
      <c r="AJ112" s="722">
        <f t="shared" si="115"/>
        <v>2811916</v>
      </c>
      <c r="AK112" s="591">
        <v>2811916</v>
      </c>
    </row>
    <row r="113" spans="1:37" s="752" customFormat="1" x14ac:dyDescent="0.35">
      <c r="A113" s="767">
        <v>98</v>
      </c>
      <c r="B113" s="855" t="s">
        <v>153</v>
      </c>
      <c r="C113" s="855"/>
      <c r="D113" s="856" t="s">
        <v>154</v>
      </c>
      <c r="E113" s="857">
        <f>SUM(E114:E116)</f>
        <v>54405747</v>
      </c>
      <c r="F113" s="858">
        <f t="shared" ref="F113:AB113" si="130">SUM(F114:F116)</f>
        <v>23208892</v>
      </c>
      <c r="G113" s="858">
        <f t="shared" si="130"/>
        <v>23208892</v>
      </c>
      <c r="H113" s="858">
        <f t="shared" si="130"/>
        <v>16177823</v>
      </c>
      <c r="I113" s="858">
        <f>SUM(I114:I116)</f>
        <v>0</v>
      </c>
      <c r="J113" s="858">
        <f t="shared" si="130"/>
        <v>22905663.100000001</v>
      </c>
      <c r="K113" s="858">
        <f t="shared" si="130"/>
        <v>17632718</v>
      </c>
      <c r="L113" s="858">
        <f t="shared" si="130"/>
        <v>17632718</v>
      </c>
      <c r="M113" s="858">
        <f t="shared" si="130"/>
        <v>18725390.5</v>
      </c>
      <c r="N113" s="858">
        <f>SUM(N114:N116)</f>
        <v>0</v>
      </c>
      <c r="O113" s="858">
        <f t="shared" si="130"/>
        <v>14235720.1</v>
      </c>
      <c r="P113" s="858">
        <f t="shared" si="130"/>
        <v>9271026</v>
      </c>
      <c r="Q113" s="858">
        <f t="shared" si="130"/>
        <v>9271026</v>
      </c>
      <c r="R113" s="858">
        <f t="shared" si="130"/>
        <v>3655542.75</v>
      </c>
      <c r="S113" s="858">
        <f>SUM(S114:S116)</f>
        <v>54474729.625</v>
      </c>
      <c r="T113" s="858">
        <f t="shared" si="130"/>
        <v>5035131.3099999996</v>
      </c>
      <c r="U113" s="858">
        <f t="shared" si="130"/>
        <v>4293111</v>
      </c>
      <c r="V113" s="858">
        <f t="shared" si="130"/>
        <v>4293111</v>
      </c>
      <c r="W113" s="858">
        <f t="shared" si="130"/>
        <v>2951144</v>
      </c>
      <c r="X113" s="806">
        <f>SUM(X114:X116)</f>
        <v>0</v>
      </c>
      <c r="Y113" s="858">
        <f t="shared" si="130"/>
        <v>3227566</v>
      </c>
      <c r="Z113" s="858">
        <f t="shared" si="130"/>
        <v>54405747</v>
      </c>
      <c r="AA113" s="858">
        <f t="shared" si="130"/>
        <v>61198960</v>
      </c>
      <c r="AB113" s="858">
        <f t="shared" si="130"/>
        <v>61198960</v>
      </c>
      <c r="AC113" s="859">
        <f>AE113-Z113+AC114+AC115+AC116</f>
        <v>1440508</v>
      </c>
      <c r="AD113" s="860">
        <f t="shared" si="98"/>
        <v>55846255</v>
      </c>
      <c r="AE113" s="860">
        <v>54405747</v>
      </c>
      <c r="AF113" s="714">
        <f>SUM(AF114:AF116)</f>
        <v>45404080.509999998</v>
      </c>
      <c r="AG113" s="714"/>
      <c r="AH113" s="714">
        <f t="shared" si="125"/>
        <v>54474729.625</v>
      </c>
      <c r="AI113" s="1086">
        <f t="shared" si="114"/>
        <v>5111376.375</v>
      </c>
      <c r="AJ113" s="722">
        <f t="shared" si="115"/>
        <v>59586106</v>
      </c>
      <c r="AK113" s="768">
        <f>SUM(AK114:AK116)</f>
        <v>59586106</v>
      </c>
    </row>
    <row r="114" spans="1:37" x14ac:dyDescent="0.35">
      <c r="A114" s="521">
        <v>99</v>
      </c>
      <c r="B114" s="861" t="s">
        <v>435</v>
      </c>
      <c r="C114" s="861"/>
      <c r="D114" s="850"/>
      <c r="E114" s="851">
        <v>4874057</v>
      </c>
      <c r="F114" s="862"/>
      <c r="G114" s="863">
        <f t="shared" si="126"/>
        <v>0</v>
      </c>
      <c r="H114" s="862"/>
      <c r="I114" s="862"/>
      <c r="J114" s="862"/>
      <c r="K114" s="864"/>
      <c r="L114" s="863">
        <f t="shared" si="127"/>
        <v>0</v>
      </c>
      <c r="M114" s="864"/>
      <c r="N114" s="864"/>
      <c r="O114" s="864"/>
      <c r="P114" s="862">
        <f>SUM('Normatíva 2020'!G32:G33)-969943</f>
        <v>4874057</v>
      </c>
      <c r="Q114" s="863">
        <f t="shared" si="128"/>
        <v>4874057</v>
      </c>
      <c r="R114" s="862">
        <f>Q114*0.75</f>
        <v>3655542.75</v>
      </c>
      <c r="S114" s="862"/>
      <c r="T114" s="862">
        <f>P114*0.83</f>
        <v>4045467.3099999996</v>
      </c>
      <c r="U114" s="862"/>
      <c r="V114" s="852">
        <f t="shared" si="129"/>
        <v>0</v>
      </c>
      <c r="W114" s="854"/>
      <c r="X114" s="807"/>
      <c r="Y114" s="854"/>
      <c r="Z114" s="714">
        <f>SUM(F114,K114,P114,U114)</f>
        <v>4874057</v>
      </c>
      <c r="AA114" s="521">
        <v>4874057</v>
      </c>
      <c r="AB114" s="521">
        <v>4874057</v>
      </c>
      <c r="AC114" s="827">
        <f>AE114-Z114</f>
        <v>0</v>
      </c>
      <c r="AD114" s="668">
        <f t="shared" si="98"/>
        <v>4874057</v>
      </c>
      <c r="AE114" s="668">
        <v>4874057</v>
      </c>
      <c r="AF114" s="714">
        <f>SUM(J114,O114,T114,Y114)</f>
        <v>4045467.3099999996</v>
      </c>
      <c r="AG114" s="714"/>
      <c r="AH114" s="714">
        <f t="shared" si="125"/>
        <v>0</v>
      </c>
      <c r="AI114" s="1086">
        <f t="shared" si="114"/>
        <v>0</v>
      </c>
      <c r="AJ114" s="722">
        <f t="shared" si="115"/>
        <v>0</v>
      </c>
      <c r="AK114" s="1038"/>
    </row>
    <row r="115" spans="1:37" ht="29" x14ac:dyDescent="0.35">
      <c r="A115" s="521">
        <v>100</v>
      </c>
      <c r="B115" s="861" t="s">
        <v>436</v>
      </c>
      <c r="C115" s="861"/>
      <c r="D115" s="850"/>
      <c r="E115" s="851">
        <v>39305940</v>
      </c>
      <c r="F115" s="862">
        <f>17151470+1203000</f>
        <v>18354470</v>
      </c>
      <c r="G115" s="863">
        <f t="shared" si="126"/>
        <v>18354470</v>
      </c>
      <c r="H115" s="862">
        <v>14789310</v>
      </c>
      <c r="I115" s="862"/>
      <c r="J115" s="862">
        <f>F115*0.83</f>
        <v>15234210.1</v>
      </c>
      <c r="K115" s="862">
        <v>17151470</v>
      </c>
      <c r="L115" s="863">
        <f t="shared" si="127"/>
        <v>17151470</v>
      </c>
      <c r="M115" s="862">
        <f>L115*0.75</f>
        <v>12863602.5</v>
      </c>
      <c r="N115" s="862">
        <v>0</v>
      </c>
      <c r="O115" s="862">
        <f>K115*0.83</f>
        <v>14235720.1</v>
      </c>
      <c r="P115" s="864"/>
      <c r="Q115" s="863">
        <f t="shared" si="128"/>
        <v>0</v>
      </c>
      <c r="R115" s="864"/>
      <c r="S115" s="862">
        <v>51762350</v>
      </c>
      <c r="T115" s="864"/>
      <c r="U115" s="862">
        <f>1900000*2</f>
        <v>3800000</v>
      </c>
      <c r="V115" s="852">
        <f t="shared" si="129"/>
        <v>3800000</v>
      </c>
      <c r="W115" s="854">
        <f>V115*0.75</f>
        <v>2850000</v>
      </c>
      <c r="X115" s="807">
        <v>0</v>
      </c>
      <c r="Y115" s="854">
        <f>U115*0.83</f>
        <v>3154000</v>
      </c>
      <c r="Z115" s="714">
        <f>SUM(F115,K115,P115,U115)</f>
        <v>39305940</v>
      </c>
      <c r="AA115" s="521">
        <v>39305940</v>
      </c>
      <c r="AB115" s="521">
        <v>39305940</v>
      </c>
      <c r="AC115" s="827">
        <f>AE115-Z115</f>
        <v>0</v>
      </c>
      <c r="AD115" s="668">
        <f t="shared" si="98"/>
        <v>39305940</v>
      </c>
      <c r="AE115" s="668">
        <v>39305940</v>
      </c>
      <c r="AF115" s="714">
        <f>SUM(J115,O115,T115,Y115)</f>
        <v>32623930.199999999</v>
      </c>
      <c r="AG115" s="714"/>
      <c r="AH115" s="714">
        <f t="shared" si="125"/>
        <v>51762350</v>
      </c>
      <c r="AI115" s="1086">
        <f t="shared" si="114"/>
        <v>7823756</v>
      </c>
      <c r="AJ115" s="722">
        <f t="shared" si="115"/>
        <v>59586106</v>
      </c>
      <c r="AK115" s="591">
        <v>59586106</v>
      </c>
    </row>
    <row r="116" spans="1:37" x14ac:dyDescent="0.35">
      <c r="A116" s="521">
        <v>101</v>
      </c>
      <c r="B116" s="861" t="s">
        <v>437</v>
      </c>
      <c r="C116" s="861"/>
      <c r="D116" s="850"/>
      <c r="E116" s="851">
        <v>10225750</v>
      </c>
      <c r="F116" s="862">
        <v>4854422</v>
      </c>
      <c r="G116" s="863">
        <f t="shared" si="126"/>
        <v>4854422</v>
      </c>
      <c r="H116" s="862">
        <v>1388513</v>
      </c>
      <c r="I116" s="862"/>
      <c r="J116" s="862">
        <v>7671453</v>
      </c>
      <c r="K116" s="862">
        <v>481248</v>
      </c>
      <c r="L116" s="863">
        <f t="shared" si="127"/>
        <v>481248</v>
      </c>
      <c r="M116" s="862">
        <v>5861788</v>
      </c>
      <c r="N116" s="862"/>
      <c r="O116" s="862"/>
      <c r="P116" s="862">
        <f>4396969</f>
        <v>4396969</v>
      </c>
      <c r="Q116" s="863">
        <f t="shared" si="128"/>
        <v>4396969</v>
      </c>
      <c r="R116" s="862"/>
      <c r="S116" s="862">
        <f>AH107-S112-S115</f>
        <v>2712379.625</v>
      </c>
      <c r="T116" s="862">
        <v>989664</v>
      </c>
      <c r="U116" s="862">
        <v>493111</v>
      </c>
      <c r="V116" s="852">
        <f t="shared" si="129"/>
        <v>493111</v>
      </c>
      <c r="W116" s="854">
        <v>101144</v>
      </c>
      <c r="X116" s="807"/>
      <c r="Y116" s="854">
        <v>73566</v>
      </c>
      <c r="Z116" s="714">
        <f>SUM(F116,K116,P116,U116)</f>
        <v>10225750</v>
      </c>
      <c r="AA116" s="521">
        <v>17018963</v>
      </c>
      <c r="AB116" s="521">
        <v>17018963</v>
      </c>
      <c r="AC116" s="827">
        <f>AE116-Z116+947607+492901</f>
        <v>1440508</v>
      </c>
      <c r="AD116" s="668">
        <f t="shared" si="98"/>
        <v>11666258</v>
      </c>
      <c r="AE116" s="668">
        <v>10225750</v>
      </c>
      <c r="AF116" s="714">
        <f>SUM(J116,O116,T116,Y116)</f>
        <v>8734683</v>
      </c>
      <c r="AG116" s="714"/>
      <c r="AH116" s="714">
        <f t="shared" si="125"/>
        <v>2712379.625</v>
      </c>
      <c r="AI116" s="1086">
        <f t="shared" si="114"/>
        <v>-2712379.625</v>
      </c>
      <c r="AJ116" s="722">
        <f t="shared" si="115"/>
        <v>0</v>
      </c>
      <c r="AK116" s="1038"/>
    </row>
    <row r="117" spans="1:37" s="611" customFormat="1" ht="21" x14ac:dyDescent="0.5">
      <c r="A117" s="1396" t="s">
        <v>155</v>
      </c>
      <c r="B117" s="1396"/>
      <c r="C117" s="1396"/>
      <c r="D117" s="1396"/>
      <c r="E117" s="609">
        <f t="shared" ref="E117:F117" si="131">SUM(E110:E113)</f>
        <v>54405747</v>
      </c>
      <c r="F117" s="610">
        <f t="shared" si="131"/>
        <v>23208892</v>
      </c>
      <c r="G117" s="610">
        <f t="shared" ref="G117:Y117" si="132">SUM(G110:G113)</f>
        <v>23208892</v>
      </c>
      <c r="H117" s="610">
        <f t="shared" si="132"/>
        <v>16177823</v>
      </c>
      <c r="I117" s="610">
        <f t="shared" si="132"/>
        <v>0</v>
      </c>
      <c r="J117" s="610">
        <f t="shared" si="132"/>
        <v>22905663.100000001</v>
      </c>
      <c r="K117" s="610">
        <f t="shared" si="132"/>
        <v>17632718</v>
      </c>
      <c r="L117" s="610">
        <f t="shared" si="132"/>
        <v>17632718</v>
      </c>
      <c r="M117" s="610">
        <f t="shared" si="132"/>
        <v>18725390.5</v>
      </c>
      <c r="N117" s="610">
        <f t="shared" si="132"/>
        <v>0</v>
      </c>
      <c r="O117" s="610">
        <f t="shared" si="132"/>
        <v>14235720.1</v>
      </c>
      <c r="P117" s="610">
        <f t="shared" si="132"/>
        <v>9271026</v>
      </c>
      <c r="Q117" s="610">
        <f t="shared" si="132"/>
        <v>9271026</v>
      </c>
      <c r="R117" s="610">
        <f t="shared" si="132"/>
        <v>3655542.75</v>
      </c>
      <c r="S117" s="610">
        <f t="shared" si="132"/>
        <v>55667479.625</v>
      </c>
      <c r="T117" s="610">
        <f t="shared" si="132"/>
        <v>5040287.3099999996</v>
      </c>
      <c r="U117" s="610">
        <f t="shared" si="132"/>
        <v>4293111</v>
      </c>
      <c r="V117" s="610">
        <f t="shared" si="132"/>
        <v>4293111</v>
      </c>
      <c r="W117" s="610">
        <f t="shared" si="132"/>
        <v>2951144</v>
      </c>
      <c r="X117" s="803">
        <f t="shared" si="132"/>
        <v>0</v>
      </c>
      <c r="Y117" s="610">
        <f t="shared" si="132"/>
        <v>3227566</v>
      </c>
      <c r="Z117" s="610">
        <f>SUM(Z110:Z113)</f>
        <v>54405747</v>
      </c>
      <c r="AA117" s="610">
        <f t="shared" ref="AA117:AF117" si="133">SUM(AA110:AA113)</f>
        <v>61198960</v>
      </c>
      <c r="AB117" s="610">
        <f t="shared" si="133"/>
        <v>61198960</v>
      </c>
      <c r="AC117" s="610">
        <f t="shared" si="133"/>
        <v>1440508</v>
      </c>
      <c r="AD117" s="610">
        <f t="shared" si="133"/>
        <v>55846255</v>
      </c>
      <c r="AE117" s="610">
        <f t="shared" si="133"/>
        <v>54405747</v>
      </c>
      <c r="AF117" s="610">
        <f t="shared" si="133"/>
        <v>45409236.509999998</v>
      </c>
      <c r="AG117" s="610"/>
      <c r="AH117" s="610">
        <f t="shared" si="125"/>
        <v>55667479.625</v>
      </c>
      <c r="AI117" s="1086">
        <f t="shared" si="114"/>
        <v>6733597.375</v>
      </c>
      <c r="AJ117" s="1087">
        <f>SUM(AJ110,AJ112,AJ113)</f>
        <v>62401077</v>
      </c>
      <c r="AK117" s="1087">
        <f>SUM(AK110,AK112,AK113)</f>
        <v>62401077</v>
      </c>
    </row>
    <row r="118" spans="1:37" s="868" customFormat="1" ht="21" x14ac:dyDescent="0.5">
      <c r="A118" s="1397" t="s">
        <v>890</v>
      </c>
      <c r="B118" s="1397"/>
      <c r="C118" s="1397"/>
      <c r="D118" s="1397"/>
      <c r="E118" s="865">
        <f>E117-E107</f>
        <v>0</v>
      </c>
      <c r="F118" s="865">
        <f t="shared" ref="F118:AF118" si="134">F117-F107</f>
        <v>0</v>
      </c>
      <c r="G118" s="865">
        <f t="shared" si="134"/>
        <v>-103373</v>
      </c>
      <c r="H118" s="865">
        <f t="shared" si="134"/>
        <v>0</v>
      </c>
      <c r="I118" s="865">
        <f t="shared" si="134"/>
        <v>-24058031</v>
      </c>
      <c r="J118" s="865">
        <f t="shared" si="134"/>
        <v>0.10000000149011612</v>
      </c>
      <c r="K118" s="865">
        <f t="shared" si="134"/>
        <v>0</v>
      </c>
      <c r="L118" s="865">
        <f t="shared" si="134"/>
        <v>-11498992</v>
      </c>
      <c r="M118" s="865">
        <f t="shared" si="134"/>
        <v>-0.5</v>
      </c>
      <c r="N118" s="865">
        <f t="shared" si="134"/>
        <v>-17867431.875</v>
      </c>
      <c r="O118" s="865">
        <f t="shared" si="134"/>
        <v>129795.09999999963</v>
      </c>
      <c r="P118" s="865">
        <f t="shared" si="134"/>
        <v>0</v>
      </c>
      <c r="Q118" s="865">
        <f t="shared" si="134"/>
        <v>-77818</v>
      </c>
      <c r="R118" s="865">
        <f t="shared" si="134"/>
        <v>893494.75</v>
      </c>
      <c r="S118" s="865">
        <f t="shared" si="134"/>
        <v>46330361.625</v>
      </c>
      <c r="T118" s="865">
        <f t="shared" si="134"/>
        <v>1815049.3099999996</v>
      </c>
      <c r="U118" s="865">
        <f t="shared" si="134"/>
        <v>0</v>
      </c>
      <c r="V118" s="865">
        <f t="shared" si="134"/>
        <v>-222295</v>
      </c>
      <c r="W118" s="865">
        <f t="shared" si="134"/>
        <v>-34589</v>
      </c>
      <c r="X118" s="808">
        <f t="shared" si="134"/>
        <v>-4404898.75</v>
      </c>
      <c r="Y118" s="865">
        <f t="shared" si="134"/>
        <v>0</v>
      </c>
      <c r="Z118" s="865">
        <f t="shared" si="134"/>
        <v>0</v>
      </c>
      <c r="AA118" s="865">
        <f t="shared" si="134"/>
        <v>0</v>
      </c>
      <c r="AB118" s="865">
        <f t="shared" si="134"/>
        <v>-431943</v>
      </c>
      <c r="AC118" s="866">
        <f>AE118-Z118</f>
        <v>0</v>
      </c>
      <c r="AD118" s="865">
        <f t="shared" si="134"/>
        <v>0</v>
      </c>
      <c r="AE118" s="865"/>
      <c r="AF118" s="865">
        <f t="shared" si="134"/>
        <v>1944844.5099999979</v>
      </c>
      <c r="AG118" s="865"/>
      <c r="AH118" s="867">
        <f t="shared" si="125"/>
        <v>0</v>
      </c>
      <c r="AI118" s="1086">
        <f t="shared" si="114"/>
        <v>0</v>
      </c>
      <c r="AJ118" s="722">
        <f t="shared" si="115"/>
        <v>0</v>
      </c>
      <c r="AK118" s="1085"/>
    </row>
  </sheetData>
  <mergeCells count="51">
    <mergeCell ref="K2:AH2"/>
    <mergeCell ref="AC5:AC6"/>
    <mergeCell ref="AD5:AD6"/>
    <mergeCell ref="AF5:AF6"/>
    <mergeCell ref="AH5:AH6"/>
    <mergeCell ref="AA5:AA6"/>
    <mergeCell ref="AB5:AB6"/>
    <mergeCell ref="AE5:AE6"/>
    <mergeCell ref="F3:Z3"/>
    <mergeCell ref="F4:J4"/>
    <mergeCell ref="K4:O4"/>
    <mergeCell ref="P4:T4"/>
    <mergeCell ref="U4:Y4"/>
    <mergeCell ref="J5:J6"/>
    <mergeCell ref="K5:K6"/>
    <mergeCell ref="G5:G6"/>
    <mergeCell ref="A117:D117"/>
    <mergeCell ref="A118:D118"/>
    <mergeCell ref="E4:E6"/>
    <mergeCell ref="A26:D26"/>
    <mergeCell ref="A81:B81"/>
    <mergeCell ref="A101:D101"/>
    <mergeCell ref="A106:D106"/>
    <mergeCell ref="A4:A6"/>
    <mergeCell ref="B4:B6"/>
    <mergeCell ref="D4:D6"/>
    <mergeCell ref="A108:Z108"/>
    <mergeCell ref="A107:D107"/>
    <mergeCell ref="P5:P6"/>
    <mergeCell ref="T5:T6"/>
    <mergeCell ref="Y5:Y6"/>
    <mergeCell ref="F5:F6"/>
    <mergeCell ref="Z4:AK4"/>
    <mergeCell ref="AI5:AI6"/>
    <mergeCell ref="AJ5:AJ6"/>
    <mergeCell ref="AK5:AK6"/>
    <mergeCell ref="AG5:AG6"/>
    <mergeCell ref="H5:H6"/>
    <mergeCell ref="Z5:Z6"/>
    <mergeCell ref="R5:R6"/>
    <mergeCell ref="Q5:Q6"/>
    <mergeCell ref="W5:W6"/>
    <mergeCell ref="V5:V6"/>
    <mergeCell ref="U5:U6"/>
    <mergeCell ref="N5:N6"/>
    <mergeCell ref="S5:S6"/>
    <mergeCell ref="X5:X6"/>
    <mergeCell ref="O5:O6"/>
    <mergeCell ref="L5:L6"/>
    <mergeCell ref="M5:M6"/>
    <mergeCell ref="I5:I6"/>
  </mergeCells>
  <pageMargins left="0.70866141732283472" right="0.70866141732283472" top="0.74803149606299213" bottom="0.74803149606299213" header="0.31496062992125984" footer="0.31496062992125984"/>
  <pageSetup paperSize="8" scale="57" fitToWidth="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O26"/>
  <sheetViews>
    <sheetView zoomScaleNormal="100" workbookViewId="0">
      <selection activeCell="P10" sqref="P10"/>
    </sheetView>
  </sheetViews>
  <sheetFormatPr defaultRowHeight="14.5" x14ac:dyDescent="0.35"/>
  <cols>
    <col min="1" max="1" width="29.26953125" customWidth="1"/>
    <col min="2" max="13" width="13.54296875" customWidth="1"/>
    <col min="14" max="14" width="16.453125" style="530" customWidth="1"/>
    <col min="15" max="15" width="14.54296875" bestFit="1" customWidth="1"/>
  </cols>
  <sheetData>
    <row r="1" spans="1:15" x14ac:dyDescent="0.35">
      <c r="A1" s="1268" t="s">
        <v>662</v>
      </c>
      <c r="B1" s="1268"/>
      <c r="C1" s="1268"/>
      <c r="D1" s="1268"/>
      <c r="E1" s="1268"/>
      <c r="F1" s="1268"/>
      <c r="G1" s="1268"/>
      <c r="H1" s="1268"/>
    </row>
    <row r="3" spans="1:15" x14ac:dyDescent="0.35">
      <c r="B3" s="1164" t="s">
        <v>924</v>
      </c>
      <c r="C3" s="1164"/>
      <c r="D3" s="1164"/>
      <c r="E3" s="1164"/>
      <c r="F3" s="1164"/>
      <c r="G3" s="1164"/>
      <c r="H3" s="1164"/>
      <c r="I3" s="1164"/>
      <c r="J3" s="1164"/>
      <c r="K3" s="1164"/>
    </row>
    <row r="4" spans="1:15" ht="15" thickBot="1" x14ac:dyDescent="0.4">
      <c r="N4" s="530" t="s">
        <v>316</v>
      </c>
    </row>
    <row r="5" spans="1:15" x14ac:dyDescent="0.35">
      <c r="A5" s="187" t="s">
        <v>386</v>
      </c>
      <c r="B5" s="188" t="s">
        <v>569</v>
      </c>
      <c r="C5" s="188" t="s">
        <v>570</v>
      </c>
      <c r="D5" s="188" t="s">
        <v>571</v>
      </c>
      <c r="E5" s="188" t="s">
        <v>572</v>
      </c>
      <c r="F5" s="188" t="s">
        <v>573</v>
      </c>
      <c r="G5" s="188" t="s">
        <v>574</v>
      </c>
      <c r="H5" s="188" t="s">
        <v>575</v>
      </c>
      <c r="I5" s="188" t="s">
        <v>576</v>
      </c>
      <c r="J5" s="188" t="s">
        <v>577</v>
      </c>
      <c r="K5" s="188" t="s">
        <v>578</v>
      </c>
      <c r="L5" s="188" t="s">
        <v>579</v>
      </c>
      <c r="M5" s="188" t="s">
        <v>580</v>
      </c>
      <c r="N5" s="763" t="s">
        <v>581</v>
      </c>
    </row>
    <row r="6" spans="1:15" x14ac:dyDescent="0.35">
      <c r="A6" s="1415" t="s">
        <v>582</v>
      </c>
      <c r="B6" s="1416"/>
      <c r="C6" s="1416"/>
      <c r="D6" s="1416"/>
      <c r="E6" s="1416"/>
      <c r="F6" s="1416"/>
      <c r="G6" s="1416"/>
      <c r="H6" s="1416"/>
      <c r="I6" s="1416"/>
      <c r="J6" s="1416"/>
      <c r="K6" s="1416"/>
      <c r="L6" s="1416"/>
      <c r="M6" s="1416"/>
      <c r="N6" s="1417"/>
    </row>
    <row r="7" spans="1:15" x14ac:dyDescent="0.35">
      <c r="A7" s="1412" t="s">
        <v>583</v>
      </c>
      <c r="B7" s="1413"/>
      <c r="C7" s="1413"/>
      <c r="D7" s="1413"/>
      <c r="E7" s="1413"/>
      <c r="F7" s="1413"/>
      <c r="G7" s="1413"/>
      <c r="H7" s="1413"/>
      <c r="I7" s="1413"/>
      <c r="J7" s="1413"/>
      <c r="K7" s="1413"/>
      <c r="L7" s="1413"/>
      <c r="M7" s="1413"/>
      <c r="N7" s="1414"/>
    </row>
    <row r="8" spans="1:15" ht="26.5" x14ac:dyDescent="0.35">
      <c r="A8" s="189" t="s">
        <v>584</v>
      </c>
      <c r="B8" s="190">
        <f>'Mérleg szintű össz'!I9/12+'Mérleg szintű össz'!I10/12+'Mérleg szintű össz'!I13/12+'Mérleg szintű össz'!I15/12</f>
        <v>18188673.140000001</v>
      </c>
      <c r="C8" s="190">
        <f>B8</f>
        <v>18188673.140000001</v>
      </c>
      <c r="D8" s="190">
        <f t="shared" ref="D8:M11" si="0">C8</f>
        <v>18188673.140000001</v>
      </c>
      <c r="E8" s="190">
        <f t="shared" si="0"/>
        <v>18188673.140000001</v>
      </c>
      <c r="F8" s="190">
        <f t="shared" si="0"/>
        <v>18188673.140000001</v>
      </c>
      <c r="G8" s="190">
        <f t="shared" si="0"/>
        <v>18188673.140000001</v>
      </c>
      <c r="H8" s="190">
        <f t="shared" si="0"/>
        <v>18188673.140000001</v>
      </c>
      <c r="I8" s="190">
        <f t="shared" si="0"/>
        <v>18188673.140000001</v>
      </c>
      <c r="J8" s="190">
        <f t="shared" si="0"/>
        <v>18188673.140000001</v>
      </c>
      <c r="K8" s="190">
        <f t="shared" si="0"/>
        <v>18188673.140000001</v>
      </c>
      <c r="L8" s="190">
        <f t="shared" si="0"/>
        <v>18188673.140000001</v>
      </c>
      <c r="M8" s="190">
        <f t="shared" si="0"/>
        <v>18188673.140000001</v>
      </c>
      <c r="N8" s="764">
        <f>SUM(B8:M8)</f>
        <v>218264077.67999995</v>
      </c>
    </row>
    <row r="9" spans="1:15" s="532" customFormat="1" ht="26.5" x14ac:dyDescent="0.35">
      <c r="A9" s="189" t="s">
        <v>353</v>
      </c>
      <c r="B9" s="190">
        <f>'Mérleg szintű össz'!AC12</f>
        <v>28832000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764">
        <f>SUM(B9:M9)</f>
        <v>28832000</v>
      </c>
    </row>
    <row r="10" spans="1:15" ht="58.5" customHeight="1" x14ac:dyDescent="0.35">
      <c r="A10" s="189" t="s">
        <v>585</v>
      </c>
      <c r="B10" s="191">
        <f>'Mérleg szintű össz'!AC20/4</f>
        <v>29679637.25</v>
      </c>
      <c r="C10" s="191">
        <f>B10</f>
        <v>29679637.25</v>
      </c>
      <c r="D10" s="191">
        <f t="shared" si="0"/>
        <v>29679637.25</v>
      </c>
      <c r="E10" s="191">
        <f t="shared" si="0"/>
        <v>29679637.25</v>
      </c>
      <c r="F10" s="191"/>
      <c r="G10" s="191"/>
      <c r="H10" s="191"/>
      <c r="I10" s="191"/>
      <c r="J10" s="191"/>
      <c r="K10" s="192"/>
      <c r="L10" s="192"/>
      <c r="M10" s="192"/>
      <c r="N10" s="764">
        <f t="shared" ref="N10" si="1">SUM(B10:M10)</f>
        <v>118718549</v>
      </c>
    </row>
    <row r="11" spans="1:15" x14ac:dyDescent="0.35">
      <c r="A11" s="189" t="s">
        <v>850</v>
      </c>
      <c r="B11" s="190">
        <f>'Intézményi összesen'!AC18/12</f>
        <v>8147346.4208333334</v>
      </c>
      <c r="C11" s="190">
        <f>B11</f>
        <v>8147346.4208333334</v>
      </c>
      <c r="D11" s="190">
        <f t="shared" si="0"/>
        <v>8147346.4208333334</v>
      </c>
      <c r="E11" s="190">
        <f t="shared" si="0"/>
        <v>8147346.4208333334</v>
      </c>
      <c r="F11" s="190">
        <f t="shared" si="0"/>
        <v>8147346.4208333334</v>
      </c>
      <c r="G11" s="190">
        <f t="shared" si="0"/>
        <v>8147346.4208333334</v>
      </c>
      <c r="H11" s="190">
        <f t="shared" si="0"/>
        <v>8147346.4208333334</v>
      </c>
      <c r="I11" s="190">
        <f t="shared" si="0"/>
        <v>8147346.4208333334</v>
      </c>
      <c r="J11" s="190">
        <f t="shared" si="0"/>
        <v>8147346.4208333334</v>
      </c>
      <c r="K11" s="190">
        <f t="shared" si="0"/>
        <v>8147346.4208333334</v>
      </c>
      <c r="L11" s="190">
        <f t="shared" si="0"/>
        <v>8147346.4208333334</v>
      </c>
      <c r="M11" s="190">
        <f t="shared" si="0"/>
        <v>8147346.4208333334</v>
      </c>
      <c r="N11" s="764">
        <f>SUM(B11:M11)</f>
        <v>97768157.049999997</v>
      </c>
    </row>
    <row r="12" spans="1:15" x14ac:dyDescent="0.35">
      <c r="A12" s="193" t="s">
        <v>586</v>
      </c>
      <c r="B12" s="194">
        <f>SUM(B8:B11)</f>
        <v>84847656.810833335</v>
      </c>
      <c r="C12" s="194">
        <f t="shared" ref="C12:N12" si="2">SUM(C8:C11)</f>
        <v>56015656.810833335</v>
      </c>
      <c r="D12" s="194">
        <f t="shared" si="2"/>
        <v>56015656.810833335</v>
      </c>
      <c r="E12" s="194">
        <f t="shared" si="2"/>
        <v>56015656.810833335</v>
      </c>
      <c r="F12" s="194">
        <f t="shared" si="2"/>
        <v>26336019.560833335</v>
      </c>
      <c r="G12" s="194">
        <f t="shared" si="2"/>
        <v>26336019.560833335</v>
      </c>
      <c r="H12" s="194">
        <f t="shared" si="2"/>
        <v>26336019.560833335</v>
      </c>
      <c r="I12" s="194">
        <f t="shared" si="2"/>
        <v>26336019.560833335</v>
      </c>
      <c r="J12" s="194">
        <f t="shared" si="2"/>
        <v>26336019.560833335</v>
      </c>
      <c r="K12" s="194">
        <f t="shared" si="2"/>
        <v>26336019.560833335</v>
      </c>
      <c r="L12" s="194">
        <f t="shared" si="2"/>
        <v>26336019.560833335</v>
      </c>
      <c r="M12" s="194">
        <f t="shared" si="2"/>
        <v>26336019.560833335</v>
      </c>
      <c r="N12" s="194">
        <f t="shared" si="2"/>
        <v>463582783.72999996</v>
      </c>
      <c r="O12" s="184">
        <f>N12-'Mérleg szintű össz'!AC27</f>
        <v>0</v>
      </c>
    </row>
    <row r="13" spans="1:15" x14ac:dyDescent="0.35">
      <c r="A13" s="1415" t="s">
        <v>587</v>
      </c>
      <c r="B13" s="1416"/>
      <c r="C13" s="1416"/>
      <c r="D13" s="1416"/>
      <c r="E13" s="1416"/>
      <c r="F13" s="1416"/>
      <c r="G13" s="1416"/>
      <c r="H13" s="1416"/>
      <c r="I13" s="1416"/>
      <c r="J13" s="1416"/>
      <c r="K13" s="1416"/>
      <c r="L13" s="1416"/>
      <c r="M13" s="1416"/>
      <c r="N13" s="1417"/>
    </row>
    <row r="14" spans="1:15" x14ac:dyDescent="0.35">
      <c r="A14" s="1412" t="s">
        <v>588</v>
      </c>
      <c r="B14" s="1413"/>
      <c r="C14" s="1413"/>
      <c r="D14" s="1413"/>
      <c r="E14" s="1413"/>
      <c r="F14" s="1413"/>
      <c r="G14" s="1413"/>
      <c r="H14" s="1413"/>
      <c r="I14" s="1413"/>
      <c r="J14" s="1413"/>
      <c r="K14" s="1413"/>
      <c r="L14" s="1413"/>
      <c r="M14" s="1413"/>
      <c r="N14" s="1414"/>
    </row>
    <row r="15" spans="1:15" x14ac:dyDescent="0.35">
      <c r="A15" s="189" t="s">
        <v>589</v>
      </c>
      <c r="B15" s="190">
        <f>('Mérleg szintű össz'!AO9+'Mérleg szintű össz'!AO10+'Mérleg szintű össz'!AO11+'Mérleg szintű össz'!AO12)/12</f>
        <v>7765000.492916666</v>
      </c>
      <c r="C15" s="190">
        <f>B15</f>
        <v>7765000.492916666</v>
      </c>
      <c r="D15" s="190">
        <f t="shared" ref="D15:M15" si="3">C15</f>
        <v>7765000.492916666</v>
      </c>
      <c r="E15" s="190">
        <f t="shared" si="3"/>
        <v>7765000.492916666</v>
      </c>
      <c r="F15" s="190">
        <f t="shared" si="3"/>
        <v>7765000.492916666</v>
      </c>
      <c r="G15" s="190">
        <f>F15</f>
        <v>7765000.492916666</v>
      </c>
      <c r="H15" s="190">
        <f t="shared" si="3"/>
        <v>7765000.492916666</v>
      </c>
      <c r="I15" s="190">
        <f t="shared" si="3"/>
        <v>7765000.492916666</v>
      </c>
      <c r="J15" s="190">
        <f t="shared" si="3"/>
        <v>7765000.492916666</v>
      </c>
      <c r="K15" s="190">
        <f t="shared" si="3"/>
        <v>7765000.492916666</v>
      </c>
      <c r="L15" s="190">
        <f t="shared" si="3"/>
        <v>7765000.492916666</v>
      </c>
      <c r="M15" s="190">
        <f t="shared" si="3"/>
        <v>7765000.492916666</v>
      </c>
      <c r="N15" s="764">
        <f>SUM(B15:M15)</f>
        <v>93180005.915000021</v>
      </c>
    </row>
    <row r="16" spans="1:15" s="532" customFormat="1" x14ac:dyDescent="0.35">
      <c r="A16" s="189" t="s">
        <v>1013</v>
      </c>
      <c r="B16" s="190"/>
      <c r="C16" s="190"/>
      <c r="D16" s="190"/>
      <c r="E16" s="190"/>
      <c r="F16" s="190"/>
      <c r="G16" s="190">
        <f>'Mérleg szintű össz'!BI14+'Intézményi összesen'!AC17</f>
        <v>42807226</v>
      </c>
      <c r="H16" s="190"/>
      <c r="I16" s="190"/>
      <c r="J16" s="190"/>
      <c r="K16" s="190"/>
      <c r="L16" s="190"/>
      <c r="M16" s="190"/>
      <c r="N16" s="764">
        <f t="shared" ref="N16:N17" si="4">SUM(B16:M16)</f>
        <v>42807226</v>
      </c>
    </row>
    <row r="17" spans="1:15" x14ac:dyDescent="0.35">
      <c r="A17" s="189" t="s">
        <v>847</v>
      </c>
      <c r="B17" s="191"/>
      <c r="C17" s="191">
        <f>'Mérleg szintű össz'!AO15</f>
        <v>65647968</v>
      </c>
      <c r="D17" s="191"/>
      <c r="E17" s="190"/>
      <c r="F17" s="190"/>
      <c r="G17" s="190"/>
      <c r="H17" s="190"/>
      <c r="I17" s="191"/>
      <c r="J17" s="191"/>
      <c r="K17" s="192"/>
      <c r="L17" s="192"/>
      <c r="M17" s="192"/>
      <c r="N17" s="764">
        <f t="shared" si="4"/>
        <v>65647968</v>
      </c>
    </row>
    <row r="18" spans="1:15" x14ac:dyDescent="0.35">
      <c r="A18" s="189" t="s">
        <v>590</v>
      </c>
      <c r="B18" s="191"/>
      <c r="C18" s="191">
        <f>'Mérleg szintű össz'!AO16/3</f>
        <v>12048431.333333334</v>
      </c>
      <c r="D18" s="191">
        <f>C18</f>
        <v>12048431.333333334</v>
      </c>
      <c r="E18" s="191">
        <f>D18</f>
        <v>12048431.333333334</v>
      </c>
      <c r="F18" s="191"/>
      <c r="G18" s="191"/>
      <c r="H18" s="191"/>
      <c r="I18" s="191"/>
      <c r="J18" s="191"/>
      <c r="K18" s="192"/>
      <c r="L18" s="192"/>
      <c r="M18" s="192"/>
      <c r="N18" s="764">
        <f t="shared" ref="N18:N25" si="5">SUM(B18:M18)</f>
        <v>36145294</v>
      </c>
    </row>
    <row r="19" spans="1:15" x14ac:dyDescent="0.35">
      <c r="A19" s="189" t="s">
        <v>153</v>
      </c>
      <c r="B19" s="191">
        <f t="shared" ref="B19:M19" si="6">B11</f>
        <v>8147346.4208333334</v>
      </c>
      <c r="C19" s="191">
        <f t="shared" si="6"/>
        <v>8147346.4208333334</v>
      </c>
      <c r="D19" s="191">
        <f t="shared" si="6"/>
        <v>8147346.4208333334</v>
      </c>
      <c r="E19" s="191">
        <f t="shared" si="6"/>
        <v>8147346.4208333334</v>
      </c>
      <c r="F19" s="191">
        <f t="shared" si="6"/>
        <v>8147346.4208333334</v>
      </c>
      <c r="G19" s="191">
        <f t="shared" si="6"/>
        <v>8147346.4208333334</v>
      </c>
      <c r="H19" s="191">
        <f t="shared" si="6"/>
        <v>8147346.4208333334</v>
      </c>
      <c r="I19" s="191">
        <f t="shared" si="6"/>
        <v>8147346.4208333334</v>
      </c>
      <c r="J19" s="191">
        <f t="shared" si="6"/>
        <v>8147346.4208333334</v>
      </c>
      <c r="K19" s="191">
        <f t="shared" si="6"/>
        <v>8147346.4208333334</v>
      </c>
      <c r="L19" s="191">
        <f t="shared" si="6"/>
        <v>8147346.4208333334</v>
      </c>
      <c r="M19" s="191">
        <f t="shared" si="6"/>
        <v>8147346.4208333334</v>
      </c>
      <c r="N19" s="764">
        <f t="shared" si="5"/>
        <v>97768157.049999997</v>
      </c>
    </row>
    <row r="20" spans="1:15" x14ac:dyDescent="0.35">
      <c r="A20" s="189" t="s">
        <v>848</v>
      </c>
      <c r="B20" s="191">
        <f>'Mérleg szintű össz'!AO13/12</f>
        <v>2107231.1666666665</v>
      </c>
      <c r="C20" s="191">
        <f>B20</f>
        <v>2107231.1666666665</v>
      </c>
      <c r="D20" s="191">
        <f t="shared" ref="D20:L20" si="7">C20</f>
        <v>2107231.1666666665</v>
      </c>
      <c r="E20" s="191">
        <f t="shared" si="7"/>
        <v>2107231.1666666665</v>
      </c>
      <c r="F20" s="191">
        <f t="shared" si="7"/>
        <v>2107231.1666666665</v>
      </c>
      <c r="G20" s="191">
        <f t="shared" si="7"/>
        <v>2107231.1666666665</v>
      </c>
      <c r="H20" s="191">
        <f t="shared" si="7"/>
        <v>2107231.1666666665</v>
      </c>
      <c r="I20" s="191">
        <f t="shared" si="7"/>
        <v>2107231.1666666665</v>
      </c>
      <c r="J20" s="191">
        <f t="shared" si="7"/>
        <v>2107231.1666666665</v>
      </c>
      <c r="K20" s="191">
        <f t="shared" si="7"/>
        <v>2107231.1666666665</v>
      </c>
      <c r="L20" s="191">
        <f t="shared" si="7"/>
        <v>2107231.1666666665</v>
      </c>
      <c r="M20" s="191">
        <f>L20</f>
        <v>2107231.1666666665</v>
      </c>
      <c r="N20" s="764">
        <f t="shared" si="5"/>
        <v>25286774.000000004</v>
      </c>
    </row>
    <row r="21" spans="1:15" x14ac:dyDescent="0.35">
      <c r="A21" s="189" t="s">
        <v>591</v>
      </c>
      <c r="B21" s="191">
        <f>'Mérleg szintű össz'!AO20</f>
        <v>4979202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764">
        <f t="shared" si="5"/>
        <v>4979202</v>
      </c>
    </row>
    <row r="22" spans="1:15" x14ac:dyDescent="0.35">
      <c r="A22" s="189" t="s">
        <v>849</v>
      </c>
      <c r="B22" s="191">
        <f t="shared" ref="B22:M22" si="8">B11</f>
        <v>8147346.4208333334</v>
      </c>
      <c r="C22" s="191">
        <f t="shared" si="8"/>
        <v>8147346.4208333334</v>
      </c>
      <c r="D22" s="191">
        <f t="shared" si="8"/>
        <v>8147346.4208333334</v>
      </c>
      <c r="E22" s="191">
        <f t="shared" si="8"/>
        <v>8147346.4208333334</v>
      </c>
      <c r="F22" s="191">
        <f t="shared" si="8"/>
        <v>8147346.4208333334</v>
      </c>
      <c r="G22" s="191">
        <f t="shared" si="8"/>
        <v>8147346.4208333334</v>
      </c>
      <c r="H22" s="191">
        <f t="shared" si="8"/>
        <v>8147346.4208333334</v>
      </c>
      <c r="I22" s="191">
        <f t="shared" si="8"/>
        <v>8147346.4208333334</v>
      </c>
      <c r="J22" s="191">
        <f t="shared" si="8"/>
        <v>8147346.4208333334</v>
      </c>
      <c r="K22" s="191">
        <f t="shared" si="8"/>
        <v>8147346.4208333334</v>
      </c>
      <c r="L22" s="191">
        <f t="shared" si="8"/>
        <v>8147346.4208333334</v>
      </c>
      <c r="M22" s="191">
        <f t="shared" si="8"/>
        <v>8147346.4208333334</v>
      </c>
      <c r="N22" s="764">
        <f t="shared" si="5"/>
        <v>97768157.049999997</v>
      </c>
    </row>
    <row r="23" spans="1:15" x14ac:dyDescent="0.35">
      <c r="A23" s="193" t="s">
        <v>592</v>
      </c>
      <c r="B23" s="194">
        <f>SUM(B15:B21)</f>
        <v>22998780.080416668</v>
      </c>
      <c r="C23" s="194">
        <f t="shared" ref="C23:M23" si="9">SUM(C15:C21)</f>
        <v>95715977.413750008</v>
      </c>
      <c r="D23" s="194">
        <f t="shared" si="9"/>
        <v>30068009.413750004</v>
      </c>
      <c r="E23" s="194">
        <f t="shared" si="9"/>
        <v>30068009.413750004</v>
      </c>
      <c r="F23" s="194">
        <f t="shared" si="9"/>
        <v>18019578.080416668</v>
      </c>
      <c r="G23" s="194">
        <f t="shared" si="9"/>
        <v>60826804.080416664</v>
      </c>
      <c r="H23" s="194">
        <f t="shared" si="9"/>
        <v>18019578.080416668</v>
      </c>
      <c r="I23" s="194">
        <f t="shared" si="9"/>
        <v>18019578.080416668</v>
      </c>
      <c r="J23" s="194">
        <f t="shared" si="9"/>
        <v>18019578.080416668</v>
      </c>
      <c r="K23" s="194">
        <f t="shared" si="9"/>
        <v>18019578.080416668</v>
      </c>
      <c r="L23" s="194">
        <f t="shared" si="9"/>
        <v>18019578.080416668</v>
      </c>
      <c r="M23" s="194">
        <f t="shared" si="9"/>
        <v>18019578.080416668</v>
      </c>
      <c r="N23" s="194">
        <f>SUM(N15:N21)</f>
        <v>365814626.96500003</v>
      </c>
      <c r="O23" s="184">
        <f>N23-'Mérleg szintű össz'!BI27+N22</f>
        <v>0</v>
      </c>
    </row>
    <row r="24" spans="1:15" x14ac:dyDescent="0.35">
      <c r="A24" s="195" t="s">
        <v>593</v>
      </c>
      <c r="B24" s="196">
        <f>B23+B22</f>
        <v>31146126.501250003</v>
      </c>
      <c r="C24" s="196">
        <f t="shared" ref="C24:M24" si="10">C23+C22</f>
        <v>103863323.83458334</v>
      </c>
      <c r="D24" s="196">
        <f t="shared" si="10"/>
        <v>38215355.834583335</v>
      </c>
      <c r="E24" s="196">
        <f t="shared" si="10"/>
        <v>38215355.834583335</v>
      </c>
      <c r="F24" s="196">
        <f t="shared" si="10"/>
        <v>26166924.501250003</v>
      </c>
      <c r="G24" s="196">
        <f t="shared" si="10"/>
        <v>68974150.501249999</v>
      </c>
      <c r="H24" s="196">
        <f t="shared" si="10"/>
        <v>26166924.501250003</v>
      </c>
      <c r="I24" s="196">
        <f t="shared" si="10"/>
        <v>26166924.501250003</v>
      </c>
      <c r="J24" s="196">
        <f t="shared" si="10"/>
        <v>26166924.501250003</v>
      </c>
      <c r="K24" s="196">
        <f t="shared" si="10"/>
        <v>26166924.501250003</v>
      </c>
      <c r="L24" s="196">
        <f t="shared" si="10"/>
        <v>26166924.501250003</v>
      </c>
      <c r="M24" s="196">
        <f t="shared" si="10"/>
        <v>26166924.501250003</v>
      </c>
      <c r="N24" s="764">
        <f t="shared" si="5"/>
        <v>463582784.01500022</v>
      </c>
    </row>
    <row r="25" spans="1:15" x14ac:dyDescent="0.35">
      <c r="A25" s="197" t="s">
        <v>594</v>
      </c>
      <c r="B25" s="196">
        <f t="shared" ref="B25:M25" si="11">B12</f>
        <v>84847656.810833335</v>
      </c>
      <c r="C25" s="196">
        <f t="shared" si="11"/>
        <v>56015656.810833335</v>
      </c>
      <c r="D25" s="196">
        <f t="shared" si="11"/>
        <v>56015656.810833335</v>
      </c>
      <c r="E25" s="196">
        <f t="shared" si="11"/>
        <v>56015656.810833335</v>
      </c>
      <c r="F25" s="196">
        <f t="shared" si="11"/>
        <v>26336019.560833335</v>
      </c>
      <c r="G25" s="196">
        <f t="shared" si="11"/>
        <v>26336019.560833335</v>
      </c>
      <c r="H25" s="196">
        <f t="shared" si="11"/>
        <v>26336019.560833335</v>
      </c>
      <c r="I25" s="196">
        <f t="shared" si="11"/>
        <v>26336019.560833335</v>
      </c>
      <c r="J25" s="196">
        <f t="shared" si="11"/>
        <v>26336019.560833335</v>
      </c>
      <c r="K25" s="196">
        <f t="shared" si="11"/>
        <v>26336019.560833335</v>
      </c>
      <c r="L25" s="196">
        <f t="shared" si="11"/>
        <v>26336019.560833335</v>
      </c>
      <c r="M25" s="196">
        <f t="shared" si="11"/>
        <v>26336019.560833335</v>
      </c>
      <c r="N25" s="764">
        <f t="shared" si="5"/>
        <v>463582783.73000002</v>
      </c>
    </row>
    <row r="26" spans="1:15" ht="15" thickBot="1" x14ac:dyDescent="0.4">
      <c r="A26" s="198" t="s">
        <v>595</v>
      </c>
      <c r="B26" s="199">
        <f>B25-B24</f>
        <v>53701530.309583336</v>
      </c>
      <c r="C26" s="199">
        <f t="shared" ref="C26:M26" si="12">C25-C24</f>
        <v>-47847667.023750007</v>
      </c>
      <c r="D26" s="199">
        <f t="shared" si="12"/>
        <v>17800300.97625</v>
      </c>
      <c r="E26" s="199">
        <f t="shared" si="12"/>
        <v>17800300.97625</v>
      </c>
      <c r="F26" s="199">
        <f t="shared" si="12"/>
        <v>169095.05958333239</v>
      </c>
      <c r="G26" s="199">
        <f t="shared" si="12"/>
        <v>-42638130.940416664</v>
      </c>
      <c r="H26" s="199">
        <f t="shared" si="12"/>
        <v>169095.05958333239</v>
      </c>
      <c r="I26" s="199">
        <f t="shared" si="12"/>
        <v>169095.05958333239</v>
      </c>
      <c r="J26" s="199">
        <f t="shared" si="12"/>
        <v>169095.05958333239</v>
      </c>
      <c r="K26" s="199">
        <f t="shared" si="12"/>
        <v>169095.05958333239</v>
      </c>
      <c r="L26" s="199">
        <f t="shared" si="12"/>
        <v>169095.05958333239</v>
      </c>
      <c r="M26" s="199">
        <f t="shared" si="12"/>
        <v>169095.05958333239</v>
      </c>
      <c r="N26" s="764">
        <f>N25-N24</f>
        <v>-0.28500020503997803</v>
      </c>
      <c r="O26" s="184"/>
    </row>
  </sheetData>
  <mergeCells count="6">
    <mergeCell ref="A14:N14"/>
    <mergeCell ref="A1:H1"/>
    <mergeCell ref="B3:K3"/>
    <mergeCell ref="A6:N6"/>
    <mergeCell ref="A7:N7"/>
    <mergeCell ref="A13:N13"/>
  </mergeCells>
  <pageMargins left="0.70866141732283472" right="0.70866141732283472" top="0.74803149606299213" bottom="0.74803149606299213" header="0.31496062992125984" footer="0.31496062992125984"/>
  <pageSetup paperSize="8" scale="9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0.39997558519241921"/>
  </sheetPr>
  <dimension ref="A1:N28"/>
  <sheetViews>
    <sheetView workbookViewId="0">
      <selection sqref="A1:E1"/>
    </sheetView>
  </sheetViews>
  <sheetFormatPr defaultRowHeight="14.5" x14ac:dyDescent="0.35"/>
  <cols>
    <col min="1" max="1" width="21" customWidth="1"/>
    <col min="2" max="2" width="20.81640625" customWidth="1"/>
    <col min="3" max="3" width="16.7265625" customWidth="1"/>
    <col min="5" max="5" width="13.1796875" customWidth="1"/>
    <col min="6" max="6" width="14.54296875" customWidth="1"/>
    <col min="7" max="7" width="15" customWidth="1"/>
    <col min="8" max="8" width="10.54296875" bestFit="1" customWidth="1"/>
    <col min="9" max="9" width="15.7265625" customWidth="1"/>
  </cols>
  <sheetData>
    <row r="1" spans="1:14" x14ac:dyDescent="0.35">
      <c r="A1" s="1365" t="s">
        <v>1386</v>
      </c>
      <c r="B1" s="1365"/>
      <c r="C1" s="1365"/>
      <c r="D1" s="1365"/>
      <c r="E1" s="1365"/>
    </row>
    <row r="2" spans="1:14" x14ac:dyDescent="0.35">
      <c r="A2" s="186"/>
      <c r="B2" s="186"/>
      <c r="C2" s="186"/>
      <c r="D2" s="186"/>
      <c r="E2" s="186"/>
    </row>
    <row r="3" spans="1:14" x14ac:dyDescent="0.35">
      <c r="A3" s="1164" t="s">
        <v>930</v>
      </c>
      <c r="B3" s="1164"/>
      <c r="C3" s="1164"/>
      <c r="D3" s="1164"/>
      <c r="E3" s="1164"/>
      <c r="F3" s="1164"/>
      <c r="G3" s="1164"/>
      <c r="H3" s="1164"/>
      <c r="I3" s="1164"/>
      <c r="J3" s="258"/>
      <c r="K3" s="258"/>
      <c r="L3" s="258"/>
      <c r="M3" s="258"/>
      <c r="N3" s="258"/>
    </row>
    <row r="4" spans="1:14" ht="15" thickBot="1" x14ac:dyDescent="0.4">
      <c r="A4" s="1301" t="s">
        <v>663</v>
      </c>
      <c r="B4" s="1301"/>
      <c r="C4" s="1301"/>
      <c r="D4" s="1301"/>
      <c r="E4" s="1301"/>
      <c r="F4" s="1301"/>
      <c r="G4" s="1301"/>
      <c r="H4" s="1301"/>
      <c r="I4" s="1301"/>
    </row>
    <row r="5" spans="1:14" x14ac:dyDescent="0.35">
      <c r="A5" s="1429" t="s">
        <v>596</v>
      </c>
      <c r="B5" s="1438"/>
      <c r="C5" s="1432" t="s">
        <v>597</v>
      </c>
      <c r="D5" s="1435" t="s">
        <v>598</v>
      </c>
      <c r="E5" s="1435"/>
      <c r="F5" s="1435"/>
      <c r="G5" s="1435"/>
      <c r="H5" s="1435"/>
      <c r="I5" s="685"/>
    </row>
    <row r="6" spans="1:14" x14ac:dyDescent="0.35">
      <c r="A6" s="1430"/>
      <c r="B6" s="1439"/>
      <c r="C6" s="1433"/>
      <c r="D6" s="1436" t="s">
        <v>599</v>
      </c>
      <c r="E6" s="1436"/>
      <c r="F6" s="1436"/>
      <c r="G6" s="1437" t="s">
        <v>600</v>
      </c>
      <c r="H6" s="1437"/>
      <c r="I6" s="1441" t="s">
        <v>601</v>
      </c>
    </row>
    <row r="7" spans="1:14" x14ac:dyDescent="0.35">
      <c r="A7" s="1430"/>
      <c r="B7" s="1439"/>
      <c r="C7" s="1433"/>
      <c r="D7" s="1443" t="s">
        <v>602</v>
      </c>
      <c r="E7" s="1445" t="s">
        <v>603</v>
      </c>
      <c r="F7" s="1447" t="s">
        <v>604</v>
      </c>
      <c r="G7" s="1447" t="s">
        <v>605</v>
      </c>
      <c r="H7" s="1449" t="s">
        <v>606</v>
      </c>
      <c r="I7" s="1441"/>
    </row>
    <row r="8" spans="1:14" ht="15" thickBot="1" x14ac:dyDescent="0.4">
      <c r="A8" s="1431"/>
      <c r="B8" s="1440"/>
      <c r="C8" s="1434"/>
      <c r="D8" s="1444"/>
      <c r="E8" s="1446"/>
      <c r="F8" s="1448"/>
      <c r="G8" s="1448"/>
      <c r="H8" s="1450"/>
      <c r="I8" s="1442"/>
    </row>
    <row r="9" spans="1:14" ht="15.5" x14ac:dyDescent="0.35">
      <c r="A9" s="1426" t="s">
        <v>608</v>
      </c>
      <c r="B9" s="682" t="s">
        <v>929</v>
      </c>
      <c r="C9" s="683">
        <f>SUM(C10:C13)</f>
        <v>3</v>
      </c>
      <c r="D9" s="683">
        <f t="shared" ref="D9:I9" si="0">SUM(D10:D13)</f>
        <v>2</v>
      </c>
      <c r="E9" s="683">
        <f t="shared" si="0"/>
        <v>1</v>
      </c>
      <c r="F9" s="683">
        <f t="shared" si="0"/>
        <v>0</v>
      </c>
      <c r="G9" s="683">
        <f t="shared" si="0"/>
        <v>0</v>
      </c>
      <c r="H9" s="683">
        <f t="shared" si="0"/>
        <v>0</v>
      </c>
      <c r="I9" s="684">
        <f t="shared" si="0"/>
        <v>0</v>
      </c>
    </row>
    <row r="10" spans="1:14" ht="15.5" x14ac:dyDescent="0.35">
      <c r="A10" s="1427"/>
      <c r="B10" s="674" t="s">
        <v>654</v>
      </c>
      <c r="C10" s="204">
        <f>SUM(D10:I10)</f>
        <v>1</v>
      </c>
      <c r="D10" s="204"/>
      <c r="E10" s="204">
        <v>1</v>
      </c>
      <c r="F10" s="689"/>
      <c r="G10" s="689"/>
      <c r="H10" s="690"/>
      <c r="I10" s="679"/>
    </row>
    <row r="11" spans="1:14" ht="15.5" x14ac:dyDescent="0.35">
      <c r="A11" s="1427"/>
      <c r="B11" s="674" t="s">
        <v>655</v>
      </c>
      <c r="C11" s="204">
        <f t="shared" ref="C11:C12" si="1">SUM(D11:I11)</f>
        <v>1</v>
      </c>
      <c r="D11" s="204">
        <v>1</v>
      </c>
      <c r="E11" s="204"/>
      <c r="F11" s="689"/>
      <c r="G11" s="689"/>
      <c r="H11" s="690"/>
      <c r="I11" s="679"/>
    </row>
    <row r="12" spans="1:14" ht="15.5" x14ac:dyDescent="0.35">
      <c r="A12" s="1427"/>
      <c r="B12" s="675" t="s">
        <v>931</v>
      </c>
      <c r="C12" s="204">
        <f t="shared" si="1"/>
        <v>1</v>
      </c>
      <c r="D12" s="204">
        <v>1</v>
      </c>
      <c r="E12" s="204"/>
      <c r="F12" s="689"/>
      <c r="G12" s="689"/>
      <c r="H12" s="690"/>
      <c r="I12" s="679"/>
    </row>
    <row r="13" spans="1:14" ht="16" thickBot="1" x14ac:dyDescent="0.4">
      <c r="A13" s="1428"/>
      <c r="B13" s="680"/>
      <c r="C13" s="205"/>
      <c r="D13" s="205"/>
      <c r="E13" s="205"/>
      <c r="F13" s="691"/>
      <c r="G13" s="691"/>
      <c r="H13" s="692"/>
      <c r="I13" s="681"/>
    </row>
    <row r="14" spans="1:14" ht="15.5" x14ac:dyDescent="0.35">
      <c r="A14" s="1423" t="s">
        <v>607</v>
      </c>
      <c r="B14" s="677" t="s">
        <v>929</v>
      </c>
      <c r="C14" s="693">
        <f>SUM(D14:I14)</f>
        <v>7</v>
      </c>
      <c r="D14" s="693">
        <v>7</v>
      </c>
      <c r="E14" s="200"/>
      <c r="F14" s="694"/>
      <c r="G14" s="694"/>
      <c r="H14" s="695"/>
      <c r="I14" s="678"/>
    </row>
    <row r="15" spans="1:14" x14ac:dyDescent="0.35">
      <c r="A15" s="1424"/>
      <c r="B15" s="676"/>
      <c r="C15" s="696"/>
      <c r="D15" s="697"/>
      <c r="E15" s="201"/>
      <c r="F15" s="698"/>
      <c r="G15" s="698"/>
      <c r="H15" s="699"/>
      <c r="I15" s="686"/>
    </row>
    <row r="16" spans="1:14" x14ac:dyDescent="0.35">
      <c r="A16" s="1424"/>
      <c r="B16" s="676"/>
      <c r="C16" s="696"/>
      <c r="D16" s="697"/>
      <c r="E16" s="201"/>
      <c r="F16" s="698"/>
      <c r="G16" s="698"/>
      <c r="H16" s="699"/>
      <c r="I16" s="686"/>
    </row>
    <row r="17" spans="1:9" x14ac:dyDescent="0.35">
      <c r="A17" s="1424"/>
      <c r="B17" s="676"/>
      <c r="C17" s="696"/>
      <c r="D17" s="697"/>
      <c r="E17" s="201"/>
      <c r="F17" s="698"/>
      <c r="G17" s="698"/>
      <c r="H17" s="699"/>
      <c r="I17" s="686"/>
    </row>
    <row r="18" spans="1:9" ht="15" thickBot="1" x14ac:dyDescent="0.4">
      <c r="A18" s="1425"/>
      <c r="B18" s="687"/>
      <c r="C18" s="700"/>
      <c r="D18" s="701"/>
      <c r="E18" s="202"/>
      <c r="F18" s="702"/>
      <c r="G18" s="702"/>
      <c r="H18" s="703"/>
      <c r="I18" s="688"/>
    </row>
    <row r="19" spans="1:9" ht="15.5" x14ac:dyDescent="0.35">
      <c r="A19" s="1426" t="s">
        <v>657</v>
      </c>
      <c r="B19" s="677" t="s">
        <v>929</v>
      </c>
      <c r="C19" s="206">
        <f>SUM(D19:I19)</f>
        <v>12</v>
      </c>
      <c r="D19" s="206">
        <v>6</v>
      </c>
      <c r="E19" s="206"/>
      <c r="F19" s="704"/>
      <c r="G19" s="206">
        <v>4</v>
      </c>
      <c r="H19" s="206">
        <v>2</v>
      </c>
      <c r="I19" s="678"/>
    </row>
    <row r="20" spans="1:9" ht="15.5" x14ac:dyDescent="0.35">
      <c r="A20" s="1427"/>
      <c r="B20" s="674"/>
      <c r="C20" s="204"/>
      <c r="D20" s="204"/>
      <c r="E20" s="204"/>
      <c r="F20" s="689"/>
      <c r="G20" s="689"/>
      <c r="H20" s="690"/>
      <c r="I20" s="679"/>
    </row>
    <row r="21" spans="1:9" ht="15.5" x14ac:dyDescent="0.35">
      <c r="A21" s="1427"/>
      <c r="B21" s="674"/>
      <c r="C21" s="204"/>
      <c r="D21" s="204"/>
      <c r="E21" s="204"/>
      <c r="F21" s="689"/>
      <c r="G21" s="689"/>
      <c r="H21" s="690"/>
      <c r="I21" s="679"/>
    </row>
    <row r="22" spans="1:9" ht="15.5" x14ac:dyDescent="0.35">
      <c r="A22" s="1427"/>
      <c r="B22" s="674"/>
      <c r="C22" s="204"/>
      <c r="D22" s="204"/>
      <c r="E22" s="204"/>
      <c r="F22" s="689"/>
      <c r="G22" s="689"/>
      <c r="H22" s="690"/>
      <c r="I22" s="679"/>
    </row>
    <row r="23" spans="1:9" ht="16" thickBot="1" x14ac:dyDescent="0.4">
      <c r="A23" s="1428"/>
      <c r="B23" s="680"/>
      <c r="C23" s="205"/>
      <c r="D23" s="205"/>
      <c r="E23" s="205"/>
      <c r="F23" s="691"/>
      <c r="G23" s="691"/>
      <c r="H23" s="692"/>
      <c r="I23" s="681"/>
    </row>
    <row r="24" spans="1:9" ht="15.5" x14ac:dyDescent="0.35">
      <c r="A24" s="1418" t="s">
        <v>938</v>
      </c>
      <c r="B24" s="677" t="s">
        <v>929</v>
      </c>
      <c r="C24" s="206">
        <f>SUM(D24:I24)</f>
        <v>2</v>
      </c>
      <c r="D24" s="206"/>
      <c r="E24" s="206"/>
      <c r="F24" s="206"/>
      <c r="G24" s="206"/>
      <c r="H24" s="206"/>
      <c r="I24" s="705">
        <v>2</v>
      </c>
    </row>
    <row r="25" spans="1:9" ht="15.5" x14ac:dyDescent="0.35">
      <c r="A25" s="1419"/>
      <c r="B25" s="674"/>
      <c r="C25" s="204"/>
      <c r="D25" s="204"/>
      <c r="E25" s="204"/>
      <c r="F25" s="204"/>
      <c r="G25" s="204"/>
      <c r="H25" s="204"/>
      <c r="I25" s="706"/>
    </row>
    <row r="26" spans="1:9" ht="15.5" x14ac:dyDescent="0.35">
      <c r="A26" s="1419"/>
      <c r="B26" s="674"/>
      <c r="C26" s="204"/>
      <c r="D26" s="204"/>
      <c r="E26" s="204"/>
      <c r="F26" s="204"/>
      <c r="G26" s="204"/>
      <c r="H26" s="204"/>
      <c r="I26" s="706"/>
    </row>
    <row r="27" spans="1:9" ht="16" thickBot="1" x14ac:dyDescent="0.4">
      <c r="A27" s="1420"/>
      <c r="B27" s="680"/>
      <c r="C27" s="205"/>
      <c r="D27" s="205"/>
      <c r="E27" s="205"/>
      <c r="F27" s="205"/>
      <c r="G27" s="205"/>
      <c r="H27" s="205"/>
      <c r="I27" s="707"/>
    </row>
    <row r="28" spans="1:9" ht="15.5" x14ac:dyDescent="0.35">
      <c r="A28" s="1421" t="s">
        <v>656</v>
      </c>
      <c r="B28" s="1422"/>
      <c r="C28" s="203">
        <f>C9+C14+C19+C24</f>
        <v>24</v>
      </c>
      <c r="D28" s="203">
        <f t="shared" ref="D28:I28" si="2">D9+D14+D19+D24</f>
        <v>15</v>
      </c>
      <c r="E28" s="203">
        <f t="shared" si="2"/>
        <v>1</v>
      </c>
      <c r="F28" s="203">
        <f t="shared" si="2"/>
        <v>0</v>
      </c>
      <c r="G28" s="203">
        <f t="shared" si="2"/>
        <v>4</v>
      </c>
      <c r="H28" s="203">
        <f t="shared" si="2"/>
        <v>2</v>
      </c>
      <c r="I28" s="203">
        <f t="shared" si="2"/>
        <v>2</v>
      </c>
    </row>
  </sheetData>
  <mergeCells count="20">
    <mergeCell ref="A1:E1"/>
    <mergeCell ref="A5:A8"/>
    <mergeCell ref="C5:C8"/>
    <mergeCell ref="D5:H5"/>
    <mergeCell ref="D6:F6"/>
    <mergeCell ref="G6:H6"/>
    <mergeCell ref="A3:I3"/>
    <mergeCell ref="A4:I4"/>
    <mergeCell ref="B5:B8"/>
    <mergeCell ref="I6:I8"/>
    <mergeCell ref="D7:D8"/>
    <mergeCell ref="E7:E8"/>
    <mergeCell ref="F7:F8"/>
    <mergeCell ref="G7:G8"/>
    <mergeCell ref="H7:H8"/>
    <mergeCell ref="A24:A27"/>
    <mergeCell ref="A28:B28"/>
    <mergeCell ref="A14:A18"/>
    <mergeCell ref="A9:A13"/>
    <mergeCell ref="A19:A23"/>
  </mergeCells>
  <pageMargins left="0.7" right="0.7" top="0.75" bottom="0.75" header="0.3" footer="0.3"/>
  <pageSetup paperSize="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39997558519241921"/>
  </sheetPr>
  <dimension ref="A1:E13"/>
  <sheetViews>
    <sheetView workbookViewId="0">
      <selection sqref="A1:E1"/>
    </sheetView>
  </sheetViews>
  <sheetFormatPr defaultRowHeight="14.5" x14ac:dyDescent="0.35"/>
  <cols>
    <col min="1" max="1" width="21.7265625" bestFit="1" customWidth="1"/>
    <col min="3" max="3" width="29.26953125" customWidth="1"/>
  </cols>
  <sheetData>
    <row r="1" spans="1:5" x14ac:dyDescent="0.35">
      <c r="A1" s="1365" t="s">
        <v>1387</v>
      </c>
      <c r="B1" s="1365"/>
      <c r="C1" s="1365"/>
      <c r="D1" s="1365"/>
      <c r="E1" s="1365"/>
    </row>
    <row r="2" spans="1:5" x14ac:dyDescent="0.35">
      <c r="A2" s="186"/>
      <c r="B2" s="186"/>
      <c r="C2" s="186"/>
      <c r="D2" s="186"/>
      <c r="E2" s="186"/>
    </row>
    <row r="3" spans="1:5" ht="15" customHeight="1" x14ac:dyDescent="0.35">
      <c r="A3" s="1451" t="s">
        <v>923</v>
      </c>
      <c r="B3" s="1451"/>
      <c r="C3" s="1451"/>
      <c r="D3" s="1451"/>
      <c r="E3" s="1451"/>
    </row>
    <row r="4" spans="1:5" ht="15" thickBot="1" x14ac:dyDescent="0.4"/>
    <row r="5" spans="1:5" ht="15" thickTop="1" x14ac:dyDescent="0.35">
      <c r="A5" s="1452" t="s">
        <v>845</v>
      </c>
      <c r="B5" s="1453"/>
      <c r="C5" s="1454"/>
    </row>
    <row r="6" spans="1:5" x14ac:dyDescent="0.35">
      <c r="A6" s="1455"/>
      <c r="B6" s="1456"/>
      <c r="C6" s="1457"/>
    </row>
    <row r="7" spans="1:5" x14ac:dyDescent="0.35">
      <c r="A7" s="207" t="s">
        <v>664</v>
      </c>
      <c r="B7" s="208" t="s">
        <v>210</v>
      </c>
      <c r="C7" s="209" t="s">
        <v>609</v>
      </c>
    </row>
    <row r="8" spans="1:5" x14ac:dyDescent="0.35">
      <c r="A8" s="207" t="s">
        <v>550</v>
      </c>
      <c r="B8" s="208"/>
      <c r="C8" s="210"/>
    </row>
    <row r="9" spans="1:5" x14ac:dyDescent="0.35">
      <c r="A9" s="207" t="s">
        <v>665</v>
      </c>
      <c r="B9" s="208"/>
      <c r="C9" s="210"/>
    </row>
    <row r="10" spans="1:5" x14ac:dyDescent="0.35">
      <c r="A10" s="207"/>
      <c r="B10" s="208"/>
      <c r="C10" s="210"/>
    </row>
    <row r="11" spans="1:5" ht="15" thickBot="1" x14ac:dyDescent="0.4">
      <c r="A11" s="211" t="s">
        <v>610</v>
      </c>
      <c r="B11" s="212">
        <f>SUM(B8:B10)</f>
        <v>0</v>
      </c>
      <c r="C11" s="213">
        <f>SUM(C8:C10)</f>
        <v>0</v>
      </c>
    </row>
    <row r="12" spans="1:5" ht="15" thickTop="1" x14ac:dyDescent="0.35"/>
    <row r="13" spans="1:5" x14ac:dyDescent="0.35">
      <c r="A13" t="s">
        <v>658</v>
      </c>
    </row>
  </sheetData>
  <mergeCells count="3">
    <mergeCell ref="A1:E1"/>
    <mergeCell ref="A3:E3"/>
    <mergeCell ref="A5:C6"/>
  </mergeCells>
  <pageMargins left="0.7" right="0.7" top="0.75" bottom="0.75" header="0.3" footer="0.3"/>
  <pageSetup paperSize="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0.39997558519241921"/>
    <pageSetUpPr fitToPage="1"/>
  </sheetPr>
  <dimension ref="A1:H35"/>
  <sheetViews>
    <sheetView workbookViewId="0"/>
  </sheetViews>
  <sheetFormatPr defaultRowHeight="14.5" x14ac:dyDescent="0.35"/>
  <cols>
    <col min="1" max="1" width="22.81640625" customWidth="1"/>
    <col min="2" max="2" width="7.453125" customWidth="1"/>
    <col min="3" max="3" width="11.54296875" hidden="1" customWidth="1"/>
    <col min="4" max="5" width="11" customWidth="1"/>
    <col min="6" max="7" width="11.7265625" customWidth="1"/>
    <col min="8" max="8" width="11.453125" customWidth="1"/>
  </cols>
  <sheetData>
    <row r="1" spans="1:8" x14ac:dyDescent="0.35">
      <c r="A1" s="42" t="s">
        <v>667</v>
      </c>
      <c r="B1" s="42"/>
      <c r="C1" s="42"/>
      <c r="D1" s="42"/>
      <c r="E1" s="42"/>
      <c r="F1" s="42"/>
      <c r="G1" s="42"/>
    </row>
    <row r="2" spans="1:8" ht="4.5" customHeight="1" x14ac:dyDescent="0.35">
      <c r="A2" s="185"/>
      <c r="B2" s="185"/>
      <c r="C2" s="185"/>
      <c r="D2" s="185"/>
      <c r="E2" s="185"/>
      <c r="F2" s="185"/>
      <c r="G2" s="442"/>
    </row>
    <row r="3" spans="1:8" ht="13.5" customHeight="1" x14ac:dyDescent="0.35">
      <c r="A3" s="1458" t="s">
        <v>644</v>
      </c>
      <c r="B3" s="1458"/>
      <c r="C3" s="1458"/>
      <c r="D3" s="1458"/>
      <c r="E3" s="1458"/>
      <c r="F3" s="1458"/>
      <c r="G3" s="1458"/>
      <c r="H3" s="1458"/>
    </row>
    <row r="4" spans="1:8" ht="12.75" customHeight="1" thickBot="1" x14ac:dyDescent="0.4">
      <c r="A4" s="214"/>
      <c r="B4" s="214"/>
      <c r="C4" s="260" t="s">
        <v>666</v>
      </c>
      <c r="D4" s="259"/>
      <c r="E4" s="259"/>
      <c r="F4" s="214"/>
      <c r="G4" s="214"/>
      <c r="H4" s="215" t="s">
        <v>611</v>
      </c>
    </row>
    <row r="5" spans="1:8" ht="14.25" customHeight="1" x14ac:dyDescent="0.35">
      <c r="A5" s="1459" t="s">
        <v>612</v>
      </c>
      <c r="B5" s="1462" t="s">
        <v>1</v>
      </c>
      <c r="C5" s="1468" t="s">
        <v>613</v>
      </c>
      <c r="D5" s="1469"/>
      <c r="E5" s="1469"/>
      <c r="F5" s="1469"/>
      <c r="G5" s="1470"/>
      <c r="H5" s="1465" t="s">
        <v>614</v>
      </c>
    </row>
    <row r="6" spans="1:8" ht="10.5" customHeight="1" x14ac:dyDescent="0.35">
      <c r="A6" s="1460"/>
      <c r="B6" s="1463"/>
      <c r="C6" s="1471"/>
      <c r="D6" s="1472"/>
      <c r="E6" s="1472"/>
      <c r="F6" s="1472"/>
      <c r="G6" s="1473"/>
      <c r="H6" s="1466"/>
    </row>
    <row r="7" spans="1:8" ht="11.25" customHeight="1" thickBot="1" x14ac:dyDescent="0.4">
      <c r="A7" s="1461"/>
      <c r="B7" s="1464"/>
      <c r="C7" s="216">
        <v>2019</v>
      </c>
      <c r="D7" s="216">
        <v>2020</v>
      </c>
      <c r="E7" s="216">
        <v>2021</v>
      </c>
      <c r="F7" s="216">
        <v>2022</v>
      </c>
      <c r="G7" s="216">
        <v>2023</v>
      </c>
      <c r="H7" s="1467"/>
    </row>
    <row r="8" spans="1:8" ht="21.75" customHeight="1" x14ac:dyDescent="0.35">
      <c r="A8" s="217">
        <v>1</v>
      </c>
      <c r="B8" s="218">
        <v>2</v>
      </c>
      <c r="C8" s="218">
        <v>3</v>
      </c>
      <c r="D8" s="218">
        <v>4</v>
      </c>
      <c r="E8" s="218">
        <v>5</v>
      </c>
      <c r="F8" s="219">
        <v>6</v>
      </c>
      <c r="G8" s="744">
        <v>7</v>
      </c>
      <c r="H8" s="744">
        <v>8</v>
      </c>
    </row>
    <row r="9" spans="1:8" x14ac:dyDescent="0.35">
      <c r="A9" s="220" t="s">
        <v>615</v>
      </c>
      <c r="B9" s="221" t="s">
        <v>616</v>
      </c>
      <c r="C9" s="743">
        <f>'Közhatalmi bevétel'!I21</f>
        <v>60738645</v>
      </c>
      <c r="D9" s="222">
        <v>56624027</v>
      </c>
      <c r="E9" s="222">
        <f>D9*1.033</f>
        <v>58492619.890999995</v>
      </c>
      <c r="F9" s="222">
        <f>E9*1.03</f>
        <v>60247398.487729996</v>
      </c>
      <c r="G9" s="745">
        <f>F9*1.03</f>
        <v>62054820.442361899</v>
      </c>
      <c r="H9" s="671">
        <f t="shared" ref="H9:H35" si="0">+C9+D9+E9+F9</f>
        <v>236102690.37873</v>
      </c>
    </row>
    <row r="10" spans="1:8" x14ac:dyDescent="0.35">
      <c r="A10" s="220" t="s">
        <v>617</v>
      </c>
      <c r="B10" s="221" t="s">
        <v>618</v>
      </c>
      <c r="C10" s="222">
        <v>0</v>
      </c>
      <c r="D10" s="222">
        <f>C10*1.039</f>
        <v>0</v>
      </c>
      <c r="E10" s="222">
        <f t="shared" ref="E10:F12" si="1">D10*1.039</f>
        <v>0</v>
      </c>
      <c r="F10" s="222">
        <f t="shared" si="1"/>
        <v>0</v>
      </c>
      <c r="G10" s="746"/>
      <c r="H10" s="671">
        <f t="shared" si="0"/>
        <v>0</v>
      </c>
    </row>
    <row r="11" spans="1:8" x14ac:dyDescent="0.35">
      <c r="A11" s="220" t="s">
        <v>619</v>
      </c>
      <c r="B11" s="221" t="s">
        <v>620</v>
      </c>
      <c r="C11" s="222">
        <v>0</v>
      </c>
      <c r="D11" s="222">
        <v>0</v>
      </c>
      <c r="E11" s="222">
        <f t="shared" si="1"/>
        <v>0</v>
      </c>
      <c r="F11" s="222">
        <f t="shared" si="1"/>
        <v>0</v>
      </c>
      <c r="G11" s="746"/>
      <c r="H11" s="671">
        <f t="shared" si="0"/>
        <v>0</v>
      </c>
    </row>
    <row r="12" spans="1:8" ht="62.25" customHeight="1" x14ac:dyDescent="0.35">
      <c r="A12" s="220" t="s">
        <v>621</v>
      </c>
      <c r="B12" s="221" t="s">
        <v>622</v>
      </c>
      <c r="C12" s="222">
        <v>0</v>
      </c>
      <c r="D12" s="222">
        <f>C12*1.039</f>
        <v>0</v>
      </c>
      <c r="E12" s="222">
        <f t="shared" si="1"/>
        <v>0</v>
      </c>
      <c r="F12" s="222">
        <f t="shared" si="1"/>
        <v>0</v>
      </c>
      <c r="G12" s="745"/>
      <c r="H12" s="671">
        <f t="shared" si="0"/>
        <v>0</v>
      </c>
    </row>
    <row r="13" spans="1:8" ht="23.25" customHeight="1" x14ac:dyDescent="0.35">
      <c r="A13" s="220" t="s">
        <v>623</v>
      </c>
      <c r="B13" s="221" t="s">
        <v>624</v>
      </c>
      <c r="C13" s="222">
        <v>0</v>
      </c>
      <c r="D13" s="222">
        <v>0</v>
      </c>
      <c r="E13" s="222">
        <v>0</v>
      </c>
      <c r="F13" s="222">
        <v>0</v>
      </c>
      <c r="G13" s="745"/>
      <c r="H13" s="671">
        <f t="shared" si="0"/>
        <v>0</v>
      </c>
    </row>
    <row r="14" spans="1:8" ht="35.25" customHeight="1" x14ac:dyDescent="0.35">
      <c r="A14" s="220" t="s">
        <v>625</v>
      </c>
      <c r="B14" s="221" t="s">
        <v>626</v>
      </c>
      <c r="C14" s="222">
        <v>0</v>
      </c>
      <c r="D14" s="222">
        <v>0</v>
      </c>
      <c r="E14" s="222">
        <v>0</v>
      </c>
      <c r="F14" s="222">
        <v>0</v>
      </c>
      <c r="G14" s="745"/>
      <c r="H14" s="671">
        <f t="shared" si="0"/>
        <v>0</v>
      </c>
    </row>
    <row r="15" spans="1:8" ht="30" customHeight="1" thickBot="1" x14ac:dyDescent="0.4">
      <c r="A15" s="747" t="s">
        <v>627</v>
      </c>
      <c r="B15" s="748" t="s">
        <v>628</v>
      </c>
      <c r="C15" s="749">
        <v>0</v>
      </c>
      <c r="D15" s="749">
        <v>0</v>
      </c>
      <c r="E15" s="749">
        <v>0</v>
      </c>
      <c r="F15" s="749">
        <v>0</v>
      </c>
      <c r="G15" s="750"/>
      <c r="H15" s="672">
        <f t="shared" si="0"/>
        <v>0</v>
      </c>
    </row>
    <row r="16" spans="1:8" ht="15" thickBot="1" x14ac:dyDescent="0.4">
      <c r="A16" s="229" t="s">
        <v>629</v>
      </c>
      <c r="B16" s="230" t="s">
        <v>630</v>
      </c>
      <c r="C16" s="231">
        <f>SUM(C9:C15)</f>
        <v>60738645</v>
      </c>
      <c r="D16" s="231">
        <f>SUM(D9:D15)</f>
        <v>56624027</v>
      </c>
      <c r="E16" s="231">
        <f>SUM(E9:E15)</f>
        <v>58492619.890999995</v>
      </c>
      <c r="F16" s="231">
        <f>SUM(F9:F15)</f>
        <v>60247398.487729996</v>
      </c>
      <c r="G16" s="231">
        <f>SUM(G9:G15)</f>
        <v>62054820.442361899</v>
      </c>
      <c r="H16" s="233">
        <f t="shared" si="0"/>
        <v>236102690.37873</v>
      </c>
    </row>
    <row r="17" spans="1:8" ht="20.25" customHeight="1" thickBot="1" x14ac:dyDescent="0.4">
      <c r="A17" s="673" t="s">
        <v>631</v>
      </c>
      <c r="B17" s="235" t="s">
        <v>632</v>
      </c>
      <c r="C17" s="236">
        <f>+C16*0.5</f>
        <v>30369322.5</v>
      </c>
      <c r="D17" s="236">
        <f>+D16*0.5</f>
        <v>28312013.5</v>
      </c>
      <c r="E17" s="236">
        <f>+E16*0.5</f>
        <v>29246309.945499998</v>
      </c>
      <c r="F17" s="237">
        <f>+F16*0.5</f>
        <v>30123699.243864998</v>
      </c>
      <c r="G17" s="237">
        <f>+G16*0.5</f>
        <v>31027410.221180949</v>
      </c>
      <c r="H17" s="233">
        <f t="shared" si="0"/>
        <v>118051345.189365</v>
      </c>
    </row>
    <row r="18" spans="1:8" ht="40.5" customHeight="1" thickBot="1" x14ac:dyDescent="0.4">
      <c r="A18" s="229" t="s">
        <v>633</v>
      </c>
      <c r="B18" s="238">
        <v>10</v>
      </c>
      <c r="C18" s="231">
        <f>SUM(C19:C25)</f>
        <v>0</v>
      </c>
      <c r="D18" s="231">
        <f>SUM(D19:D25)</f>
        <v>0</v>
      </c>
      <c r="E18" s="231">
        <f>SUM(E19:E25)</f>
        <v>0</v>
      </c>
      <c r="F18" s="232">
        <f>SUM(F19:F25)</f>
        <v>0</v>
      </c>
      <c r="G18" s="493"/>
      <c r="H18" s="233">
        <f t="shared" si="0"/>
        <v>0</v>
      </c>
    </row>
    <row r="19" spans="1:8" ht="21" customHeight="1" x14ac:dyDescent="0.35">
      <c r="A19" s="239" t="s">
        <v>634</v>
      </c>
      <c r="B19" s="240">
        <v>11</v>
      </c>
      <c r="C19" s="241">
        <v>0</v>
      </c>
      <c r="D19" s="241">
        <v>0</v>
      </c>
      <c r="E19" s="241">
        <v>0</v>
      </c>
      <c r="F19" s="242">
        <v>0</v>
      </c>
      <c r="G19" s="494"/>
      <c r="H19" s="243">
        <f t="shared" si="0"/>
        <v>0</v>
      </c>
    </row>
    <row r="20" spans="1:8" ht="24.75" customHeight="1" x14ac:dyDescent="0.35">
      <c r="A20" s="220" t="s">
        <v>635</v>
      </c>
      <c r="B20" s="244">
        <v>12</v>
      </c>
      <c r="C20" s="222">
        <v>0</v>
      </c>
      <c r="D20" s="222">
        <v>0</v>
      </c>
      <c r="E20" s="222">
        <v>0</v>
      </c>
      <c r="F20" s="224">
        <v>0</v>
      </c>
      <c r="G20" s="491"/>
      <c r="H20" s="223">
        <f t="shared" si="0"/>
        <v>0</v>
      </c>
    </row>
    <row r="21" spans="1:8" ht="26.25" customHeight="1" x14ac:dyDescent="0.35">
      <c r="A21" s="220" t="s">
        <v>636</v>
      </c>
      <c r="B21" s="244">
        <v>13</v>
      </c>
      <c r="C21" s="222">
        <v>0</v>
      </c>
      <c r="D21" s="222">
        <v>0</v>
      </c>
      <c r="E21" s="222">
        <v>0</v>
      </c>
      <c r="F21" s="224">
        <v>0</v>
      </c>
      <c r="G21" s="491"/>
      <c r="H21" s="223">
        <f t="shared" si="0"/>
        <v>0</v>
      </c>
    </row>
    <row r="22" spans="1:8" x14ac:dyDescent="0.35">
      <c r="A22" s="220" t="s">
        <v>637</v>
      </c>
      <c r="B22" s="244">
        <v>14</v>
      </c>
      <c r="C22" s="222">
        <v>0</v>
      </c>
      <c r="D22" s="222">
        <v>0</v>
      </c>
      <c r="E22" s="222">
        <v>0</v>
      </c>
      <c r="F22" s="224">
        <v>0</v>
      </c>
      <c r="G22" s="491"/>
      <c r="H22" s="223">
        <f t="shared" si="0"/>
        <v>0</v>
      </c>
    </row>
    <row r="23" spans="1:8" x14ac:dyDescent="0.35">
      <c r="A23" s="220" t="s">
        <v>638</v>
      </c>
      <c r="B23" s="244">
        <v>15</v>
      </c>
      <c r="C23" s="222">
        <v>0</v>
      </c>
      <c r="D23" s="222">
        <v>0</v>
      </c>
      <c r="E23" s="222">
        <v>0</v>
      </c>
      <c r="F23" s="224">
        <v>0</v>
      </c>
      <c r="G23" s="491"/>
      <c r="H23" s="223">
        <f t="shared" si="0"/>
        <v>0</v>
      </c>
    </row>
    <row r="24" spans="1:8" x14ac:dyDescent="0.35">
      <c r="A24" s="220" t="s">
        <v>639</v>
      </c>
      <c r="B24" s="244">
        <v>16</v>
      </c>
      <c r="C24" s="222">
        <v>0</v>
      </c>
      <c r="D24" s="222">
        <v>0</v>
      </c>
      <c r="E24" s="222">
        <v>0</v>
      </c>
      <c r="F24" s="224">
        <v>0</v>
      </c>
      <c r="G24" s="491"/>
      <c r="H24" s="223">
        <f t="shared" si="0"/>
        <v>0</v>
      </c>
    </row>
    <row r="25" spans="1:8" ht="27.75" customHeight="1" thickBot="1" x14ac:dyDescent="0.4">
      <c r="A25" s="225" t="s">
        <v>640</v>
      </c>
      <c r="B25" s="245">
        <v>17</v>
      </c>
      <c r="C25" s="226">
        <v>0</v>
      </c>
      <c r="D25" s="226">
        <v>0</v>
      </c>
      <c r="E25" s="226">
        <v>0</v>
      </c>
      <c r="F25" s="227">
        <v>0</v>
      </c>
      <c r="G25" s="492"/>
      <c r="H25" s="228">
        <f t="shared" si="0"/>
        <v>0</v>
      </c>
    </row>
    <row r="26" spans="1:8" ht="45" customHeight="1" thickBot="1" x14ac:dyDescent="0.4">
      <c r="A26" s="229" t="s">
        <v>641</v>
      </c>
      <c r="B26" s="238">
        <v>18</v>
      </c>
      <c r="C26" s="231">
        <f>SUM(C27:C33)</f>
        <v>0</v>
      </c>
      <c r="D26" s="231">
        <f>SUM(D27:D33)</f>
        <v>0</v>
      </c>
      <c r="E26" s="231">
        <f>SUM(E27:E33)</f>
        <v>0</v>
      </c>
      <c r="F26" s="232">
        <f>SUM(F27:F33)</f>
        <v>0</v>
      </c>
      <c r="G26" s="493"/>
      <c r="H26" s="233">
        <f t="shared" si="0"/>
        <v>0</v>
      </c>
    </row>
    <row r="27" spans="1:8" ht="21.75" customHeight="1" x14ac:dyDescent="0.35">
      <c r="A27" s="239" t="s">
        <v>634</v>
      </c>
      <c r="B27" s="240">
        <v>19</v>
      </c>
      <c r="C27" s="241">
        <v>0</v>
      </c>
      <c r="D27" s="241">
        <v>0</v>
      </c>
      <c r="E27" s="241">
        <v>0</v>
      </c>
      <c r="F27" s="242">
        <v>0</v>
      </c>
      <c r="G27" s="494"/>
      <c r="H27" s="243">
        <f t="shared" si="0"/>
        <v>0</v>
      </c>
    </row>
    <row r="28" spans="1:8" ht="25.5" customHeight="1" x14ac:dyDescent="0.35">
      <c r="A28" s="220" t="s">
        <v>635</v>
      </c>
      <c r="B28" s="244">
        <v>20</v>
      </c>
      <c r="C28" s="241">
        <v>0</v>
      </c>
      <c r="D28" s="241">
        <v>0</v>
      </c>
      <c r="E28" s="241">
        <v>0</v>
      </c>
      <c r="F28" s="242">
        <v>0</v>
      </c>
      <c r="G28" s="494"/>
      <c r="H28" s="223">
        <f t="shared" si="0"/>
        <v>0</v>
      </c>
    </row>
    <row r="29" spans="1:8" ht="26.25" customHeight="1" x14ac:dyDescent="0.35">
      <c r="A29" s="220" t="s">
        <v>636</v>
      </c>
      <c r="B29" s="244">
        <v>21</v>
      </c>
      <c r="C29" s="241">
        <v>0</v>
      </c>
      <c r="D29" s="241">
        <v>0</v>
      </c>
      <c r="E29" s="241">
        <v>0</v>
      </c>
      <c r="F29" s="242">
        <v>0</v>
      </c>
      <c r="G29" s="494"/>
      <c r="H29" s="223">
        <f t="shared" si="0"/>
        <v>0</v>
      </c>
    </row>
    <row r="30" spans="1:8" x14ac:dyDescent="0.35">
      <c r="A30" s="220" t="s">
        <v>637</v>
      </c>
      <c r="B30" s="244">
        <v>22</v>
      </c>
      <c r="C30" s="241">
        <v>0</v>
      </c>
      <c r="D30" s="241">
        <v>0</v>
      </c>
      <c r="E30" s="241">
        <v>0</v>
      </c>
      <c r="F30" s="242">
        <v>0</v>
      </c>
      <c r="G30" s="494"/>
      <c r="H30" s="223">
        <f t="shared" si="0"/>
        <v>0</v>
      </c>
    </row>
    <row r="31" spans="1:8" x14ac:dyDescent="0.35">
      <c r="A31" s="220" t="s">
        <v>638</v>
      </c>
      <c r="B31" s="244">
        <v>23</v>
      </c>
      <c r="C31" s="241">
        <v>0</v>
      </c>
      <c r="D31" s="241">
        <v>0</v>
      </c>
      <c r="E31" s="241">
        <v>0</v>
      </c>
      <c r="F31" s="242">
        <v>0</v>
      </c>
      <c r="G31" s="494"/>
      <c r="H31" s="223">
        <f t="shared" si="0"/>
        <v>0</v>
      </c>
    </row>
    <row r="32" spans="1:8" x14ac:dyDescent="0.35">
      <c r="A32" s="220" t="s">
        <v>639</v>
      </c>
      <c r="B32" s="244">
        <v>24</v>
      </c>
      <c r="C32" s="241">
        <v>0</v>
      </c>
      <c r="D32" s="241">
        <v>0</v>
      </c>
      <c r="E32" s="241">
        <v>0</v>
      </c>
      <c r="F32" s="242">
        <v>0</v>
      </c>
      <c r="G32" s="494"/>
      <c r="H32" s="223">
        <f t="shared" si="0"/>
        <v>0</v>
      </c>
    </row>
    <row r="33" spans="1:8" ht="26.25" customHeight="1" thickBot="1" x14ac:dyDescent="0.4">
      <c r="A33" s="225" t="s">
        <v>640</v>
      </c>
      <c r="B33" s="245">
        <v>25</v>
      </c>
      <c r="C33" s="241">
        <v>0</v>
      </c>
      <c r="D33" s="241">
        <v>0</v>
      </c>
      <c r="E33" s="241">
        <v>0</v>
      </c>
      <c r="F33" s="242">
        <v>0</v>
      </c>
      <c r="G33" s="495"/>
      <c r="H33" s="228">
        <f t="shared" si="0"/>
        <v>0</v>
      </c>
    </row>
    <row r="34" spans="1:8" ht="21.5" thickBot="1" x14ac:dyDescent="0.4">
      <c r="A34" s="229" t="s">
        <v>642</v>
      </c>
      <c r="B34" s="238">
        <v>26</v>
      </c>
      <c r="C34" s="231">
        <f>+C18+C26</f>
        <v>0</v>
      </c>
      <c r="D34" s="231">
        <f>+D18+D26</f>
        <v>0</v>
      </c>
      <c r="E34" s="231">
        <f>+E18+E26</f>
        <v>0</v>
      </c>
      <c r="F34" s="232">
        <f>+F18+F26</f>
        <v>0</v>
      </c>
      <c r="G34" s="493"/>
      <c r="H34" s="233">
        <f t="shared" si="0"/>
        <v>0</v>
      </c>
    </row>
    <row r="35" spans="1:8" ht="33.75" customHeight="1" thickBot="1" x14ac:dyDescent="0.4">
      <c r="A35" s="234" t="s">
        <v>643</v>
      </c>
      <c r="B35" s="246">
        <v>27</v>
      </c>
      <c r="C35" s="236">
        <f>+C17-C34</f>
        <v>30369322.5</v>
      </c>
      <c r="D35" s="236">
        <f>+D17-D34</f>
        <v>28312013.5</v>
      </c>
      <c r="E35" s="236">
        <f>+E17-E34</f>
        <v>29246309.945499998</v>
      </c>
      <c r="F35" s="236">
        <f>+F17-F34</f>
        <v>30123699.243864998</v>
      </c>
      <c r="G35" s="236">
        <f>+G17-G34</f>
        <v>31027410.221180949</v>
      </c>
      <c r="H35" s="247">
        <f t="shared" si="0"/>
        <v>118051345.189365</v>
      </c>
    </row>
  </sheetData>
  <mergeCells count="5">
    <mergeCell ref="A3:H3"/>
    <mergeCell ref="A5:A7"/>
    <mergeCell ref="B5:B7"/>
    <mergeCell ref="H5:H7"/>
    <mergeCell ref="C5:G6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0.39997558519241921"/>
  </sheetPr>
  <dimension ref="A1:L14"/>
  <sheetViews>
    <sheetView workbookViewId="0">
      <selection sqref="A1:F2"/>
    </sheetView>
  </sheetViews>
  <sheetFormatPr defaultRowHeight="14.5" x14ac:dyDescent="0.35"/>
  <cols>
    <col min="1" max="1" width="14.54296875" customWidth="1"/>
    <col min="2" max="2" width="18.1796875" customWidth="1"/>
    <col min="3" max="3" width="13.1796875" customWidth="1"/>
  </cols>
  <sheetData>
    <row r="1" spans="1:12" x14ac:dyDescent="0.35">
      <c r="A1" s="1268" t="s">
        <v>1388</v>
      </c>
      <c r="B1" s="1268"/>
      <c r="C1" s="1268"/>
      <c r="D1" s="1268"/>
      <c r="E1" s="1268"/>
      <c r="F1" s="1268"/>
      <c r="G1" s="185"/>
      <c r="H1" s="185"/>
      <c r="I1" s="185"/>
      <c r="J1" s="185"/>
    </row>
    <row r="2" spans="1:12" x14ac:dyDescent="0.35">
      <c r="A2" s="1268"/>
      <c r="B2" s="1268"/>
      <c r="C2" s="1268"/>
      <c r="D2" s="1268"/>
      <c r="E2" s="1268"/>
      <c r="F2" s="1268"/>
      <c r="G2" s="185"/>
      <c r="H2" s="185"/>
      <c r="I2" s="185"/>
      <c r="J2" s="185"/>
    </row>
    <row r="4" spans="1:12" x14ac:dyDescent="0.35">
      <c r="A4" s="1164" t="s">
        <v>651</v>
      </c>
      <c r="B4" s="1164"/>
      <c r="C4" s="1164"/>
      <c r="D4" s="1164"/>
      <c r="E4" s="1164"/>
      <c r="F4" s="1164"/>
      <c r="G4" s="1164"/>
      <c r="H4" s="1164"/>
      <c r="I4" s="1164"/>
      <c r="J4" s="1164"/>
      <c r="K4" s="1164"/>
      <c r="L4" s="1164"/>
    </row>
    <row r="5" spans="1:12" x14ac:dyDescent="0.35">
      <c r="A5" s="1164"/>
      <c r="B5" s="1164"/>
      <c r="C5" s="1164"/>
      <c r="D5" s="1164"/>
      <c r="E5" s="1164"/>
      <c r="F5" s="1164"/>
      <c r="G5" s="1164"/>
      <c r="H5" s="1164"/>
      <c r="I5" s="1164"/>
      <c r="J5" s="1164"/>
      <c r="K5" s="1164"/>
      <c r="L5" s="1164"/>
    </row>
    <row r="8" spans="1:12" x14ac:dyDescent="0.35">
      <c r="A8" s="1474" t="s">
        <v>1</v>
      </c>
      <c r="B8" s="1475" t="s">
        <v>645</v>
      </c>
      <c r="C8" s="1477" t="s">
        <v>646</v>
      </c>
      <c r="D8" s="1479"/>
      <c r="E8" s="1479"/>
      <c r="F8" s="1480"/>
      <c r="G8" s="248"/>
      <c r="H8" s="248"/>
      <c r="I8" s="248"/>
      <c r="J8" s="248"/>
      <c r="K8" s="1481" t="s">
        <v>647</v>
      </c>
      <c r="L8" s="1475" t="s">
        <v>610</v>
      </c>
    </row>
    <row r="9" spans="1:12" ht="48" customHeight="1" x14ac:dyDescent="0.35">
      <c r="A9" s="1474"/>
      <c r="B9" s="1476"/>
      <c r="C9" s="1478"/>
      <c r="D9" s="249">
        <v>2020</v>
      </c>
      <c r="E9" s="250">
        <v>2021</v>
      </c>
      <c r="F9" s="643">
        <v>2022</v>
      </c>
      <c r="G9" s="250">
        <v>2023</v>
      </c>
      <c r="H9" s="643">
        <v>2024</v>
      </c>
      <c r="I9" s="250">
        <v>2025</v>
      </c>
      <c r="J9" s="643">
        <v>2026</v>
      </c>
      <c r="K9" s="1481"/>
      <c r="L9" s="1476"/>
    </row>
    <row r="10" spans="1:12" ht="32.5" x14ac:dyDescent="0.35">
      <c r="A10" s="251"/>
      <c r="B10" s="252" t="s">
        <v>648</v>
      </c>
      <c r="C10" s="253">
        <f>SUM(C8:C8)</f>
        <v>0</v>
      </c>
      <c r="D10" s="254">
        <f>SUM(D8:D8)</f>
        <v>0</v>
      </c>
      <c r="E10" s="254">
        <f>SUM(E8:E8)</f>
        <v>0</v>
      </c>
      <c r="F10" s="254">
        <f>SUM(F8:F8)</f>
        <v>0</v>
      </c>
      <c r="G10" s="254">
        <v>0</v>
      </c>
      <c r="H10" s="254">
        <v>0</v>
      </c>
      <c r="I10" s="254">
        <v>0</v>
      </c>
      <c r="J10" s="254">
        <v>0</v>
      </c>
      <c r="K10" s="254">
        <v>0</v>
      </c>
      <c r="L10" s="254">
        <f>SUM(L8:L8)</f>
        <v>0</v>
      </c>
    </row>
    <row r="11" spans="1:12" x14ac:dyDescent="0.35">
      <c r="A11" s="249">
        <v>1</v>
      </c>
      <c r="B11" s="255"/>
      <c r="C11" s="256">
        <v>0</v>
      </c>
      <c r="D11" s="256">
        <v>0</v>
      </c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/>
      <c r="K11" s="257">
        <v>0</v>
      </c>
      <c r="L11" s="254"/>
    </row>
    <row r="12" spans="1:12" x14ac:dyDescent="0.35">
      <c r="A12" s="249"/>
      <c r="B12" s="255"/>
      <c r="C12" s="256"/>
      <c r="D12" s="256"/>
      <c r="E12" s="256"/>
      <c r="F12" s="256"/>
      <c r="G12" s="256"/>
      <c r="H12" s="256"/>
      <c r="I12" s="256"/>
      <c r="J12" s="256"/>
      <c r="K12" s="257"/>
      <c r="L12" s="254"/>
    </row>
    <row r="13" spans="1:12" ht="32.5" x14ac:dyDescent="0.35">
      <c r="A13" s="251"/>
      <c r="B13" s="252" t="s">
        <v>649</v>
      </c>
      <c r="C13" s="253">
        <f>SUM(C11)</f>
        <v>0</v>
      </c>
      <c r="D13" s="253">
        <f>SUM(D12)</f>
        <v>0</v>
      </c>
      <c r="E13" s="253">
        <f t="shared" ref="E13:L14" si="0">SUM(E12)</f>
        <v>0</v>
      </c>
      <c r="F13" s="253">
        <f t="shared" si="0"/>
        <v>0</v>
      </c>
      <c r="G13" s="253">
        <f t="shared" si="0"/>
        <v>0</v>
      </c>
      <c r="H13" s="253">
        <f t="shared" si="0"/>
        <v>0</v>
      </c>
      <c r="I13" s="253">
        <f t="shared" si="0"/>
        <v>0</v>
      </c>
      <c r="J13" s="253">
        <f t="shared" si="0"/>
        <v>0</v>
      </c>
      <c r="K13" s="254">
        <v>0</v>
      </c>
      <c r="L13" s="253">
        <f t="shared" si="0"/>
        <v>0</v>
      </c>
    </row>
    <row r="14" spans="1:12" x14ac:dyDescent="0.35">
      <c r="A14" s="256"/>
      <c r="B14" s="250" t="s">
        <v>650</v>
      </c>
      <c r="C14" s="253">
        <v>0</v>
      </c>
      <c r="D14" s="253">
        <f>SUM(D13)</f>
        <v>0</v>
      </c>
      <c r="E14" s="253">
        <f t="shared" si="0"/>
        <v>0</v>
      </c>
      <c r="F14" s="253">
        <f t="shared" si="0"/>
        <v>0</v>
      </c>
      <c r="G14" s="253">
        <f t="shared" si="0"/>
        <v>0</v>
      </c>
      <c r="H14" s="253">
        <f t="shared" si="0"/>
        <v>0</v>
      </c>
      <c r="I14" s="253">
        <f t="shared" si="0"/>
        <v>0</v>
      </c>
      <c r="J14" s="253">
        <f t="shared" si="0"/>
        <v>0</v>
      </c>
      <c r="K14" s="253">
        <f t="shared" si="0"/>
        <v>0</v>
      </c>
      <c r="L14" s="253">
        <f t="shared" si="0"/>
        <v>0</v>
      </c>
    </row>
  </sheetData>
  <mergeCells count="8">
    <mergeCell ref="A1:F2"/>
    <mergeCell ref="A4:L5"/>
    <mergeCell ref="A8:A9"/>
    <mergeCell ref="B8:B9"/>
    <mergeCell ref="C8:C9"/>
    <mergeCell ref="D8:F8"/>
    <mergeCell ref="K8:K9"/>
    <mergeCell ref="L8:L9"/>
  </mergeCells>
  <pageMargins left="0.7" right="0.7" top="0.75" bottom="0.75" header="0.3" footer="0.3"/>
  <pageSetup paperSize="8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7B83-FF85-4A10-A730-310E462BEC18}">
  <dimension ref="A1:E29"/>
  <sheetViews>
    <sheetView workbookViewId="0">
      <selection sqref="A1:B1"/>
    </sheetView>
  </sheetViews>
  <sheetFormatPr defaultRowHeight="14.5" x14ac:dyDescent="0.35"/>
  <cols>
    <col min="1" max="1" width="8.1796875" customWidth="1"/>
    <col min="2" max="2" width="41" customWidth="1"/>
    <col min="3" max="5" width="32.81640625" customWidth="1"/>
  </cols>
  <sheetData>
    <row r="1" spans="1:5" s="532" customFormat="1" x14ac:dyDescent="0.35">
      <c r="A1" s="1365" t="s">
        <v>1210</v>
      </c>
      <c r="B1" s="1365"/>
    </row>
    <row r="2" spans="1:5" x14ac:dyDescent="0.35">
      <c r="A2" s="1164" t="s">
        <v>1175</v>
      </c>
      <c r="B2" s="1164"/>
      <c r="C2" s="1164"/>
      <c r="D2" s="1164"/>
      <c r="E2" s="1164"/>
    </row>
    <row r="4" spans="1:5" ht="14.5" customHeight="1" x14ac:dyDescent="0.35">
      <c r="A4" s="1482" t="s">
        <v>1137</v>
      </c>
      <c r="B4" s="1163"/>
      <c r="C4" s="1163"/>
      <c r="D4" s="1163"/>
      <c r="E4" s="1163"/>
    </row>
    <row r="5" spans="1:5" ht="62" customHeight="1" x14ac:dyDescent="0.35">
      <c r="A5" s="1106" t="s">
        <v>1027</v>
      </c>
      <c r="B5" s="1106" t="s">
        <v>386</v>
      </c>
      <c r="C5" s="1106" t="s">
        <v>1138</v>
      </c>
      <c r="D5" s="1106" t="s">
        <v>1139</v>
      </c>
      <c r="E5" s="1106" t="s">
        <v>1140</v>
      </c>
    </row>
    <row r="6" spans="1:5" ht="15.5" x14ac:dyDescent="0.35">
      <c r="A6" s="1106">
        <v>1</v>
      </c>
      <c r="B6" s="1106">
        <v>2</v>
      </c>
      <c r="C6" s="1106">
        <v>3</v>
      </c>
      <c r="D6" s="1106">
        <v>4</v>
      </c>
      <c r="E6" s="1106">
        <v>5</v>
      </c>
    </row>
    <row r="7" spans="1:5" ht="75" customHeight="1" x14ac:dyDescent="0.35">
      <c r="A7" s="1107" t="s">
        <v>616</v>
      </c>
      <c r="B7" s="1108" t="s">
        <v>1141</v>
      </c>
      <c r="C7" s="1109">
        <v>1000000</v>
      </c>
      <c r="D7" s="1109">
        <v>0</v>
      </c>
      <c r="E7" s="1109">
        <v>1000000</v>
      </c>
    </row>
    <row r="8" spans="1:5" ht="62.5" customHeight="1" x14ac:dyDescent="0.35">
      <c r="A8" s="1107" t="s">
        <v>618</v>
      </c>
      <c r="B8" s="1108" t="s">
        <v>1142</v>
      </c>
      <c r="C8" s="1109">
        <v>1347093572</v>
      </c>
      <c r="D8" s="1109">
        <v>0</v>
      </c>
      <c r="E8" s="1109">
        <v>1347093572</v>
      </c>
    </row>
    <row r="9" spans="1:5" ht="100" customHeight="1" x14ac:dyDescent="0.35">
      <c r="A9" s="1107" t="s">
        <v>620</v>
      </c>
      <c r="B9" s="1108" t="s">
        <v>1143</v>
      </c>
      <c r="C9" s="1109">
        <v>23200</v>
      </c>
      <c r="D9" s="1109">
        <v>0</v>
      </c>
      <c r="E9" s="1109">
        <v>23200</v>
      </c>
    </row>
    <row r="10" spans="1:5" ht="169" customHeight="1" x14ac:dyDescent="0.35">
      <c r="A10" s="1110" t="s">
        <v>624</v>
      </c>
      <c r="B10" s="1111" t="s">
        <v>1144</v>
      </c>
      <c r="C10" s="1112">
        <v>1348116772</v>
      </c>
      <c r="D10" s="1112">
        <v>0</v>
      </c>
      <c r="E10" s="1112">
        <v>1348116772</v>
      </c>
    </row>
    <row r="11" spans="1:5" ht="75" customHeight="1" x14ac:dyDescent="0.35">
      <c r="A11" s="1107" t="s">
        <v>632</v>
      </c>
      <c r="B11" s="1108" t="s">
        <v>1145</v>
      </c>
      <c r="C11" s="1109">
        <v>10067630</v>
      </c>
      <c r="D11" s="1109">
        <v>0</v>
      </c>
      <c r="E11" s="1109">
        <v>10067630</v>
      </c>
    </row>
    <row r="12" spans="1:5" ht="112.5" customHeight="1" x14ac:dyDescent="0.35">
      <c r="A12" s="1107" t="s">
        <v>1052</v>
      </c>
      <c r="B12" s="1108" t="s">
        <v>1146</v>
      </c>
      <c r="C12" s="1109">
        <v>234291865</v>
      </c>
      <c r="D12" s="1109">
        <v>0</v>
      </c>
      <c r="E12" s="1109">
        <v>234291865</v>
      </c>
    </row>
    <row r="13" spans="1:5" ht="65" customHeight="1" x14ac:dyDescent="0.35">
      <c r="A13" s="1110" t="s">
        <v>1054</v>
      </c>
      <c r="B13" s="1111" t="s">
        <v>1147</v>
      </c>
      <c r="C13" s="1112">
        <v>244359495</v>
      </c>
      <c r="D13" s="1112">
        <v>0</v>
      </c>
      <c r="E13" s="1112">
        <v>244359495</v>
      </c>
    </row>
    <row r="14" spans="1:5" ht="112.5" customHeight="1" x14ac:dyDescent="0.35">
      <c r="A14" s="1107" t="s">
        <v>1148</v>
      </c>
      <c r="B14" s="1108" t="s">
        <v>1149</v>
      </c>
      <c r="C14" s="1109">
        <v>2971268</v>
      </c>
      <c r="D14" s="1109">
        <v>0</v>
      </c>
      <c r="E14" s="1109">
        <v>2971268</v>
      </c>
    </row>
    <row r="15" spans="1:5" ht="125" customHeight="1" x14ac:dyDescent="0.35">
      <c r="A15" s="1107" t="s">
        <v>1065</v>
      </c>
      <c r="B15" s="1108" t="s">
        <v>1150</v>
      </c>
      <c r="C15" s="1109">
        <v>23606215</v>
      </c>
      <c r="D15" s="1109">
        <v>0</v>
      </c>
      <c r="E15" s="1109">
        <v>23606215</v>
      </c>
    </row>
    <row r="16" spans="1:5" ht="112.5" customHeight="1" x14ac:dyDescent="0.35">
      <c r="A16" s="1107" t="s">
        <v>1092</v>
      </c>
      <c r="B16" s="1108" t="s">
        <v>1151</v>
      </c>
      <c r="C16" s="1109">
        <v>477464</v>
      </c>
      <c r="D16" s="1109">
        <v>0</v>
      </c>
      <c r="E16" s="1109">
        <v>477464</v>
      </c>
    </row>
    <row r="17" spans="1:5" ht="65" customHeight="1" x14ac:dyDescent="0.35">
      <c r="A17" s="1110" t="s">
        <v>1152</v>
      </c>
      <c r="B17" s="1111" t="s">
        <v>1153</v>
      </c>
      <c r="C17" s="1112">
        <v>27054947</v>
      </c>
      <c r="D17" s="1112">
        <v>0</v>
      </c>
      <c r="E17" s="1112">
        <v>27054947</v>
      </c>
    </row>
    <row r="18" spans="1:5" ht="104" customHeight="1" x14ac:dyDescent="0.35">
      <c r="A18" s="1110" t="s">
        <v>1094</v>
      </c>
      <c r="B18" s="1111" t="s">
        <v>1154</v>
      </c>
      <c r="C18" s="1112">
        <v>-786368</v>
      </c>
      <c r="D18" s="1112">
        <v>0</v>
      </c>
      <c r="E18" s="1112">
        <v>-786368</v>
      </c>
    </row>
    <row r="19" spans="1:5" ht="78" customHeight="1" x14ac:dyDescent="0.35">
      <c r="A19" s="1110" t="s">
        <v>1067</v>
      </c>
      <c r="B19" s="1111" t="s">
        <v>1155</v>
      </c>
      <c r="C19" s="1112">
        <v>1618744846</v>
      </c>
      <c r="D19" s="1112">
        <v>0</v>
      </c>
      <c r="E19" s="1112">
        <v>1618744846</v>
      </c>
    </row>
    <row r="20" spans="1:5" ht="112.5" customHeight="1" x14ac:dyDescent="0.35">
      <c r="A20" s="1107" t="s">
        <v>1069</v>
      </c>
      <c r="B20" s="1108" t="s">
        <v>1156</v>
      </c>
      <c r="C20" s="1109">
        <v>738302532</v>
      </c>
      <c r="D20" s="1109">
        <v>0</v>
      </c>
      <c r="E20" s="1109">
        <v>738302532</v>
      </c>
    </row>
    <row r="21" spans="1:5" ht="50" customHeight="1" x14ac:dyDescent="0.35">
      <c r="A21" s="1107" t="s">
        <v>1157</v>
      </c>
      <c r="B21" s="1108" t="s">
        <v>1158</v>
      </c>
      <c r="C21" s="1109">
        <v>43890154</v>
      </c>
      <c r="D21" s="1109">
        <v>0</v>
      </c>
      <c r="E21" s="1109">
        <v>43890154</v>
      </c>
    </row>
    <row r="22" spans="1:5" ht="50" customHeight="1" x14ac:dyDescent="0.35">
      <c r="A22" s="1107" t="s">
        <v>1159</v>
      </c>
      <c r="B22" s="1108" t="s">
        <v>1160</v>
      </c>
      <c r="C22" s="1109">
        <v>-32761214</v>
      </c>
      <c r="D22" s="1109">
        <v>0</v>
      </c>
      <c r="E22" s="1109">
        <v>-32761214</v>
      </c>
    </row>
    <row r="23" spans="1:5" ht="65" customHeight="1" x14ac:dyDescent="0.35">
      <c r="A23" s="1110" t="s">
        <v>1161</v>
      </c>
      <c r="B23" s="1111" t="s">
        <v>1162</v>
      </c>
      <c r="C23" s="1112">
        <v>749431472</v>
      </c>
      <c r="D23" s="1112">
        <v>0</v>
      </c>
      <c r="E23" s="1112">
        <v>749431472</v>
      </c>
    </row>
    <row r="24" spans="1:5" ht="112.5" customHeight="1" x14ac:dyDescent="0.35">
      <c r="A24" s="1107" t="s">
        <v>1163</v>
      </c>
      <c r="B24" s="1108" t="s">
        <v>1164</v>
      </c>
      <c r="C24" s="1109">
        <v>269508</v>
      </c>
      <c r="D24" s="1109">
        <v>0</v>
      </c>
      <c r="E24" s="1109">
        <v>269508</v>
      </c>
    </row>
    <row r="25" spans="1:5" ht="112.5" customHeight="1" x14ac:dyDescent="0.35">
      <c r="A25" s="1107" t="s">
        <v>1165</v>
      </c>
      <c r="B25" s="1108" t="s">
        <v>1166</v>
      </c>
      <c r="C25" s="1109">
        <v>6512239</v>
      </c>
      <c r="D25" s="1109">
        <v>0</v>
      </c>
      <c r="E25" s="1109">
        <v>6512239</v>
      </c>
    </row>
    <row r="26" spans="1:5" ht="125" customHeight="1" x14ac:dyDescent="0.35">
      <c r="A26" s="1107" t="s">
        <v>1167</v>
      </c>
      <c r="B26" s="1108" t="s">
        <v>1168</v>
      </c>
      <c r="C26" s="1109">
        <v>10463923</v>
      </c>
      <c r="D26" s="1109">
        <v>0</v>
      </c>
      <c r="E26" s="1109">
        <v>10463923</v>
      </c>
    </row>
    <row r="27" spans="1:5" ht="78" customHeight="1" x14ac:dyDescent="0.35">
      <c r="A27" s="1110" t="s">
        <v>1169</v>
      </c>
      <c r="B27" s="1111" t="s">
        <v>1170</v>
      </c>
      <c r="C27" s="1112">
        <v>17245670</v>
      </c>
      <c r="D27" s="1112">
        <v>0</v>
      </c>
      <c r="E27" s="1112">
        <v>17245670</v>
      </c>
    </row>
    <row r="28" spans="1:5" ht="104" customHeight="1" x14ac:dyDescent="0.35">
      <c r="A28" s="1110" t="s">
        <v>1171</v>
      </c>
      <c r="B28" s="1111" t="s">
        <v>1172</v>
      </c>
      <c r="C28" s="1112">
        <v>852067704</v>
      </c>
      <c r="D28" s="1112">
        <v>0</v>
      </c>
      <c r="E28" s="1112">
        <v>852067704</v>
      </c>
    </row>
    <row r="29" spans="1:5" ht="78" customHeight="1" x14ac:dyDescent="0.35">
      <c r="A29" s="1110" t="s">
        <v>1173</v>
      </c>
      <c r="B29" s="1111" t="s">
        <v>1174</v>
      </c>
      <c r="C29" s="1112">
        <v>1618744846</v>
      </c>
      <c r="D29" s="1112">
        <v>0</v>
      </c>
      <c r="E29" s="1112">
        <v>1618744846</v>
      </c>
    </row>
  </sheetData>
  <mergeCells count="3">
    <mergeCell ref="A4:E4"/>
    <mergeCell ref="A2:E2"/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P67"/>
  <sheetViews>
    <sheetView view="pageBreakPreview" zoomScale="90" zoomScaleNormal="100" zoomScaleSheetLayoutView="90" workbookViewId="0">
      <selection activeCell="M1" sqref="M1:M1048576"/>
    </sheetView>
  </sheetViews>
  <sheetFormatPr defaultRowHeight="14.5" x14ac:dyDescent="0.35"/>
  <cols>
    <col min="1" max="1" width="13.1796875" customWidth="1"/>
    <col min="2" max="2" width="96.7265625" bestFit="1" customWidth="1"/>
    <col min="3" max="3" width="7" hidden="1" customWidth="1"/>
    <col min="4" max="4" width="11.7265625" hidden="1" customWidth="1"/>
    <col min="5" max="5" width="17.81640625" hidden="1" customWidth="1"/>
    <col min="6" max="6" width="17.453125" hidden="1" customWidth="1"/>
    <col min="7" max="7" width="15.54296875" style="36" hidden="1" customWidth="1"/>
    <col min="8" max="8" width="20.7265625" style="36" customWidth="1"/>
    <col min="9" max="9" width="17.26953125" hidden="1" customWidth="1"/>
    <col min="10" max="10" width="16.7265625" hidden="1" customWidth="1"/>
    <col min="11" max="11" width="20.54296875" hidden="1" customWidth="1"/>
    <col min="12" max="12" width="23" hidden="1" customWidth="1"/>
    <col min="13" max="13" width="16.453125" hidden="1" customWidth="1"/>
    <col min="14" max="14" width="16.54296875" customWidth="1"/>
    <col min="15" max="15" width="17.26953125" customWidth="1"/>
  </cols>
  <sheetData>
    <row r="1" spans="1:16" x14ac:dyDescent="0.35">
      <c r="A1" t="s">
        <v>899</v>
      </c>
    </row>
    <row r="3" spans="1:16" x14ac:dyDescent="0.35">
      <c r="B3" s="1156" t="s">
        <v>1016</v>
      </c>
      <c r="C3" s="1156"/>
      <c r="D3" s="1156"/>
      <c r="E3" s="1156"/>
      <c r="F3" s="1156"/>
      <c r="G3" s="1156"/>
      <c r="H3" s="644"/>
    </row>
    <row r="4" spans="1:16" x14ac:dyDescent="0.35">
      <c r="A4" s="15"/>
      <c r="B4" s="154" t="s">
        <v>1017</v>
      </c>
      <c r="C4" s="154"/>
      <c r="D4" s="154"/>
      <c r="E4" s="154"/>
      <c r="F4" s="154"/>
    </row>
    <row r="6" spans="1:16" ht="17.25" customHeight="1" x14ac:dyDescent="0.35">
      <c r="A6" s="1150" t="s">
        <v>1015</v>
      </c>
      <c r="B6" s="1151"/>
      <c r="C6" s="1151"/>
      <c r="D6" s="1151"/>
      <c r="E6" s="1151"/>
      <c r="F6" s="1151"/>
      <c r="G6" s="1151"/>
      <c r="H6" s="1152"/>
    </row>
    <row r="7" spans="1:16" ht="15" thickBot="1" x14ac:dyDescent="0.4">
      <c r="A7" s="1153"/>
      <c r="B7" s="1154"/>
      <c r="C7" s="1154"/>
      <c r="D7" s="1154"/>
      <c r="E7" s="1154"/>
      <c r="F7" s="1154"/>
      <c r="G7" s="1154"/>
      <c r="H7" s="1155"/>
    </row>
    <row r="8" spans="1:16" x14ac:dyDescent="0.35">
      <c r="A8" s="16"/>
      <c r="B8" s="16"/>
      <c r="C8" s="16"/>
      <c r="D8" s="16"/>
      <c r="E8" s="16"/>
      <c r="F8" s="16"/>
      <c r="G8" s="294"/>
      <c r="H8" s="294"/>
    </row>
    <row r="9" spans="1:16" x14ac:dyDescent="0.35">
      <c r="A9" s="1159" t="s">
        <v>161</v>
      </c>
      <c r="B9" s="1145" t="s">
        <v>162</v>
      </c>
      <c r="C9" s="1145" t="s">
        <v>163</v>
      </c>
      <c r="D9" s="1145"/>
      <c r="E9" s="1145"/>
      <c r="F9" s="1145"/>
      <c r="G9" s="1145"/>
      <c r="H9" s="1145"/>
      <c r="I9" s="1145"/>
      <c r="J9" s="1145"/>
      <c r="K9" s="1145"/>
      <c r="L9" s="1145"/>
      <c r="M9" s="1145"/>
      <c r="N9" s="1145"/>
      <c r="O9" s="1145"/>
      <c r="P9" s="1145"/>
    </row>
    <row r="10" spans="1:16" x14ac:dyDescent="0.35">
      <c r="A10" s="1159"/>
      <c r="B10" s="1145"/>
      <c r="C10" s="17" t="s">
        <v>164</v>
      </c>
      <c r="D10" s="17" t="s">
        <v>165</v>
      </c>
      <c r="E10" s="17"/>
      <c r="F10" s="17"/>
      <c r="G10" s="520" t="s">
        <v>166</v>
      </c>
      <c r="H10" s="1146" t="s">
        <v>166</v>
      </c>
      <c r="I10" s="1146"/>
      <c r="J10" s="1146"/>
      <c r="K10" s="1146"/>
      <c r="L10" s="1146"/>
      <c r="M10" s="1146"/>
      <c r="N10" s="1146"/>
      <c r="O10" s="1146"/>
      <c r="P10" s="1146"/>
    </row>
    <row r="11" spans="1:16" ht="15" customHeight="1" x14ac:dyDescent="0.35">
      <c r="A11" s="1159"/>
      <c r="B11" s="1145"/>
      <c r="C11" s="482" t="s">
        <v>167</v>
      </c>
      <c r="D11" s="482"/>
      <c r="E11" s="1161" t="s">
        <v>826</v>
      </c>
      <c r="F11" s="1161" t="s">
        <v>827</v>
      </c>
      <c r="G11" s="1161" t="s">
        <v>812</v>
      </c>
      <c r="H11" s="1161" t="s">
        <v>925</v>
      </c>
      <c r="I11" s="1149" t="s">
        <v>868</v>
      </c>
      <c r="J11" s="1149" t="s">
        <v>869</v>
      </c>
      <c r="K11" s="1149" t="s">
        <v>867</v>
      </c>
      <c r="L11" s="1142" t="s">
        <v>858</v>
      </c>
      <c r="M11" s="1147" t="s">
        <v>1023</v>
      </c>
      <c r="N11" s="1147" t="s">
        <v>679</v>
      </c>
      <c r="O11" s="1148" t="s">
        <v>673</v>
      </c>
      <c r="P11" s="1"/>
    </row>
    <row r="12" spans="1:16" x14ac:dyDescent="0.35">
      <c r="A12" s="1159"/>
      <c r="B12" s="1145"/>
      <c r="C12" s="482"/>
      <c r="D12" s="482"/>
      <c r="E12" s="1161"/>
      <c r="F12" s="1161"/>
      <c r="G12" s="1161"/>
      <c r="H12" s="1161"/>
      <c r="I12" s="1149"/>
      <c r="J12" s="1149"/>
      <c r="K12" s="1149"/>
      <c r="L12" s="1142"/>
      <c r="M12" s="1147"/>
      <c r="N12" s="1147"/>
      <c r="O12" s="1148"/>
      <c r="P12" s="1"/>
    </row>
    <row r="13" spans="1:16" x14ac:dyDescent="0.35">
      <c r="A13" s="1159"/>
      <c r="B13" s="1145"/>
      <c r="C13" s="482"/>
      <c r="D13" s="482"/>
      <c r="E13" s="1161"/>
      <c r="F13" s="1161"/>
      <c r="G13" s="1161"/>
      <c r="H13" s="1161"/>
      <c r="I13" s="1149"/>
      <c r="J13" s="1149"/>
      <c r="K13" s="1149"/>
      <c r="L13" s="1142"/>
      <c r="M13" s="1147"/>
      <c r="N13" s="1147"/>
      <c r="O13" s="1148"/>
      <c r="P13" s="1"/>
    </row>
    <row r="14" spans="1:16" hidden="1" x14ac:dyDescent="0.35">
      <c r="A14" s="18" t="s">
        <v>168</v>
      </c>
      <c r="B14" s="19" t="s">
        <v>169</v>
      </c>
      <c r="C14" s="20">
        <v>6.12</v>
      </c>
      <c r="D14" s="21" t="s">
        <v>170</v>
      </c>
      <c r="E14" s="21"/>
      <c r="F14" s="21"/>
      <c r="G14" s="295">
        <v>28029600</v>
      </c>
      <c r="H14" s="295">
        <v>28029600</v>
      </c>
      <c r="I14" s="1"/>
      <c r="J14" s="1"/>
      <c r="K14" s="1"/>
      <c r="L14" s="1"/>
      <c r="M14" s="1"/>
      <c r="N14" s="1"/>
      <c r="O14" s="1"/>
      <c r="P14" s="1"/>
    </row>
    <row r="15" spans="1:16" hidden="1" x14ac:dyDescent="0.35">
      <c r="A15" s="19" t="s">
        <v>171</v>
      </c>
      <c r="B15" s="19" t="s">
        <v>172</v>
      </c>
      <c r="C15" s="22"/>
      <c r="D15" s="22"/>
      <c r="E15" s="22"/>
      <c r="F15" s="22"/>
      <c r="G15" s="295">
        <f>SUM(G16:G19)</f>
        <v>9339980</v>
      </c>
      <c r="H15" s="295">
        <f>SUM(H16:H19)</f>
        <v>9339980</v>
      </c>
      <c r="I15" s="1"/>
      <c r="J15" s="1"/>
      <c r="K15" s="1"/>
      <c r="L15" s="1"/>
      <c r="M15" s="1"/>
      <c r="N15" s="1"/>
      <c r="O15" s="1"/>
      <c r="P15" s="1"/>
    </row>
    <row r="16" spans="1:16" hidden="1" x14ac:dyDescent="0.35">
      <c r="A16" s="23" t="s">
        <v>173</v>
      </c>
      <c r="B16" s="24" t="s">
        <v>174</v>
      </c>
      <c r="C16" s="22"/>
      <c r="D16" s="22"/>
      <c r="E16" s="22"/>
      <c r="F16" s="22"/>
      <c r="G16" s="296">
        <v>2854400</v>
      </c>
      <c r="H16" s="296">
        <v>2854400</v>
      </c>
      <c r="I16" s="1"/>
      <c r="J16" s="1"/>
      <c r="K16" s="1"/>
      <c r="L16" s="1"/>
      <c r="M16" s="1"/>
      <c r="N16" s="1"/>
      <c r="O16" s="1"/>
      <c r="P16" s="1"/>
    </row>
    <row r="17" spans="1:16" hidden="1" x14ac:dyDescent="0.35">
      <c r="A17" s="25" t="s">
        <v>175</v>
      </c>
      <c r="B17" s="24" t="s">
        <v>176</v>
      </c>
      <c r="C17" s="22"/>
      <c r="D17" s="22"/>
      <c r="E17" s="22"/>
      <c r="F17" s="22"/>
      <c r="G17" s="297">
        <v>4320000</v>
      </c>
      <c r="H17" s="297">
        <v>4320000</v>
      </c>
      <c r="I17" s="1"/>
      <c r="J17" s="1"/>
      <c r="K17" s="1"/>
      <c r="L17" s="1"/>
      <c r="M17" s="1"/>
      <c r="N17" s="1"/>
      <c r="O17" s="1"/>
      <c r="P17" s="1"/>
    </row>
    <row r="18" spans="1:16" hidden="1" x14ac:dyDescent="0.35">
      <c r="A18" s="25" t="s">
        <v>177</v>
      </c>
      <c r="B18" s="24" t="s">
        <v>178</v>
      </c>
      <c r="C18" s="22"/>
      <c r="D18" s="22"/>
      <c r="E18" s="22"/>
      <c r="F18" s="22"/>
      <c r="G18" s="297">
        <v>0</v>
      </c>
      <c r="H18" s="297">
        <v>0</v>
      </c>
      <c r="I18" s="1"/>
      <c r="J18" s="1"/>
      <c r="K18" s="1"/>
      <c r="L18" s="1"/>
      <c r="M18" s="1"/>
      <c r="N18" s="1"/>
      <c r="O18" s="1"/>
      <c r="P18" s="1"/>
    </row>
    <row r="19" spans="1:16" hidden="1" x14ac:dyDescent="0.35">
      <c r="A19" s="25" t="s">
        <v>179</v>
      </c>
      <c r="B19" s="24" t="s">
        <v>180</v>
      </c>
      <c r="C19" s="22"/>
      <c r="D19" s="22"/>
      <c r="E19" s="22"/>
      <c r="F19" s="22"/>
      <c r="G19" s="297">
        <v>2165580</v>
      </c>
      <c r="H19" s="297">
        <v>2165580</v>
      </c>
      <c r="I19" s="1"/>
      <c r="J19" s="1"/>
      <c r="K19" s="1"/>
      <c r="L19" s="1"/>
      <c r="M19" s="1"/>
      <c r="N19" s="1"/>
      <c r="O19" s="1"/>
      <c r="P19" s="1"/>
    </row>
    <row r="20" spans="1:16" hidden="1" x14ac:dyDescent="0.35">
      <c r="A20" s="19" t="s">
        <v>181</v>
      </c>
      <c r="B20" s="26" t="s">
        <v>182</v>
      </c>
      <c r="C20" s="22"/>
      <c r="D20" s="22"/>
      <c r="E20" s="22"/>
      <c r="F20" s="22"/>
      <c r="G20" s="295">
        <v>345017</v>
      </c>
      <c r="H20" s="295">
        <v>345017</v>
      </c>
      <c r="I20" s="1"/>
      <c r="J20" s="1"/>
      <c r="K20" s="1"/>
      <c r="L20" s="1"/>
      <c r="M20" s="1"/>
      <c r="N20" s="1"/>
      <c r="O20" s="1"/>
      <c r="P20" s="1"/>
    </row>
    <row r="21" spans="1:16" hidden="1" x14ac:dyDescent="0.35">
      <c r="A21" s="19" t="s">
        <v>183</v>
      </c>
      <c r="B21" s="26" t="s">
        <v>184</v>
      </c>
      <c r="C21" s="22"/>
      <c r="D21" s="22"/>
      <c r="E21" s="22"/>
      <c r="F21" s="22"/>
      <c r="G21" s="295">
        <v>336600</v>
      </c>
      <c r="H21" s="295">
        <v>336600</v>
      </c>
      <c r="I21" s="1"/>
      <c r="J21" s="1"/>
      <c r="K21" s="1"/>
      <c r="L21" s="1"/>
      <c r="M21" s="1"/>
      <c r="N21" s="1"/>
      <c r="O21" s="1"/>
      <c r="P21" s="1"/>
    </row>
    <row r="22" spans="1:16" hidden="1" x14ac:dyDescent="0.35">
      <c r="A22" s="19" t="s">
        <v>185</v>
      </c>
      <c r="B22" s="26" t="s">
        <v>186</v>
      </c>
      <c r="C22" s="22"/>
      <c r="D22" s="22"/>
      <c r="E22" s="22"/>
      <c r="F22" s="22"/>
      <c r="G22" s="295">
        <v>119700</v>
      </c>
      <c r="H22" s="295">
        <v>119700</v>
      </c>
      <c r="I22" s="1"/>
      <c r="J22" s="1"/>
      <c r="K22" s="1"/>
      <c r="L22" s="1"/>
      <c r="M22" s="1"/>
      <c r="N22" s="1"/>
      <c r="O22" s="1"/>
      <c r="P22" s="1"/>
    </row>
    <row r="23" spans="1:16" hidden="1" x14ac:dyDescent="0.35">
      <c r="A23" s="19"/>
      <c r="B23" s="26" t="s">
        <v>234</v>
      </c>
      <c r="C23" s="22"/>
      <c r="D23" s="22"/>
      <c r="E23" s="22"/>
      <c r="F23" s="22"/>
      <c r="G23" s="428">
        <v>1041000</v>
      </c>
      <c r="H23" s="428">
        <v>1041000</v>
      </c>
      <c r="I23" s="1"/>
      <c r="J23" s="1"/>
      <c r="K23" s="1"/>
      <c r="L23" s="1"/>
      <c r="M23" s="1"/>
      <c r="N23" s="1"/>
      <c r="O23" s="1"/>
      <c r="P23" s="1"/>
    </row>
    <row r="24" spans="1:16" hidden="1" x14ac:dyDescent="0.35">
      <c r="A24" s="19"/>
      <c r="B24" s="26" t="s">
        <v>235</v>
      </c>
      <c r="C24" s="22"/>
      <c r="D24" s="22"/>
      <c r="E24" s="22"/>
      <c r="F24" s="22"/>
      <c r="G24" s="295"/>
      <c r="H24" s="295"/>
      <c r="I24" s="1"/>
      <c r="J24" s="1"/>
      <c r="K24" s="1"/>
      <c r="L24" s="1"/>
      <c r="M24" s="1"/>
      <c r="N24" s="1"/>
      <c r="O24" s="1"/>
      <c r="P24" s="1"/>
    </row>
    <row r="25" spans="1:16" x14ac:dyDescent="0.35">
      <c r="A25" s="875" t="s">
        <v>187</v>
      </c>
      <c r="B25" s="304" t="s">
        <v>188</v>
      </c>
      <c r="C25" s="281"/>
      <c r="D25" s="281"/>
      <c r="E25" s="483">
        <v>41937075</v>
      </c>
      <c r="F25" s="483">
        <v>41937075</v>
      </c>
      <c r="G25" s="298">
        <v>39143297</v>
      </c>
      <c r="H25" s="298">
        <v>42234412</v>
      </c>
      <c r="I25" s="1"/>
      <c r="J25" s="400">
        <f>G25+I25</f>
        <v>39143297</v>
      </c>
      <c r="K25" s="598">
        <v>35065900</v>
      </c>
      <c r="L25" s="261">
        <f>K25/J25</f>
        <v>0.89583409389352153</v>
      </c>
      <c r="M25" s="400">
        <f>N25-H25</f>
        <v>5818134</v>
      </c>
      <c r="N25" s="888">
        <v>48052546</v>
      </c>
      <c r="O25" s="888">
        <v>48052546</v>
      </c>
      <c r="P25" s="1"/>
    </row>
    <row r="26" spans="1:16" hidden="1" x14ac:dyDescent="0.35">
      <c r="A26" s="1160" t="s">
        <v>189</v>
      </c>
      <c r="B26" s="282" t="s">
        <v>190</v>
      </c>
      <c r="C26" s="283">
        <v>5.8</v>
      </c>
      <c r="D26" s="284">
        <v>4419000</v>
      </c>
      <c r="E26" s="484">
        <v>17086800</v>
      </c>
      <c r="F26" s="484"/>
      <c r="G26" s="299">
        <v>17486000</v>
      </c>
      <c r="H26" s="299">
        <v>17486000</v>
      </c>
      <c r="I26" s="1"/>
      <c r="J26" s="400">
        <f t="shared" ref="J26:J65" si="0">G26+I26</f>
        <v>17486000</v>
      </c>
      <c r="K26" s="1"/>
      <c r="L26" s="261">
        <f t="shared" ref="L26:L65" si="1">K26/J26</f>
        <v>0</v>
      </c>
      <c r="M26" s="400">
        <f t="shared" ref="M26:M51" si="2">N26-H26</f>
        <v>-17486000</v>
      </c>
      <c r="N26" s="1"/>
      <c r="O26" s="1"/>
      <c r="P26" s="1"/>
    </row>
    <row r="27" spans="1:16" hidden="1" x14ac:dyDescent="0.35">
      <c r="A27" s="1160"/>
      <c r="B27" s="282" t="s">
        <v>191</v>
      </c>
      <c r="C27" s="283">
        <v>5.7</v>
      </c>
      <c r="D27" s="284">
        <v>4419000</v>
      </c>
      <c r="E27" s="484">
        <v>8396100</v>
      </c>
      <c r="F27" s="484"/>
      <c r="G27" s="299">
        <v>8014417</v>
      </c>
      <c r="H27" s="299">
        <v>8014417</v>
      </c>
      <c r="I27" s="1"/>
      <c r="J27" s="400">
        <f t="shared" si="0"/>
        <v>8014417</v>
      </c>
      <c r="K27" s="1"/>
      <c r="L27" s="261">
        <f t="shared" si="1"/>
        <v>0</v>
      </c>
      <c r="M27" s="400">
        <f t="shared" si="2"/>
        <v>-8014417</v>
      </c>
      <c r="N27" s="1"/>
      <c r="O27" s="1"/>
      <c r="P27" s="1"/>
    </row>
    <row r="28" spans="1:16" hidden="1" x14ac:dyDescent="0.35">
      <c r="A28" s="1160"/>
      <c r="B28" s="282"/>
      <c r="C28" s="285"/>
      <c r="D28" s="285"/>
      <c r="E28" s="484"/>
      <c r="F28" s="484"/>
      <c r="G28" s="299"/>
      <c r="H28" s="299"/>
      <c r="I28" s="1"/>
      <c r="J28" s="400">
        <f t="shared" si="0"/>
        <v>0</v>
      </c>
      <c r="K28" s="1"/>
      <c r="L28" s="261" t="e">
        <f t="shared" si="1"/>
        <v>#DIV/0!</v>
      </c>
      <c r="M28" s="400">
        <f t="shared" si="2"/>
        <v>0</v>
      </c>
      <c r="N28" s="1"/>
      <c r="O28" s="1"/>
      <c r="P28" s="1"/>
    </row>
    <row r="29" spans="1:16" hidden="1" x14ac:dyDescent="0.35">
      <c r="A29" s="1160"/>
      <c r="B29" s="282" t="s">
        <v>192</v>
      </c>
      <c r="C29" s="283">
        <v>4</v>
      </c>
      <c r="D29" s="284">
        <v>2205000</v>
      </c>
      <c r="E29" s="484">
        <v>5880000</v>
      </c>
      <c r="F29" s="484"/>
      <c r="G29" s="299">
        <v>5880000</v>
      </c>
      <c r="H29" s="299">
        <v>5880000</v>
      </c>
      <c r="I29" s="1"/>
      <c r="J29" s="400">
        <f t="shared" si="0"/>
        <v>5880000</v>
      </c>
      <c r="K29" s="1"/>
      <c r="L29" s="261">
        <f t="shared" si="1"/>
        <v>0</v>
      </c>
      <c r="M29" s="400">
        <f t="shared" si="2"/>
        <v>-5880000</v>
      </c>
      <c r="N29" s="1"/>
      <c r="O29" s="1"/>
      <c r="P29" s="1"/>
    </row>
    <row r="30" spans="1:16" hidden="1" x14ac:dyDescent="0.35">
      <c r="A30" s="1160"/>
      <c r="B30" s="282" t="s">
        <v>193</v>
      </c>
      <c r="C30" s="283">
        <v>4</v>
      </c>
      <c r="D30" s="284">
        <v>2205000</v>
      </c>
      <c r="E30" s="484">
        <v>2940000</v>
      </c>
      <c r="F30" s="484"/>
      <c r="G30" s="299">
        <v>2940000</v>
      </c>
      <c r="H30" s="299">
        <v>2940000</v>
      </c>
      <c r="I30" s="1"/>
      <c r="J30" s="400">
        <f t="shared" si="0"/>
        <v>2940000</v>
      </c>
      <c r="K30" s="1"/>
      <c r="L30" s="261">
        <f t="shared" si="1"/>
        <v>0</v>
      </c>
      <c r="M30" s="400">
        <f t="shared" si="2"/>
        <v>-2940000</v>
      </c>
      <c r="N30" s="1"/>
      <c r="O30" s="1"/>
      <c r="P30" s="1"/>
    </row>
    <row r="31" spans="1:16" hidden="1" x14ac:dyDescent="0.35">
      <c r="A31" s="1160"/>
      <c r="B31" s="27" t="s">
        <v>194</v>
      </c>
      <c r="C31" s="32"/>
      <c r="D31" s="32"/>
      <c r="E31" s="485">
        <v>34302900</v>
      </c>
      <c r="F31" s="485"/>
      <c r="G31" s="300">
        <f>SUM(G26:G30)</f>
        <v>34320417</v>
      </c>
      <c r="H31" s="300">
        <f>SUM(H26:H30)</f>
        <v>34320417</v>
      </c>
      <c r="I31" s="1"/>
      <c r="J31" s="400">
        <f t="shared" si="0"/>
        <v>34320417</v>
      </c>
      <c r="K31" s="1"/>
      <c r="L31" s="261">
        <f t="shared" si="1"/>
        <v>0</v>
      </c>
      <c r="M31" s="400">
        <f t="shared" si="2"/>
        <v>-34320417</v>
      </c>
      <c r="N31" s="1"/>
      <c r="O31" s="1"/>
      <c r="P31" s="1"/>
    </row>
    <row r="32" spans="1:16" hidden="1" x14ac:dyDescent="0.35">
      <c r="A32" s="1160" t="s">
        <v>195</v>
      </c>
      <c r="B32" s="282" t="s">
        <v>196</v>
      </c>
      <c r="C32" s="283">
        <v>60</v>
      </c>
      <c r="D32" s="284">
        <v>81700</v>
      </c>
      <c r="E32" s="484">
        <v>3268000</v>
      </c>
      <c r="F32" s="484"/>
      <c r="G32" s="299">
        <v>4025867</v>
      </c>
      <c r="H32" s="299">
        <v>4025867</v>
      </c>
      <c r="I32" s="1"/>
      <c r="J32" s="400">
        <f t="shared" si="0"/>
        <v>4025867</v>
      </c>
      <c r="K32" s="1"/>
      <c r="L32" s="261">
        <f t="shared" si="1"/>
        <v>0</v>
      </c>
      <c r="M32" s="400">
        <f t="shared" si="2"/>
        <v>-4025867</v>
      </c>
      <c r="N32" s="1"/>
      <c r="O32" s="1"/>
      <c r="P32" s="1"/>
    </row>
    <row r="33" spans="1:16" hidden="1" x14ac:dyDescent="0.35">
      <c r="A33" s="1160"/>
      <c r="B33" s="282" t="s">
        <v>197</v>
      </c>
      <c r="C33" s="283">
        <v>59</v>
      </c>
      <c r="D33" s="284">
        <v>81700</v>
      </c>
      <c r="E33" s="484">
        <v>1606057</v>
      </c>
      <c r="F33" s="484"/>
      <c r="G33" s="299">
        <v>1818133</v>
      </c>
      <c r="H33" s="299">
        <v>1818133</v>
      </c>
      <c r="I33" s="1"/>
      <c r="J33" s="400">
        <f t="shared" si="0"/>
        <v>1818133</v>
      </c>
      <c r="K33" s="1"/>
      <c r="L33" s="261">
        <f t="shared" si="1"/>
        <v>0</v>
      </c>
      <c r="M33" s="400">
        <f t="shared" si="2"/>
        <v>-1818133</v>
      </c>
      <c r="N33" s="1"/>
      <c r="O33" s="1"/>
      <c r="P33" s="1"/>
    </row>
    <row r="34" spans="1:16" hidden="1" x14ac:dyDescent="0.35">
      <c r="A34" s="1160"/>
      <c r="B34" s="286" t="s">
        <v>198</v>
      </c>
      <c r="C34" s="287"/>
      <c r="D34" s="287"/>
      <c r="E34" s="486">
        <v>4874057</v>
      </c>
      <c r="F34" s="486"/>
      <c r="G34" s="300">
        <f>SUM(G32:G33)</f>
        <v>5844000</v>
      </c>
      <c r="H34" s="300">
        <f>SUM(H32:H33)</f>
        <v>5844000</v>
      </c>
      <c r="I34" s="1"/>
      <c r="J34" s="400">
        <f t="shared" si="0"/>
        <v>5844000</v>
      </c>
      <c r="K34" s="1"/>
      <c r="L34" s="261">
        <f t="shared" si="1"/>
        <v>0</v>
      </c>
      <c r="M34" s="400">
        <f t="shared" si="2"/>
        <v>-5844000</v>
      </c>
      <c r="N34" s="1"/>
      <c r="O34" s="1"/>
      <c r="P34" s="1"/>
    </row>
    <row r="35" spans="1:16" hidden="1" x14ac:dyDescent="0.35">
      <c r="A35" s="878" t="s">
        <v>199</v>
      </c>
      <c r="B35" s="27" t="s">
        <v>200</v>
      </c>
      <c r="C35" s="287"/>
      <c r="D35" s="287"/>
      <c r="E35" s="486">
        <v>1203000</v>
      </c>
      <c r="F35" s="486"/>
      <c r="G35" s="300">
        <f>SUM(G36:G37)</f>
        <v>1190100</v>
      </c>
      <c r="H35" s="300">
        <f>SUM(H36:H37)</f>
        <v>1190100</v>
      </c>
      <c r="I35" s="1"/>
      <c r="J35" s="400">
        <f t="shared" si="0"/>
        <v>1190100</v>
      </c>
      <c r="K35" s="1"/>
      <c r="L35" s="261">
        <f t="shared" si="1"/>
        <v>0</v>
      </c>
      <c r="M35" s="400">
        <f t="shared" si="2"/>
        <v>-1190100</v>
      </c>
      <c r="N35" s="1"/>
      <c r="O35" s="1"/>
      <c r="P35" s="1"/>
    </row>
    <row r="36" spans="1:16" hidden="1" x14ac:dyDescent="0.35">
      <c r="A36" s="878"/>
      <c r="B36" s="27" t="s">
        <v>201</v>
      </c>
      <c r="C36" s="28">
        <v>3</v>
      </c>
      <c r="D36" s="29">
        <v>401000</v>
      </c>
      <c r="E36" s="487">
        <v>1203000</v>
      </c>
      <c r="F36" s="487"/>
      <c r="G36" s="301">
        <v>1190100</v>
      </c>
      <c r="H36" s="301">
        <v>1190100</v>
      </c>
      <c r="I36" s="1"/>
      <c r="J36" s="400">
        <f t="shared" si="0"/>
        <v>1190100</v>
      </c>
      <c r="K36" s="1"/>
      <c r="L36" s="261">
        <f t="shared" si="1"/>
        <v>0</v>
      </c>
      <c r="M36" s="400">
        <f t="shared" si="2"/>
        <v>-1190100</v>
      </c>
      <c r="N36" s="1"/>
      <c r="O36" s="1"/>
      <c r="P36" s="1"/>
    </row>
    <row r="37" spans="1:16" hidden="1" x14ac:dyDescent="0.35">
      <c r="A37" s="878"/>
      <c r="B37" s="27" t="s">
        <v>202</v>
      </c>
      <c r="C37" s="28"/>
      <c r="D37" s="29"/>
      <c r="E37" s="487"/>
      <c r="F37" s="487"/>
      <c r="G37" s="301"/>
      <c r="H37" s="301"/>
      <c r="I37" s="1"/>
      <c r="J37" s="400">
        <f t="shared" si="0"/>
        <v>0</v>
      </c>
      <c r="K37" s="1"/>
      <c r="L37" s="261" t="e">
        <f t="shared" si="1"/>
        <v>#DIV/0!</v>
      </c>
      <c r="M37" s="400">
        <f t="shared" si="2"/>
        <v>0</v>
      </c>
      <c r="N37" s="1"/>
      <c r="O37" s="1"/>
      <c r="P37" s="1"/>
    </row>
    <row r="38" spans="1:16" ht="37.5" customHeight="1" x14ac:dyDescent="0.35">
      <c r="A38" s="30" t="s">
        <v>203</v>
      </c>
      <c r="B38" s="31" t="s">
        <v>204</v>
      </c>
      <c r="C38" s="32"/>
      <c r="D38" s="32"/>
      <c r="E38" s="485">
        <v>40379957</v>
      </c>
      <c r="F38" s="485">
        <v>40379957</v>
      </c>
      <c r="G38" s="302">
        <f>SUM(G31,G34,G35,G39)</f>
        <v>43043517</v>
      </c>
      <c r="H38" s="302">
        <f>51762350-2434800</f>
        <v>49327550</v>
      </c>
      <c r="I38" s="1"/>
      <c r="J38" s="400">
        <f t="shared" si="0"/>
        <v>43043517</v>
      </c>
      <c r="K38" s="598">
        <v>37341253</v>
      </c>
      <c r="L38" s="261">
        <f t="shared" si="1"/>
        <v>0.86752327882500868</v>
      </c>
      <c r="M38" s="400">
        <f t="shared" si="2"/>
        <v>6655130</v>
      </c>
      <c r="N38" s="888">
        <v>55982680</v>
      </c>
      <c r="O38" s="888">
        <v>55982680</v>
      </c>
      <c r="P38" s="1"/>
    </row>
    <row r="39" spans="1:16" hidden="1" x14ac:dyDescent="0.35">
      <c r="A39" s="878" t="s">
        <v>926</v>
      </c>
      <c r="B39" s="27" t="s">
        <v>846</v>
      </c>
      <c r="C39" s="28"/>
      <c r="D39" s="29"/>
      <c r="E39" s="487"/>
      <c r="F39" s="487"/>
      <c r="G39" s="301">
        <v>1689000</v>
      </c>
      <c r="H39" s="301">
        <f>3*811600</f>
        <v>2434800</v>
      </c>
      <c r="I39" s="1"/>
      <c r="J39" s="400">
        <f>G39+I39</f>
        <v>1689000</v>
      </c>
      <c r="K39" s="1"/>
      <c r="L39" s="261">
        <f>K39/J39</f>
        <v>0</v>
      </c>
      <c r="M39" s="400">
        <f t="shared" si="2"/>
        <v>-2434800</v>
      </c>
      <c r="N39" s="1"/>
      <c r="O39" s="1"/>
      <c r="P39" s="1"/>
    </row>
    <row r="40" spans="1:16" hidden="1" x14ac:dyDescent="0.35">
      <c r="A40" s="33" t="s">
        <v>205</v>
      </c>
      <c r="B40" s="304" t="s">
        <v>206</v>
      </c>
      <c r="C40" s="281"/>
      <c r="D40" s="281"/>
      <c r="E40" s="483">
        <v>12425000</v>
      </c>
      <c r="F40" s="483">
        <v>12425000</v>
      </c>
      <c r="G40" s="305">
        <v>12425000</v>
      </c>
      <c r="H40" s="305">
        <v>8609000</v>
      </c>
      <c r="I40" s="1"/>
      <c r="J40" s="400">
        <f t="shared" si="0"/>
        <v>12425000</v>
      </c>
      <c r="K40" s="1"/>
      <c r="L40" s="261">
        <f t="shared" si="1"/>
        <v>0</v>
      </c>
      <c r="M40" s="400">
        <f t="shared" si="2"/>
        <v>-8609000</v>
      </c>
      <c r="N40" s="1"/>
      <c r="O40" s="1"/>
      <c r="P40" s="1"/>
    </row>
    <row r="41" spans="1:16" hidden="1" x14ac:dyDescent="0.35">
      <c r="A41" s="288" t="s">
        <v>207</v>
      </c>
      <c r="B41" s="288" t="s">
        <v>208</v>
      </c>
      <c r="C41" s="289"/>
      <c r="D41" s="290"/>
      <c r="E41" s="488">
        <v>0</v>
      </c>
      <c r="F41" s="488">
        <v>0</v>
      </c>
      <c r="G41" s="303">
        <f>SUM(G42)</f>
        <v>0</v>
      </c>
      <c r="H41" s="303">
        <f>SUM(H42)</f>
        <v>0</v>
      </c>
      <c r="I41" s="1"/>
      <c r="J41" s="400">
        <f t="shared" si="0"/>
        <v>0</v>
      </c>
      <c r="K41" s="1"/>
      <c r="L41" s="261" t="e">
        <f t="shared" si="1"/>
        <v>#DIV/0!</v>
      </c>
      <c r="M41" s="400">
        <f t="shared" si="2"/>
        <v>0</v>
      </c>
      <c r="N41" s="1"/>
      <c r="O41" s="1"/>
      <c r="P41" s="1"/>
    </row>
    <row r="42" spans="1:16" hidden="1" x14ac:dyDescent="0.35">
      <c r="A42" s="30"/>
      <c r="B42" s="31" t="s">
        <v>209</v>
      </c>
      <c r="C42" s="32" t="s">
        <v>210</v>
      </c>
      <c r="D42" s="32">
        <v>9</v>
      </c>
      <c r="E42" s="485"/>
      <c r="F42" s="485">
        <v>0</v>
      </c>
      <c r="G42" s="302"/>
      <c r="H42" s="302"/>
      <c r="I42" s="1"/>
      <c r="J42" s="400">
        <f t="shared" si="0"/>
        <v>0</v>
      </c>
      <c r="K42" s="1"/>
      <c r="L42" s="261" t="e">
        <f t="shared" si="1"/>
        <v>#DIV/0!</v>
      </c>
      <c r="M42" s="400">
        <f t="shared" si="2"/>
        <v>0</v>
      </c>
      <c r="N42" s="1"/>
      <c r="O42" s="1"/>
      <c r="P42" s="1"/>
    </row>
    <row r="43" spans="1:16" hidden="1" x14ac:dyDescent="0.35">
      <c r="A43" s="306" t="s">
        <v>211</v>
      </c>
      <c r="B43" s="306" t="s">
        <v>212</v>
      </c>
      <c r="C43" s="281"/>
      <c r="D43" s="281"/>
      <c r="E43" s="483">
        <v>18057386</v>
      </c>
      <c r="F43" s="483">
        <v>18057386</v>
      </c>
      <c r="G43" s="307">
        <f>SUM(G44:G45)</f>
        <v>18057386</v>
      </c>
      <c r="H43" s="307">
        <f>SUM(H44:H45)</f>
        <v>19128030</v>
      </c>
      <c r="I43" s="1"/>
      <c r="J43" s="400">
        <f t="shared" si="0"/>
        <v>18057386</v>
      </c>
      <c r="K43" s="1"/>
      <c r="L43" s="261">
        <f t="shared" si="1"/>
        <v>0</v>
      </c>
      <c r="M43" s="400">
        <f t="shared" si="2"/>
        <v>-19128030</v>
      </c>
      <c r="N43" s="1"/>
      <c r="O43" s="1"/>
      <c r="P43" s="1"/>
    </row>
    <row r="44" spans="1:16" hidden="1" x14ac:dyDescent="0.35">
      <c r="A44" s="308" t="s">
        <v>213</v>
      </c>
      <c r="B44" s="309" t="s">
        <v>214</v>
      </c>
      <c r="C44" s="309">
        <v>5.26</v>
      </c>
      <c r="D44" s="310" t="s">
        <v>405</v>
      </c>
      <c r="E44" s="489">
        <v>9994000</v>
      </c>
      <c r="F44" s="489">
        <v>9994000</v>
      </c>
      <c r="G44" s="311">
        <v>9994000</v>
      </c>
      <c r="H44" s="311">
        <v>12826000</v>
      </c>
      <c r="I44" s="1"/>
      <c r="J44" s="400">
        <f t="shared" si="0"/>
        <v>9994000</v>
      </c>
      <c r="K44" s="1"/>
      <c r="L44" s="261">
        <f t="shared" si="1"/>
        <v>0</v>
      </c>
      <c r="M44" s="400">
        <f t="shared" si="2"/>
        <v>-12826000</v>
      </c>
      <c r="N44" s="1"/>
      <c r="O44" s="1"/>
      <c r="P44" s="1"/>
    </row>
    <row r="45" spans="1:16" hidden="1" x14ac:dyDescent="0.35">
      <c r="A45" s="308" t="s">
        <v>215</v>
      </c>
      <c r="B45" s="309" t="s">
        <v>216</v>
      </c>
      <c r="C45" s="281"/>
      <c r="D45" s="281"/>
      <c r="E45" s="483">
        <v>8063386</v>
      </c>
      <c r="F45" s="483">
        <v>8063386</v>
      </c>
      <c r="G45" s="311">
        <v>8063386</v>
      </c>
      <c r="H45" s="311">
        <v>6302030</v>
      </c>
      <c r="I45" s="1"/>
      <c r="J45" s="400">
        <f t="shared" si="0"/>
        <v>8063386</v>
      </c>
      <c r="K45" s="1"/>
      <c r="L45" s="261">
        <f t="shared" si="1"/>
        <v>0</v>
      </c>
      <c r="M45" s="400">
        <f t="shared" si="2"/>
        <v>-6302030</v>
      </c>
      <c r="N45" s="1"/>
      <c r="O45" s="1"/>
      <c r="P45" s="1"/>
    </row>
    <row r="46" spans="1:16" hidden="1" x14ac:dyDescent="0.35">
      <c r="A46" s="306" t="s">
        <v>217</v>
      </c>
      <c r="B46" s="306" t="s">
        <v>218</v>
      </c>
      <c r="C46" s="289"/>
      <c r="D46" s="290"/>
      <c r="E46" s="488">
        <v>165300</v>
      </c>
      <c r="F46" s="488">
        <v>165300</v>
      </c>
      <c r="G46" s="303">
        <v>165300</v>
      </c>
      <c r="H46" s="303">
        <v>137940</v>
      </c>
      <c r="I46" s="1"/>
      <c r="J46" s="400">
        <f t="shared" si="0"/>
        <v>165300</v>
      </c>
      <c r="K46" s="1"/>
      <c r="L46" s="261">
        <f t="shared" si="1"/>
        <v>0</v>
      </c>
      <c r="M46" s="400">
        <f t="shared" si="2"/>
        <v>-137940</v>
      </c>
      <c r="N46" s="1"/>
      <c r="O46" s="1"/>
      <c r="P46" s="1"/>
    </row>
    <row r="47" spans="1:16" ht="75" customHeight="1" x14ac:dyDescent="0.35">
      <c r="A47" s="875" t="s">
        <v>219</v>
      </c>
      <c r="B47" s="312" t="s">
        <v>220</v>
      </c>
      <c r="C47" s="281"/>
      <c r="D47" s="281"/>
      <c r="E47" s="483">
        <v>30647686</v>
      </c>
      <c r="F47" s="483">
        <v>30647686</v>
      </c>
      <c r="G47" s="298">
        <v>26371824</v>
      </c>
      <c r="H47" s="298">
        <f>SUM(H46,H43,H40)</f>
        <v>27874970</v>
      </c>
      <c r="I47" s="1"/>
      <c r="J47" s="400">
        <f t="shared" si="0"/>
        <v>26371824</v>
      </c>
      <c r="K47" s="598">
        <v>23727146</v>
      </c>
      <c r="L47" s="261">
        <f t="shared" si="1"/>
        <v>0.89971577240921974</v>
      </c>
      <c r="M47" s="400">
        <f t="shared" si="2"/>
        <v>-2339067</v>
      </c>
      <c r="N47" s="888">
        <v>25535903</v>
      </c>
      <c r="O47" s="888">
        <v>25535903</v>
      </c>
      <c r="P47" s="1"/>
    </row>
    <row r="48" spans="1:16" hidden="1" x14ac:dyDescent="0.35">
      <c r="A48" s="281"/>
      <c r="B48" s="313" t="s">
        <v>221</v>
      </c>
      <c r="C48" s="314" t="s">
        <v>562</v>
      </c>
      <c r="D48" s="314" t="s">
        <v>222</v>
      </c>
      <c r="E48" s="490">
        <v>2456300</v>
      </c>
      <c r="F48" s="490">
        <v>2456300</v>
      </c>
      <c r="G48" s="307">
        <v>2456300</v>
      </c>
      <c r="H48" s="307">
        <v>2456300</v>
      </c>
      <c r="I48" s="1"/>
      <c r="J48" s="400">
        <f t="shared" si="0"/>
        <v>2456300</v>
      </c>
      <c r="K48" s="1"/>
      <c r="L48" s="261">
        <f t="shared" si="1"/>
        <v>0</v>
      </c>
      <c r="M48" s="400">
        <f t="shared" si="2"/>
        <v>-2456300</v>
      </c>
      <c r="N48" s="1"/>
      <c r="O48" s="1"/>
      <c r="P48" s="1"/>
    </row>
    <row r="49" spans="1:16" x14ac:dyDescent="0.35">
      <c r="A49" s="875" t="s">
        <v>223</v>
      </c>
      <c r="B49" s="312" t="s">
        <v>224</v>
      </c>
      <c r="C49" s="281"/>
      <c r="D49" s="281"/>
      <c r="E49" s="483">
        <v>2456300</v>
      </c>
      <c r="F49" s="483">
        <v>2456300</v>
      </c>
      <c r="G49" s="298">
        <v>2491390</v>
      </c>
      <c r="H49" s="298">
        <v>2608335</v>
      </c>
      <c r="I49" s="1"/>
      <c r="J49" s="400">
        <f t="shared" si="0"/>
        <v>2491390</v>
      </c>
      <c r="K49" s="598">
        <v>2176766</v>
      </c>
      <c r="L49" s="261">
        <f t="shared" si="1"/>
        <v>0.87371547609968736</v>
      </c>
      <c r="M49" s="400">
        <f t="shared" si="2"/>
        <v>896550</v>
      </c>
      <c r="N49" s="888">
        <v>3504885</v>
      </c>
      <c r="O49" s="888">
        <v>3504885</v>
      </c>
      <c r="P49" s="1"/>
    </row>
    <row r="50" spans="1:16" x14ac:dyDescent="0.35">
      <c r="A50" s="875" t="s">
        <v>225</v>
      </c>
      <c r="B50" s="312" t="s">
        <v>671</v>
      </c>
      <c r="C50" s="281"/>
      <c r="D50" s="281"/>
      <c r="E50" s="483"/>
      <c r="F50" s="483">
        <v>811819</v>
      </c>
      <c r="G50" s="298"/>
      <c r="H50" s="298"/>
      <c r="I50" s="1">
        <v>5543700</v>
      </c>
      <c r="J50" s="400">
        <f t="shared" si="0"/>
        <v>5543700</v>
      </c>
      <c r="K50" s="598">
        <v>5543700</v>
      </c>
      <c r="L50" s="261">
        <f t="shared" si="1"/>
        <v>1</v>
      </c>
      <c r="M50" s="400">
        <f t="shared" si="2"/>
        <v>693450</v>
      </c>
      <c r="N50" s="888">
        <v>693450</v>
      </c>
      <c r="O50" s="888">
        <v>693450</v>
      </c>
      <c r="P50" s="1"/>
    </row>
    <row r="51" spans="1:16" x14ac:dyDescent="0.35">
      <c r="A51" s="875" t="s">
        <v>680</v>
      </c>
      <c r="B51" s="312" t="s">
        <v>681</v>
      </c>
      <c r="C51" s="281"/>
      <c r="D51" s="281"/>
      <c r="E51" s="483"/>
      <c r="F51" s="483">
        <v>430980</v>
      </c>
      <c r="G51" s="298"/>
      <c r="H51" s="298"/>
      <c r="I51" s="1">
        <v>426550</v>
      </c>
      <c r="J51" s="400">
        <f t="shared" si="0"/>
        <v>426550</v>
      </c>
      <c r="K51" s="1">
        <v>426550</v>
      </c>
      <c r="L51" s="261">
        <f t="shared" si="1"/>
        <v>1</v>
      </c>
      <c r="M51" s="400">
        <f t="shared" si="2"/>
        <v>2667862</v>
      </c>
      <c r="N51" s="888">
        <v>2667862</v>
      </c>
      <c r="O51" s="888">
        <v>2667862</v>
      </c>
      <c r="P51" s="1"/>
    </row>
    <row r="52" spans="1:16" ht="29.15" customHeight="1" x14ac:dyDescent="0.35">
      <c r="A52" s="1144" t="s">
        <v>226</v>
      </c>
      <c r="B52" s="1144"/>
      <c r="C52" s="281"/>
      <c r="D52" s="281"/>
      <c r="E52" s="483">
        <v>115421018</v>
      </c>
      <c r="F52" s="483">
        <v>116663817</v>
      </c>
      <c r="G52" s="320">
        <f>SUM(G49,G47,G38,G25,G51,G50)</f>
        <v>111050028</v>
      </c>
      <c r="H52" s="320">
        <f>SUM(H49,H47,H38,H25,H51,H50,H39)</f>
        <v>124480067</v>
      </c>
      <c r="I52" s="320">
        <f t="shared" ref="I52:O52" si="3">SUM(I49,I47,I38,I25,I51,I50,I39)</f>
        <v>5970250</v>
      </c>
      <c r="J52" s="320">
        <f t="shared" si="3"/>
        <v>118709278</v>
      </c>
      <c r="K52" s="320">
        <f t="shared" si="3"/>
        <v>104281315</v>
      </c>
      <c r="L52" s="320">
        <f t="shared" si="3"/>
        <v>5.5367886212274371</v>
      </c>
      <c r="M52" s="320">
        <f t="shared" si="3"/>
        <v>11957259</v>
      </c>
      <c r="N52" s="320">
        <f t="shared" si="3"/>
        <v>136437326</v>
      </c>
      <c r="O52" s="320">
        <f t="shared" si="3"/>
        <v>136437326</v>
      </c>
      <c r="P52" s="1"/>
    </row>
    <row r="53" spans="1:16" x14ac:dyDescent="0.35">
      <c r="A53" s="1157" t="s">
        <v>227</v>
      </c>
      <c r="B53" s="291" t="s">
        <v>228</v>
      </c>
      <c r="C53" s="292"/>
      <c r="D53" s="292"/>
      <c r="E53" s="292"/>
      <c r="F53" s="292"/>
      <c r="G53" s="315">
        <f>SUM(G54:G56)</f>
        <v>5356800</v>
      </c>
      <c r="H53" s="779">
        <v>9950550</v>
      </c>
      <c r="I53" s="1">
        <v>2368500</v>
      </c>
      <c r="J53" s="400">
        <f t="shared" si="0"/>
        <v>7725300</v>
      </c>
      <c r="K53" s="1">
        <v>7725300</v>
      </c>
      <c r="L53" s="261">
        <f t="shared" si="1"/>
        <v>1</v>
      </c>
      <c r="M53" s="400">
        <f>N53-H53</f>
        <v>3689250</v>
      </c>
      <c r="N53" s="591">
        <v>13639800</v>
      </c>
      <c r="O53" s="591">
        <v>13639800</v>
      </c>
      <c r="P53" s="1"/>
    </row>
    <row r="54" spans="1:16" hidden="1" x14ac:dyDescent="0.35">
      <c r="A54" s="1157"/>
      <c r="B54" s="319" t="s">
        <v>229</v>
      </c>
      <c r="C54" s="293"/>
      <c r="D54" s="293"/>
      <c r="E54" s="293">
        <v>4910400</v>
      </c>
      <c r="F54" s="293">
        <v>4910400</v>
      </c>
      <c r="G54" s="316">
        <v>5208000</v>
      </c>
      <c r="H54" s="780">
        <v>5208000</v>
      </c>
      <c r="I54" s="1"/>
      <c r="J54" s="400">
        <f t="shared" si="0"/>
        <v>5208000</v>
      </c>
      <c r="K54" s="1"/>
      <c r="L54" s="261">
        <f t="shared" si="1"/>
        <v>0</v>
      </c>
      <c r="M54" s="400">
        <f t="shared" ref="M54:M60" si="4">N54-H54</f>
        <v>-5208000</v>
      </c>
      <c r="N54" s="1"/>
      <c r="O54" s="1"/>
      <c r="P54" s="1"/>
    </row>
    <row r="55" spans="1:16" hidden="1" x14ac:dyDescent="0.35">
      <c r="A55" s="1157"/>
      <c r="B55" s="319" t="s">
        <v>230</v>
      </c>
      <c r="C55" s="293"/>
      <c r="D55" s="293"/>
      <c r="E55" s="293"/>
      <c r="F55" s="293"/>
      <c r="G55" s="316"/>
      <c r="H55" s="780"/>
      <c r="I55" s="1"/>
      <c r="J55" s="400">
        <f t="shared" si="0"/>
        <v>0</v>
      </c>
      <c r="K55" s="1"/>
      <c r="L55" s="261" t="e">
        <f t="shared" si="1"/>
        <v>#DIV/0!</v>
      </c>
      <c r="M55" s="400">
        <f t="shared" si="4"/>
        <v>0</v>
      </c>
      <c r="N55" s="1"/>
      <c r="O55" s="1"/>
      <c r="P55" s="1"/>
    </row>
    <row r="56" spans="1:16" hidden="1" x14ac:dyDescent="0.35">
      <c r="A56" s="1157"/>
      <c r="B56" s="319" t="s">
        <v>231</v>
      </c>
      <c r="C56" s="293"/>
      <c r="D56" s="293"/>
      <c r="E56" s="293">
        <v>151200</v>
      </c>
      <c r="F56" s="293">
        <v>151200</v>
      </c>
      <c r="G56" s="316">
        <v>148800</v>
      </c>
      <c r="H56" s="780">
        <v>148800</v>
      </c>
      <c r="I56" s="1"/>
      <c r="J56" s="400">
        <f t="shared" si="0"/>
        <v>148800</v>
      </c>
      <c r="K56" s="1"/>
      <c r="L56" s="261">
        <f t="shared" si="1"/>
        <v>0</v>
      </c>
      <c r="M56" s="400">
        <f t="shared" si="4"/>
        <v>-148800</v>
      </c>
      <c r="N56" s="1"/>
      <c r="O56" s="1"/>
      <c r="P56" s="1"/>
    </row>
    <row r="57" spans="1:16" ht="32.25" customHeight="1" x14ac:dyDescent="0.35">
      <c r="A57" s="1157"/>
      <c r="B57" s="291" t="s">
        <v>232</v>
      </c>
      <c r="C57" s="291"/>
      <c r="D57" s="291"/>
      <c r="E57" s="317">
        <f t="shared" ref="E57:F57" si="5">E58</f>
        <v>1104126</v>
      </c>
      <c r="F57" s="317">
        <f t="shared" si="5"/>
        <v>4766906</v>
      </c>
      <c r="G57" s="317">
        <f>G58</f>
        <v>1369104</v>
      </c>
      <c r="H57" s="781">
        <v>0</v>
      </c>
      <c r="I57" s="1">
        <v>138477</v>
      </c>
      <c r="J57" s="400">
        <f t="shared" si="0"/>
        <v>1507581</v>
      </c>
      <c r="K57" s="1">
        <f>1362578+145003</f>
        <v>1507581</v>
      </c>
      <c r="L57" s="261">
        <f t="shared" si="1"/>
        <v>1</v>
      </c>
      <c r="M57" s="400">
        <f t="shared" si="4"/>
        <v>1431764</v>
      </c>
      <c r="N57" s="591">
        <v>1431764</v>
      </c>
      <c r="O57" s="591">
        <v>1431764</v>
      </c>
      <c r="P57" s="1"/>
    </row>
    <row r="58" spans="1:16" hidden="1" x14ac:dyDescent="0.35">
      <c r="A58" s="1157"/>
      <c r="B58" s="319" t="s">
        <v>233</v>
      </c>
      <c r="C58" s="293"/>
      <c r="D58" s="293"/>
      <c r="E58" s="293">
        <v>1104126</v>
      </c>
      <c r="F58" s="293">
        <v>4766906</v>
      </c>
      <c r="G58" s="316">
        <v>1369104</v>
      </c>
      <c r="H58" s="780">
        <v>1369104</v>
      </c>
      <c r="I58" s="1"/>
      <c r="J58" s="400">
        <f t="shared" si="0"/>
        <v>1369104</v>
      </c>
      <c r="K58" s="1"/>
      <c r="L58" s="261">
        <f t="shared" si="1"/>
        <v>0</v>
      </c>
      <c r="M58" s="400">
        <f t="shared" si="4"/>
        <v>-1369104</v>
      </c>
      <c r="N58" s="1"/>
      <c r="O58" s="1"/>
      <c r="P58" s="1"/>
    </row>
    <row r="59" spans="1:16" x14ac:dyDescent="0.35">
      <c r="A59" s="1157"/>
      <c r="B59" s="291" t="s">
        <v>1024</v>
      </c>
      <c r="C59" s="318"/>
      <c r="D59" s="318"/>
      <c r="E59" s="318"/>
      <c r="F59" s="318"/>
      <c r="G59" s="39"/>
      <c r="H59" s="536"/>
      <c r="I59" s="1">
        <v>10266299</v>
      </c>
      <c r="J59" s="400">
        <f t="shared" si="0"/>
        <v>10266299</v>
      </c>
      <c r="K59" s="1">
        <v>10266299</v>
      </c>
      <c r="L59" s="261">
        <f t="shared" si="1"/>
        <v>1</v>
      </c>
      <c r="M59" s="400">
        <f t="shared" si="4"/>
        <v>2997327</v>
      </c>
      <c r="N59" s="591">
        <v>2997327</v>
      </c>
      <c r="O59" s="591">
        <v>2997327</v>
      </c>
      <c r="P59" s="1"/>
    </row>
    <row r="60" spans="1:16" x14ac:dyDescent="0.35">
      <c r="A60" s="1157"/>
      <c r="B60" s="281" t="s">
        <v>672</v>
      </c>
      <c r="C60" s="318"/>
      <c r="D60" s="318"/>
      <c r="E60" s="318"/>
      <c r="F60" s="318">
        <v>75000</v>
      </c>
      <c r="G60" s="39"/>
      <c r="H60" s="536"/>
      <c r="I60" s="1"/>
      <c r="J60" s="400">
        <f t="shared" si="0"/>
        <v>0</v>
      </c>
      <c r="K60" s="1">
        <v>100000</v>
      </c>
      <c r="L60" s="261" t="e">
        <f t="shared" si="1"/>
        <v>#DIV/0!</v>
      </c>
      <c r="M60" s="400">
        <f t="shared" si="4"/>
        <v>25000</v>
      </c>
      <c r="N60" s="1">
        <v>25000</v>
      </c>
      <c r="O60" s="1">
        <v>25000</v>
      </c>
      <c r="P60" s="1"/>
    </row>
    <row r="61" spans="1:16" s="752" customFormat="1" ht="15.5" x14ac:dyDescent="0.35">
      <c r="A61" s="1157"/>
      <c r="B61" s="1158" t="s">
        <v>160</v>
      </c>
      <c r="C61" s="1158"/>
      <c r="D61" s="1158"/>
      <c r="E61" s="877">
        <v>6165726</v>
      </c>
      <c r="F61" s="877">
        <v>9903506</v>
      </c>
      <c r="G61" s="751">
        <f>SUM(G53,G57,G60)</f>
        <v>6725904</v>
      </c>
      <c r="H61" s="782">
        <f>SUM(H53,H57,H60,H59)</f>
        <v>9950550</v>
      </c>
      <c r="I61" s="782">
        <f t="shared" ref="I61:O61" si="6">SUM(I53,I57,I60,I59)</f>
        <v>12773276</v>
      </c>
      <c r="J61" s="782">
        <f t="shared" si="6"/>
        <v>19499180</v>
      </c>
      <c r="K61" s="782">
        <f t="shared" si="6"/>
        <v>19599180</v>
      </c>
      <c r="L61" s="782" t="e">
        <f t="shared" si="6"/>
        <v>#DIV/0!</v>
      </c>
      <c r="M61" s="782">
        <f t="shared" si="6"/>
        <v>8143341</v>
      </c>
      <c r="N61" s="782">
        <f t="shared" si="6"/>
        <v>18093891</v>
      </c>
      <c r="O61" s="782">
        <f t="shared" si="6"/>
        <v>18093891</v>
      </c>
      <c r="P61" s="768"/>
    </row>
    <row r="62" spans="1:16" x14ac:dyDescent="0.35">
      <c r="A62" s="876" t="s">
        <v>841</v>
      </c>
      <c r="B62" s="3" t="s">
        <v>842</v>
      </c>
      <c r="C62" s="498"/>
      <c r="D62" s="498"/>
      <c r="E62" s="498"/>
      <c r="F62" s="38">
        <v>14186552</v>
      </c>
      <c r="G62" s="39"/>
      <c r="H62" s="536"/>
      <c r="I62" s="1"/>
      <c r="J62" s="400">
        <f t="shared" si="0"/>
        <v>0</v>
      </c>
      <c r="K62" s="1"/>
      <c r="L62" s="261" t="e">
        <f t="shared" si="1"/>
        <v>#DIV/0!</v>
      </c>
      <c r="M62" s="1"/>
      <c r="N62" s="1"/>
      <c r="O62" s="1"/>
      <c r="P62" s="1"/>
    </row>
    <row r="63" spans="1:16" x14ac:dyDescent="0.35">
      <c r="A63" s="1143" t="s">
        <v>816</v>
      </c>
      <c r="B63" s="1" t="s">
        <v>817</v>
      </c>
      <c r="C63" s="1"/>
      <c r="D63" s="1"/>
      <c r="E63" s="1"/>
      <c r="F63" s="1"/>
      <c r="G63" s="38">
        <v>0</v>
      </c>
      <c r="H63" s="38">
        <v>0</v>
      </c>
      <c r="I63" s="400">
        <v>26770116</v>
      </c>
      <c r="J63" s="400">
        <f t="shared" si="0"/>
        <v>26770116</v>
      </c>
      <c r="K63" s="400">
        <v>26770116</v>
      </c>
      <c r="L63" s="261">
        <f t="shared" si="1"/>
        <v>1</v>
      </c>
      <c r="M63" s="1"/>
      <c r="N63" s="1"/>
      <c r="O63" s="1"/>
      <c r="P63" s="1"/>
    </row>
    <row r="64" spans="1:16" x14ac:dyDescent="0.35">
      <c r="A64" s="1143"/>
      <c r="B64" s="1" t="s">
        <v>995</v>
      </c>
      <c r="C64" s="1"/>
      <c r="D64" s="1"/>
      <c r="E64" s="1"/>
      <c r="F64" s="1"/>
      <c r="G64" s="38"/>
      <c r="H64" s="38">
        <v>28832000</v>
      </c>
      <c r="I64" s="1"/>
      <c r="J64" s="400">
        <f t="shared" si="0"/>
        <v>0</v>
      </c>
      <c r="K64" s="1"/>
      <c r="L64" s="261" t="e">
        <f t="shared" si="1"/>
        <v>#DIV/0!</v>
      </c>
      <c r="M64" s="890">
        <f>N64-H64</f>
        <v>558800</v>
      </c>
      <c r="N64" s="447">
        <v>29390800</v>
      </c>
      <c r="O64" s="447">
        <v>29390800</v>
      </c>
      <c r="P64" s="1"/>
    </row>
    <row r="65" spans="1:16" x14ac:dyDescent="0.35">
      <c r="A65" s="1143"/>
      <c r="B65" s="1" t="s">
        <v>818</v>
      </c>
      <c r="C65" s="1"/>
      <c r="D65" s="1"/>
      <c r="E65" s="1"/>
      <c r="F65" s="1"/>
      <c r="G65" s="38">
        <v>0</v>
      </c>
      <c r="H65" s="38">
        <v>0</v>
      </c>
      <c r="I65" s="1"/>
      <c r="J65" s="400">
        <f t="shared" si="0"/>
        <v>0</v>
      </c>
      <c r="K65" s="1"/>
      <c r="L65" s="261" t="e">
        <f t="shared" si="1"/>
        <v>#DIV/0!</v>
      </c>
      <c r="M65" s="1"/>
      <c r="N65" s="1"/>
      <c r="O65" s="1"/>
      <c r="P65" s="1"/>
    </row>
    <row r="66" spans="1:16" s="532" customFormat="1" x14ac:dyDescent="0.35">
      <c r="A66" s="1143"/>
      <c r="B66" s="1" t="s">
        <v>1025</v>
      </c>
      <c r="C66" s="1"/>
      <c r="D66" s="1"/>
      <c r="E66" s="1"/>
      <c r="F66" s="1"/>
      <c r="G66" s="38"/>
      <c r="H66" s="38"/>
      <c r="I66" s="1"/>
      <c r="J66" s="400"/>
      <c r="K66" s="1"/>
      <c r="L66" s="261"/>
      <c r="M66" s="890">
        <f>N66-H66</f>
        <v>137355393</v>
      </c>
      <c r="N66" s="456">
        <v>137355393</v>
      </c>
      <c r="O66" s="456">
        <v>137355393</v>
      </c>
      <c r="P66" s="1"/>
    </row>
    <row r="67" spans="1:16" s="752" customFormat="1" ht="15.5" x14ac:dyDescent="0.35">
      <c r="A67" s="1143"/>
      <c r="B67" s="767" t="s">
        <v>819</v>
      </c>
      <c r="C67" s="768"/>
      <c r="D67" s="768"/>
      <c r="E67" s="768"/>
      <c r="F67" s="768"/>
      <c r="G67" s="769">
        <f>SUM(G63:G65)</f>
        <v>0</v>
      </c>
      <c r="H67" s="769">
        <f>SUM(H63:H66)</f>
        <v>28832000</v>
      </c>
      <c r="I67" s="769">
        <f t="shared" ref="I67:O67" si="7">SUM(I63:I66)</f>
        <v>26770116</v>
      </c>
      <c r="J67" s="769">
        <f t="shared" si="7"/>
        <v>26770116</v>
      </c>
      <c r="K67" s="769">
        <f t="shared" si="7"/>
        <v>26770116</v>
      </c>
      <c r="L67" s="769" t="e">
        <f t="shared" si="7"/>
        <v>#DIV/0!</v>
      </c>
      <c r="M67" s="769">
        <f>SUM(M63:M66)</f>
        <v>137914193</v>
      </c>
      <c r="N67" s="769">
        <f t="shared" si="7"/>
        <v>166746193</v>
      </c>
      <c r="O67" s="769">
        <f t="shared" si="7"/>
        <v>166746193</v>
      </c>
      <c r="P67" s="768"/>
    </row>
  </sheetData>
  <mergeCells count="23">
    <mergeCell ref="A6:H7"/>
    <mergeCell ref="B3:G3"/>
    <mergeCell ref="A53:A61"/>
    <mergeCell ref="B61:D61"/>
    <mergeCell ref="A9:A13"/>
    <mergeCell ref="B9:B13"/>
    <mergeCell ref="A26:A31"/>
    <mergeCell ref="A32:A34"/>
    <mergeCell ref="G11:G13"/>
    <mergeCell ref="F11:F13"/>
    <mergeCell ref="E11:E13"/>
    <mergeCell ref="H11:H13"/>
    <mergeCell ref="L11:L13"/>
    <mergeCell ref="A63:A67"/>
    <mergeCell ref="A52:B52"/>
    <mergeCell ref="C9:P9"/>
    <mergeCell ref="H10:P10"/>
    <mergeCell ref="M11:M13"/>
    <mergeCell ref="N11:N13"/>
    <mergeCell ref="O11:O13"/>
    <mergeCell ref="I11:I13"/>
    <mergeCell ref="J11:J13"/>
    <mergeCell ref="K11:K13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D1373-5FC0-4525-A7D1-3F5C954D34B2}">
  <dimension ref="A1:F32"/>
  <sheetViews>
    <sheetView workbookViewId="0">
      <selection sqref="A1:B1"/>
    </sheetView>
  </sheetViews>
  <sheetFormatPr defaultRowHeight="14.5" x14ac:dyDescent="0.35"/>
  <cols>
    <col min="1" max="1" width="8.1796875" style="1048" customWidth="1"/>
    <col min="2" max="2" width="41" style="1048" customWidth="1"/>
    <col min="3" max="5" width="32.81640625" style="1048" customWidth="1"/>
    <col min="6" max="256" width="8.7265625" style="1048"/>
    <col min="257" max="257" width="8.1796875" style="1048" customWidth="1"/>
    <col min="258" max="258" width="41" style="1048" customWidth="1"/>
    <col min="259" max="261" width="32.81640625" style="1048" customWidth="1"/>
    <col min="262" max="512" width="8.7265625" style="1048"/>
    <col min="513" max="513" width="8.1796875" style="1048" customWidth="1"/>
    <col min="514" max="514" width="41" style="1048" customWidth="1"/>
    <col min="515" max="517" width="32.81640625" style="1048" customWidth="1"/>
    <col min="518" max="768" width="8.7265625" style="1048"/>
    <col min="769" max="769" width="8.1796875" style="1048" customWidth="1"/>
    <col min="770" max="770" width="41" style="1048" customWidth="1"/>
    <col min="771" max="773" width="32.81640625" style="1048" customWidth="1"/>
    <col min="774" max="1024" width="8.7265625" style="1048"/>
    <col min="1025" max="1025" width="8.1796875" style="1048" customWidth="1"/>
    <col min="1026" max="1026" width="41" style="1048" customWidth="1"/>
    <col min="1027" max="1029" width="32.81640625" style="1048" customWidth="1"/>
    <col min="1030" max="1280" width="8.7265625" style="1048"/>
    <col min="1281" max="1281" width="8.1796875" style="1048" customWidth="1"/>
    <col min="1282" max="1282" width="41" style="1048" customWidth="1"/>
    <col min="1283" max="1285" width="32.81640625" style="1048" customWidth="1"/>
    <col min="1286" max="1536" width="8.7265625" style="1048"/>
    <col min="1537" max="1537" width="8.1796875" style="1048" customWidth="1"/>
    <col min="1538" max="1538" width="41" style="1048" customWidth="1"/>
    <col min="1539" max="1541" width="32.81640625" style="1048" customWidth="1"/>
    <col min="1542" max="1792" width="8.7265625" style="1048"/>
    <col min="1793" max="1793" width="8.1796875" style="1048" customWidth="1"/>
    <col min="1794" max="1794" width="41" style="1048" customWidth="1"/>
    <col min="1795" max="1797" width="32.81640625" style="1048" customWidth="1"/>
    <col min="1798" max="2048" width="8.7265625" style="1048"/>
    <col min="2049" max="2049" width="8.1796875" style="1048" customWidth="1"/>
    <col min="2050" max="2050" width="41" style="1048" customWidth="1"/>
    <col min="2051" max="2053" width="32.81640625" style="1048" customWidth="1"/>
    <col min="2054" max="2304" width="8.7265625" style="1048"/>
    <col min="2305" max="2305" width="8.1796875" style="1048" customWidth="1"/>
    <col min="2306" max="2306" width="41" style="1048" customWidth="1"/>
    <col min="2307" max="2309" width="32.81640625" style="1048" customWidth="1"/>
    <col min="2310" max="2560" width="8.7265625" style="1048"/>
    <col min="2561" max="2561" width="8.1796875" style="1048" customWidth="1"/>
    <col min="2562" max="2562" width="41" style="1048" customWidth="1"/>
    <col min="2563" max="2565" width="32.81640625" style="1048" customWidth="1"/>
    <col min="2566" max="2816" width="8.7265625" style="1048"/>
    <col min="2817" max="2817" width="8.1796875" style="1048" customWidth="1"/>
    <col min="2818" max="2818" width="41" style="1048" customWidth="1"/>
    <col min="2819" max="2821" width="32.81640625" style="1048" customWidth="1"/>
    <col min="2822" max="3072" width="8.7265625" style="1048"/>
    <col min="3073" max="3073" width="8.1796875" style="1048" customWidth="1"/>
    <col min="3074" max="3074" width="41" style="1048" customWidth="1"/>
    <col min="3075" max="3077" width="32.81640625" style="1048" customWidth="1"/>
    <col min="3078" max="3328" width="8.7265625" style="1048"/>
    <col min="3329" max="3329" width="8.1796875" style="1048" customWidth="1"/>
    <col min="3330" max="3330" width="41" style="1048" customWidth="1"/>
    <col min="3331" max="3333" width="32.81640625" style="1048" customWidth="1"/>
    <col min="3334" max="3584" width="8.7265625" style="1048"/>
    <col min="3585" max="3585" width="8.1796875" style="1048" customWidth="1"/>
    <col min="3586" max="3586" width="41" style="1048" customWidth="1"/>
    <col min="3587" max="3589" width="32.81640625" style="1048" customWidth="1"/>
    <col min="3590" max="3840" width="8.7265625" style="1048"/>
    <col min="3841" max="3841" width="8.1796875" style="1048" customWidth="1"/>
    <col min="3842" max="3842" width="41" style="1048" customWidth="1"/>
    <col min="3843" max="3845" width="32.81640625" style="1048" customWidth="1"/>
    <col min="3846" max="4096" width="8.7265625" style="1048"/>
    <col min="4097" max="4097" width="8.1796875" style="1048" customWidth="1"/>
    <col min="4098" max="4098" width="41" style="1048" customWidth="1"/>
    <col min="4099" max="4101" width="32.81640625" style="1048" customWidth="1"/>
    <col min="4102" max="4352" width="8.7265625" style="1048"/>
    <col min="4353" max="4353" width="8.1796875" style="1048" customWidth="1"/>
    <col min="4354" max="4354" width="41" style="1048" customWidth="1"/>
    <col min="4355" max="4357" width="32.81640625" style="1048" customWidth="1"/>
    <col min="4358" max="4608" width="8.7265625" style="1048"/>
    <col min="4609" max="4609" width="8.1796875" style="1048" customWidth="1"/>
    <col min="4610" max="4610" width="41" style="1048" customWidth="1"/>
    <col min="4611" max="4613" width="32.81640625" style="1048" customWidth="1"/>
    <col min="4614" max="4864" width="8.7265625" style="1048"/>
    <col min="4865" max="4865" width="8.1796875" style="1048" customWidth="1"/>
    <col min="4866" max="4866" width="41" style="1048" customWidth="1"/>
    <col min="4867" max="4869" width="32.81640625" style="1048" customWidth="1"/>
    <col min="4870" max="5120" width="8.7265625" style="1048"/>
    <col min="5121" max="5121" width="8.1796875" style="1048" customWidth="1"/>
    <col min="5122" max="5122" width="41" style="1048" customWidth="1"/>
    <col min="5123" max="5125" width="32.81640625" style="1048" customWidth="1"/>
    <col min="5126" max="5376" width="8.7265625" style="1048"/>
    <col min="5377" max="5377" width="8.1796875" style="1048" customWidth="1"/>
    <col min="5378" max="5378" width="41" style="1048" customWidth="1"/>
    <col min="5379" max="5381" width="32.81640625" style="1048" customWidth="1"/>
    <col min="5382" max="5632" width="8.7265625" style="1048"/>
    <col min="5633" max="5633" width="8.1796875" style="1048" customWidth="1"/>
    <col min="5634" max="5634" width="41" style="1048" customWidth="1"/>
    <col min="5635" max="5637" width="32.81640625" style="1048" customWidth="1"/>
    <col min="5638" max="5888" width="8.7265625" style="1048"/>
    <col min="5889" max="5889" width="8.1796875" style="1048" customWidth="1"/>
    <col min="5890" max="5890" width="41" style="1048" customWidth="1"/>
    <col min="5891" max="5893" width="32.81640625" style="1048" customWidth="1"/>
    <col min="5894" max="6144" width="8.7265625" style="1048"/>
    <col min="6145" max="6145" width="8.1796875" style="1048" customWidth="1"/>
    <col min="6146" max="6146" width="41" style="1048" customWidth="1"/>
    <col min="6147" max="6149" width="32.81640625" style="1048" customWidth="1"/>
    <col min="6150" max="6400" width="8.7265625" style="1048"/>
    <col min="6401" max="6401" width="8.1796875" style="1048" customWidth="1"/>
    <col min="6402" max="6402" width="41" style="1048" customWidth="1"/>
    <col min="6403" max="6405" width="32.81640625" style="1048" customWidth="1"/>
    <col min="6406" max="6656" width="8.7265625" style="1048"/>
    <col min="6657" max="6657" width="8.1796875" style="1048" customWidth="1"/>
    <col min="6658" max="6658" width="41" style="1048" customWidth="1"/>
    <col min="6659" max="6661" width="32.81640625" style="1048" customWidth="1"/>
    <col min="6662" max="6912" width="8.7265625" style="1048"/>
    <col min="6913" max="6913" width="8.1796875" style="1048" customWidth="1"/>
    <col min="6914" max="6914" width="41" style="1048" customWidth="1"/>
    <col min="6915" max="6917" width="32.81640625" style="1048" customWidth="1"/>
    <col min="6918" max="7168" width="8.7265625" style="1048"/>
    <col min="7169" max="7169" width="8.1796875" style="1048" customWidth="1"/>
    <col min="7170" max="7170" width="41" style="1048" customWidth="1"/>
    <col min="7171" max="7173" width="32.81640625" style="1048" customWidth="1"/>
    <col min="7174" max="7424" width="8.7265625" style="1048"/>
    <col min="7425" max="7425" width="8.1796875" style="1048" customWidth="1"/>
    <col min="7426" max="7426" width="41" style="1048" customWidth="1"/>
    <col min="7427" max="7429" width="32.81640625" style="1048" customWidth="1"/>
    <col min="7430" max="7680" width="8.7265625" style="1048"/>
    <col min="7681" max="7681" width="8.1796875" style="1048" customWidth="1"/>
    <col min="7682" max="7682" width="41" style="1048" customWidth="1"/>
    <col min="7683" max="7685" width="32.81640625" style="1048" customWidth="1"/>
    <col min="7686" max="7936" width="8.7265625" style="1048"/>
    <col min="7937" max="7937" width="8.1796875" style="1048" customWidth="1"/>
    <col min="7938" max="7938" width="41" style="1048" customWidth="1"/>
    <col min="7939" max="7941" width="32.81640625" style="1048" customWidth="1"/>
    <col min="7942" max="8192" width="8.7265625" style="1048"/>
    <col min="8193" max="8193" width="8.1796875" style="1048" customWidth="1"/>
    <col min="8194" max="8194" width="41" style="1048" customWidth="1"/>
    <col min="8195" max="8197" width="32.81640625" style="1048" customWidth="1"/>
    <col min="8198" max="8448" width="8.7265625" style="1048"/>
    <col min="8449" max="8449" width="8.1796875" style="1048" customWidth="1"/>
    <col min="8450" max="8450" width="41" style="1048" customWidth="1"/>
    <col min="8451" max="8453" width="32.81640625" style="1048" customWidth="1"/>
    <col min="8454" max="8704" width="8.7265625" style="1048"/>
    <col min="8705" max="8705" width="8.1796875" style="1048" customWidth="1"/>
    <col min="8706" max="8706" width="41" style="1048" customWidth="1"/>
    <col min="8707" max="8709" width="32.81640625" style="1048" customWidth="1"/>
    <col min="8710" max="8960" width="8.7265625" style="1048"/>
    <col min="8961" max="8961" width="8.1796875" style="1048" customWidth="1"/>
    <col min="8962" max="8962" width="41" style="1048" customWidth="1"/>
    <col min="8963" max="8965" width="32.81640625" style="1048" customWidth="1"/>
    <col min="8966" max="9216" width="8.7265625" style="1048"/>
    <col min="9217" max="9217" width="8.1796875" style="1048" customWidth="1"/>
    <col min="9218" max="9218" width="41" style="1048" customWidth="1"/>
    <col min="9219" max="9221" width="32.81640625" style="1048" customWidth="1"/>
    <col min="9222" max="9472" width="8.7265625" style="1048"/>
    <col min="9473" max="9473" width="8.1796875" style="1048" customWidth="1"/>
    <col min="9474" max="9474" width="41" style="1048" customWidth="1"/>
    <col min="9475" max="9477" width="32.81640625" style="1048" customWidth="1"/>
    <col min="9478" max="9728" width="8.7265625" style="1048"/>
    <col min="9729" max="9729" width="8.1796875" style="1048" customWidth="1"/>
    <col min="9730" max="9730" width="41" style="1048" customWidth="1"/>
    <col min="9731" max="9733" width="32.81640625" style="1048" customWidth="1"/>
    <col min="9734" max="9984" width="8.7265625" style="1048"/>
    <col min="9985" max="9985" width="8.1796875" style="1048" customWidth="1"/>
    <col min="9986" max="9986" width="41" style="1048" customWidth="1"/>
    <col min="9987" max="9989" width="32.81640625" style="1048" customWidth="1"/>
    <col min="9990" max="10240" width="8.7265625" style="1048"/>
    <col min="10241" max="10241" width="8.1796875" style="1048" customWidth="1"/>
    <col min="10242" max="10242" width="41" style="1048" customWidth="1"/>
    <col min="10243" max="10245" width="32.81640625" style="1048" customWidth="1"/>
    <col min="10246" max="10496" width="8.7265625" style="1048"/>
    <col min="10497" max="10497" width="8.1796875" style="1048" customWidth="1"/>
    <col min="10498" max="10498" width="41" style="1048" customWidth="1"/>
    <col min="10499" max="10501" width="32.81640625" style="1048" customWidth="1"/>
    <col min="10502" max="10752" width="8.7265625" style="1048"/>
    <col min="10753" max="10753" width="8.1796875" style="1048" customWidth="1"/>
    <col min="10754" max="10754" width="41" style="1048" customWidth="1"/>
    <col min="10755" max="10757" width="32.81640625" style="1048" customWidth="1"/>
    <col min="10758" max="11008" width="8.7265625" style="1048"/>
    <col min="11009" max="11009" width="8.1796875" style="1048" customWidth="1"/>
    <col min="11010" max="11010" width="41" style="1048" customWidth="1"/>
    <col min="11011" max="11013" width="32.81640625" style="1048" customWidth="1"/>
    <col min="11014" max="11264" width="8.7265625" style="1048"/>
    <col min="11265" max="11265" width="8.1796875" style="1048" customWidth="1"/>
    <col min="11266" max="11266" width="41" style="1048" customWidth="1"/>
    <col min="11267" max="11269" width="32.81640625" style="1048" customWidth="1"/>
    <col min="11270" max="11520" width="8.7265625" style="1048"/>
    <col min="11521" max="11521" width="8.1796875" style="1048" customWidth="1"/>
    <col min="11522" max="11522" width="41" style="1048" customWidth="1"/>
    <col min="11523" max="11525" width="32.81640625" style="1048" customWidth="1"/>
    <col min="11526" max="11776" width="8.7265625" style="1048"/>
    <col min="11777" max="11777" width="8.1796875" style="1048" customWidth="1"/>
    <col min="11778" max="11778" width="41" style="1048" customWidth="1"/>
    <col min="11779" max="11781" width="32.81640625" style="1048" customWidth="1"/>
    <col min="11782" max="12032" width="8.7265625" style="1048"/>
    <col min="12033" max="12033" width="8.1796875" style="1048" customWidth="1"/>
    <col min="12034" max="12034" width="41" style="1048" customWidth="1"/>
    <col min="12035" max="12037" width="32.81640625" style="1048" customWidth="1"/>
    <col min="12038" max="12288" width="8.7265625" style="1048"/>
    <col min="12289" max="12289" width="8.1796875" style="1048" customWidth="1"/>
    <col min="12290" max="12290" width="41" style="1048" customWidth="1"/>
    <col min="12291" max="12293" width="32.81640625" style="1048" customWidth="1"/>
    <col min="12294" max="12544" width="8.7265625" style="1048"/>
    <col min="12545" max="12545" width="8.1796875" style="1048" customWidth="1"/>
    <col min="12546" max="12546" width="41" style="1048" customWidth="1"/>
    <col min="12547" max="12549" width="32.81640625" style="1048" customWidth="1"/>
    <col min="12550" max="12800" width="8.7265625" style="1048"/>
    <col min="12801" max="12801" width="8.1796875" style="1048" customWidth="1"/>
    <col min="12802" max="12802" width="41" style="1048" customWidth="1"/>
    <col min="12803" max="12805" width="32.81640625" style="1048" customWidth="1"/>
    <col min="12806" max="13056" width="8.7265625" style="1048"/>
    <col min="13057" max="13057" width="8.1796875" style="1048" customWidth="1"/>
    <col min="13058" max="13058" width="41" style="1048" customWidth="1"/>
    <col min="13059" max="13061" width="32.81640625" style="1048" customWidth="1"/>
    <col min="13062" max="13312" width="8.7265625" style="1048"/>
    <col min="13313" max="13313" width="8.1796875" style="1048" customWidth="1"/>
    <col min="13314" max="13314" width="41" style="1048" customWidth="1"/>
    <col min="13315" max="13317" width="32.81640625" style="1048" customWidth="1"/>
    <col min="13318" max="13568" width="8.7265625" style="1048"/>
    <col min="13569" max="13569" width="8.1796875" style="1048" customWidth="1"/>
    <col min="13570" max="13570" width="41" style="1048" customWidth="1"/>
    <col min="13571" max="13573" width="32.81640625" style="1048" customWidth="1"/>
    <col min="13574" max="13824" width="8.7265625" style="1048"/>
    <col min="13825" max="13825" width="8.1796875" style="1048" customWidth="1"/>
    <col min="13826" max="13826" width="41" style="1048" customWidth="1"/>
    <col min="13827" max="13829" width="32.81640625" style="1048" customWidth="1"/>
    <col min="13830" max="14080" width="8.7265625" style="1048"/>
    <col min="14081" max="14081" width="8.1796875" style="1048" customWidth="1"/>
    <col min="14082" max="14082" width="41" style="1048" customWidth="1"/>
    <col min="14083" max="14085" width="32.81640625" style="1048" customWidth="1"/>
    <col min="14086" max="14336" width="8.7265625" style="1048"/>
    <col min="14337" max="14337" width="8.1796875" style="1048" customWidth="1"/>
    <col min="14338" max="14338" width="41" style="1048" customWidth="1"/>
    <col min="14339" max="14341" width="32.81640625" style="1048" customWidth="1"/>
    <col min="14342" max="14592" width="8.7265625" style="1048"/>
    <col min="14593" max="14593" width="8.1796875" style="1048" customWidth="1"/>
    <col min="14594" max="14594" width="41" style="1048" customWidth="1"/>
    <col min="14595" max="14597" width="32.81640625" style="1048" customWidth="1"/>
    <col min="14598" max="14848" width="8.7265625" style="1048"/>
    <col min="14849" max="14849" width="8.1796875" style="1048" customWidth="1"/>
    <col min="14850" max="14850" width="41" style="1048" customWidth="1"/>
    <col min="14851" max="14853" width="32.81640625" style="1048" customWidth="1"/>
    <col min="14854" max="15104" width="8.7265625" style="1048"/>
    <col min="15105" max="15105" width="8.1796875" style="1048" customWidth="1"/>
    <col min="15106" max="15106" width="41" style="1048" customWidth="1"/>
    <col min="15107" max="15109" width="32.81640625" style="1048" customWidth="1"/>
    <col min="15110" max="15360" width="8.7265625" style="1048"/>
    <col min="15361" max="15361" width="8.1796875" style="1048" customWidth="1"/>
    <col min="15362" max="15362" width="41" style="1048" customWidth="1"/>
    <col min="15363" max="15365" width="32.81640625" style="1048" customWidth="1"/>
    <col min="15366" max="15616" width="8.7265625" style="1048"/>
    <col min="15617" max="15617" width="8.1796875" style="1048" customWidth="1"/>
    <col min="15618" max="15618" width="41" style="1048" customWidth="1"/>
    <col min="15619" max="15621" width="32.81640625" style="1048" customWidth="1"/>
    <col min="15622" max="15872" width="8.7265625" style="1048"/>
    <col min="15873" max="15873" width="8.1796875" style="1048" customWidth="1"/>
    <col min="15874" max="15874" width="41" style="1048" customWidth="1"/>
    <col min="15875" max="15877" width="32.81640625" style="1048" customWidth="1"/>
    <col min="15878" max="16128" width="8.7265625" style="1048"/>
    <col min="16129" max="16129" width="8.1796875" style="1048" customWidth="1"/>
    <col min="16130" max="16130" width="41" style="1048" customWidth="1"/>
    <col min="16131" max="16133" width="32.81640625" style="1048" customWidth="1"/>
    <col min="16134" max="16384" width="8.7265625" style="1048"/>
  </cols>
  <sheetData>
    <row r="1" spans="1:6" x14ac:dyDescent="0.35">
      <c r="A1" s="1483" t="s">
        <v>1389</v>
      </c>
      <c r="B1" s="1484"/>
    </row>
    <row r="3" spans="1:6" x14ac:dyDescent="0.35">
      <c r="B3" s="1164" t="s">
        <v>1209</v>
      </c>
      <c r="C3" s="1164"/>
      <c r="D3" s="1164"/>
      <c r="E3" s="1164"/>
      <c r="F3" s="1164"/>
    </row>
    <row r="5" spans="1:6" x14ac:dyDescent="0.35">
      <c r="A5" s="1482" t="s">
        <v>1208</v>
      </c>
      <c r="B5" s="1163"/>
      <c r="C5" s="1163"/>
      <c r="D5" s="1163"/>
      <c r="E5" s="1163"/>
    </row>
    <row r="6" spans="1:6" ht="15.5" x14ac:dyDescent="0.35">
      <c r="A6" s="1106" t="s">
        <v>1027</v>
      </c>
      <c r="B6" s="1106" t="s">
        <v>386</v>
      </c>
      <c r="C6" s="1106" t="s">
        <v>1138</v>
      </c>
      <c r="D6" s="1106" t="s">
        <v>1139</v>
      </c>
      <c r="E6" s="1106" t="s">
        <v>1140</v>
      </c>
    </row>
    <row r="7" spans="1:6" ht="15.5" x14ac:dyDescent="0.35">
      <c r="A7" s="1106">
        <v>1</v>
      </c>
      <c r="B7" s="1106">
        <v>2</v>
      </c>
      <c r="C7" s="1106">
        <v>3</v>
      </c>
      <c r="D7" s="1106">
        <v>4</v>
      </c>
      <c r="E7" s="1106">
        <v>5</v>
      </c>
    </row>
    <row r="8" spans="1:6" x14ac:dyDescent="0.35">
      <c r="A8" s="1107" t="s">
        <v>616</v>
      </c>
      <c r="B8" s="1108" t="s">
        <v>1176</v>
      </c>
      <c r="C8" s="1109">
        <v>57557925</v>
      </c>
      <c r="D8" s="1109">
        <v>0</v>
      </c>
      <c r="E8" s="1109">
        <v>57557925</v>
      </c>
    </row>
    <row r="9" spans="1:6" ht="25" x14ac:dyDescent="0.35">
      <c r="A9" s="1107" t="s">
        <v>618</v>
      </c>
      <c r="B9" s="1108" t="s">
        <v>1177</v>
      </c>
      <c r="C9" s="1109">
        <v>11628789</v>
      </c>
      <c r="D9" s="1109">
        <v>0</v>
      </c>
      <c r="E9" s="1109">
        <v>11628789</v>
      </c>
    </row>
    <row r="10" spans="1:6" ht="25" x14ac:dyDescent="0.35">
      <c r="A10" s="1107" t="s">
        <v>620</v>
      </c>
      <c r="B10" s="1108" t="s">
        <v>1178</v>
      </c>
      <c r="C10" s="1109">
        <v>5867108</v>
      </c>
      <c r="D10" s="1109">
        <v>0</v>
      </c>
      <c r="E10" s="1109">
        <v>5867108</v>
      </c>
    </row>
    <row r="11" spans="1:6" ht="26" x14ac:dyDescent="0.35">
      <c r="A11" s="1110" t="s">
        <v>622</v>
      </c>
      <c r="B11" s="1111" t="s">
        <v>1179</v>
      </c>
      <c r="C11" s="1112">
        <v>75053822</v>
      </c>
      <c r="D11" s="1112">
        <v>0</v>
      </c>
      <c r="E11" s="1112">
        <v>75053822</v>
      </c>
    </row>
    <row r="12" spans="1:6" ht="25" x14ac:dyDescent="0.35">
      <c r="A12" s="1107" t="s">
        <v>630</v>
      </c>
      <c r="B12" s="1108" t="s">
        <v>1180</v>
      </c>
      <c r="C12" s="1109">
        <v>233905949</v>
      </c>
      <c r="D12" s="1109">
        <v>-97468623</v>
      </c>
      <c r="E12" s="1109">
        <v>136437326</v>
      </c>
    </row>
    <row r="13" spans="1:6" ht="25" x14ac:dyDescent="0.35">
      <c r="A13" s="1107" t="s">
        <v>632</v>
      </c>
      <c r="B13" s="1108" t="s">
        <v>1181</v>
      </c>
      <c r="C13" s="1109">
        <v>18552717</v>
      </c>
      <c r="D13" s="1109">
        <v>0</v>
      </c>
      <c r="E13" s="1109">
        <v>18552717</v>
      </c>
    </row>
    <row r="14" spans="1:6" ht="25" x14ac:dyDescent="0.35">
      <c r="A14" s="1107" t="s">
        <v>1052</v>
      </c>
      <c r="B14" s="1108" t="s">
        <v>1182</v>
      </c>
      <c r="C14" s="1109">
        <v>5066988</v>
      </c>
      <c r="D14" s="1109">
        <v>0</v>
      </c>
      <c r="E14" s="1109">
        <v>5066988</v>
      </c>
    </row>
    <row r="15" spans="1:6" ht="26" x14ac:dyDescent="0.35">
      <c r="A15" s="1110" t="s">
        <v>1054</v>
      </c>
      <c r="B15" s="1111" t="s">
        <v>1183</v>
      </c>
      <c r="C15" s="1112">
        <v>257525654</v>
      </c>
      <c r="D15" s="1112">
        <v>-97468623</v>
      </c>
      <c r="E15" s="1112">
        <v>160057031</v>
      </c>
    </row>
    <row r="16" spans="1:6" x14ac:dyDescent="0.35">
      <c r="A16" s="1107" t="s">
        <v>1148</v>
      </c>
      <c r="B16" s="1108" t="s">
        <v>1184</v>
      </c>
      <c r="C16" s="1109">
        <v>4249741</v>
      </c>
      <c r="D16" s="1109">
        <v>0</v>
      </c>
      <c r="E16" s="1109">
        <v>4249741</v>
      </c>
    </row>
    <row r="17" spans="1:5" x14ac:dyDescent="0.35">
      <c r="A17" s="1107" t="s">
        <v>1065</v>
      </c>
      <c r="B17" s="1108" t="s">
        <v>1185</v>
      </c>
      <c r="C17" s="1109">
        <v>48863412</v>
      </c>
      <c r="D17" s="1109">
        <v>0</v>
      </c>
      <c r="E17" s="1109">
        <v>48863412</v>
      </c>
    </row>
    <row r="18" spans="1:5" x14ac:dyDescent="0.35">
      <c r="A18" s="1107" t="s">
        <v>1152</v>
      </c>
      <c r="B18" s="1108" t="s">
        <v>1186</v>
      </c>
      <c r="C18" s="1109">
        <v>116396</v>
      </c>
      <c r="D18" s="1109">
        <v>0</v>
      </c>
      <c r="E18" s="1109">
        <v>116396</v>
      </c>
    </row>
    <row r="19" spans="1:5" x14ac:dyDescent="0.35">
      <c r="A19" s="1110" t="s">
        <v>1094</v>
      </c>
      <c r="B19" s="1111" t="s">
        <v>1187</v>
      </c>
      <c r="C19" s="1112">
        <v>53229549</v>
      </c>
      <c r="D19" s="1112">
        <v>0</v>
      </c>
      <c r="E19" s="1112">
        <v>53229549</v>
      </c>
    </row>
    <row r="20" spans="1:5" x14ac:dyDescent="0.35">
      <c r="A20" s="1107" t="s">
        <v>1188</v>
      </c>
      <c r="B20" s="1108" t="s">
        <v>1189</v>
      </c>
      <c r="C20" s="1109">
        <v>68213265</v>
      </c>
      <c r="D20" s="1109">
        <v>0</v>
      </c>
      <c r="E20" s="1109">
        <v>68213265</v>
      </c>
    </row>
    <row r="21" spans="1:5" x14ac:dyDescent="0.35">
      <c r="A21" s="1107" t="s">
        <v>1067</v>
      </c>
      <c r="B21" s="1108" t="s">
        <v>1190</v>
      </c>
      <c r="C21" s="1109">
        <v>22315218</v>
      </c>
      <c r="D21" s="1109">
        <v>0</v>
      </c>
      <c r="E21" s="1109">
        <v>22315218</v>
      </c>
    </row>
    <row r="22" spans="1:5" x14ac:dyDescent="0.35">
      <c r="A22" s="1107" t="s">
        <v>1069</v>
      </c>
      <c r="B22" s="1108" t="s">
        <v>1191</v>
      </c>
      <c r="C22" s="1109">
        <v>14583414</v>
      </c>
      <c r="D22" s="1109">
        <v>0</v>
      </c>
      <c r="E22" s="1109">
        <v>14583414</v>
      </c>
    </row>
    <row r="23" spans="1:5" x14ac:dyDescent="0.35">
      <c r="A23" s="1110" t="s">
        <v>1157</v>
      </c>
      <c r="B23" s="1111" t="s">
        <v>1192</v>
      </c>
      <c r="C23" s="1112">
        <v>105111897</v>
      </c>
      <c r="D23" s="1112">
        <v>0</v>
      </c>
      <c r="E23" s="1112">
        <v>105111897</v>
      </c>
    </row>
    <row r="24" spans="1:5" x14ac:dyDescent="0.35">
      <c r="A24" s="1110" t="s">
        <v>1193</v>
      </c>
      <c r="B24" s="1111" t="s">
        <v>1194</v>
      </c>
      <c r="C24" s="1112">
        <v>48662123</v>
      </c>
      <c r="D24" s="1112">
        <v>0</v>
      </c>
      <c r="E24" s="1112">
        <v>48662123</v>
      </c>
    </row>
    <row r="25" spans="1:5" x14ac:dyDescent="0.35">
      <c r="A25" s="1110" t="s">
        <v>1159</v>
      </c>
      <c r="B25" s="1111" t="s">
        <v>1195</v>
      </c>
      <c r="C25" s="1112">
        <v>158315765</v>
      </c>
      <c r="D25" s="1112">
        <v>-97468623</v>
      </c>
      <c r="E25" s="1112">
        <v>60847142</v>
      </c>
    </row>
    <row r="26" spans="1:5" ht="26" x14ac:dyDescent="0.35">
      <c r="A26" s="1110" t="s">
        <v>1161</v>
      </c>
      <c r="B26" s="1111" t="s">
        <v>1196</v>
      </c>
      <c r="C26" s="1112">
        <v>-32739858</v>
      </c>
      <c r="D26" s="1112">
        <v>0</v>
      </c>
      <c r="E26" s="1112">
        <v>-32739858</v>
      </c>
    </row>
    <row r="27" spans="1:5" ht="25" x14ac:dyDescent="0.35">
      <c r="A27" s="1107" t="s">
        <v>1169</v>
      </c>
      <c r="B27" s="1108" t="s">
        <v>1197</v>
      </c>
      <c r="C27" s="1109">
        <v>10262</v>
      </c>
      <c r="D27" s="1109">
        <v>0</v>
      </c>
      <c r="E27" s="1109">
        <v>10262</v>
      </c>
    </row>
    <row r="28" spans="1:5" ht="26" x14ac:dyDescent="0.35">
      <c r="A28" s="1110" t="s">
        <v>1198</v>
      </c>
      <c r="B28" s="1111" t="s">
        <v>1199</v>
      </c>
      <c r="C28" s="1112">
        <v>10262</v>
      </c>
      <c r="D28" s="1112">
        <v>0</v>
      </c>
      <c r="E28" s="1112">
        <v>10262</v>
      </c>
    </row>
    <row r="29" spans="1:5" ht="25" x14ac:dyDescent="0.35">
      <c r="A29" s="1107" t="s">
        <v>1200</v>
      </c>
      <c r="B29" s="1108" t="s">
        <v>1201</v>
      </c>
      <c r="C29" s="1109">
        <v>31618</v>
      </c>
      <c r="D29" s="1109">
        <v>0</v>
      </c>
      <c r="E29" s="1109">
        <v>31618</v>
      </c>
    </row>
    <row r="30" spans="1:5" ht="26" x14ac:dyDescent="0.35">
      <c r="A30" s="1110" t="s">
        <v>1202</v>
      </c>
      <c r="B30" s="1111" t="s">
        <v>1203</v>
      </c>
      <c r="C30" s="1112">
        <v>31618</v>
      </c>
      <c r="D30" s="1112">
        <v>0</v>
      </c>
      <c r="E30" s="1112">
        <v>31618</v>
      </c>
    </row>
    <row r="31" spans="1:5" ht="26" x14ac:dyDescent="0.35">
      <c r="A31" s="1110" t="s">
        <v>1204</v>
      </c>
      <c r="B31" s="1111" t="s">
        <v>1205</v>
      </c>
      <c r="C31" s="1112">
        <v>-21356</v>
      </c>
      <c r="D31" s="1112">
        <v>0</v>
      </c>
      <c r="E31" s="1112">
        <v>-21356</v>
      </c>
    </row>
    <row r="32" spans="1:5" x14ac:dyDescent="0.35">
      <c r="A32" s="1110" t="s">
        <v>1206</v>
      </c>
      <c r="B32" s="1111" t="s">
        <v>1207</v>
      </c>
      <c r="C32" s="1112">
        <v>-32761214</v>
      </c>
      <c r="D32" s="1112">
        <v>0</v>
      </c>
      <c r="E32" s="1112">
        <v>-32761214</v>
      </c>
    </row>
  </sheetData>
  <mergeCells count="3">
    <mergeCell ref="A5:E5"/>
    <mergeCell ref="B3:F3"/>
    <mergeCell ref="A1:B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F304-D763-44F1-AC6F-25111718E15F}">
  <dimension ref="A1:N115"/>
  <sheetViews>
    <sheetView tabSelected="1" workbookViewId="0"/>
  </sheetViews>
  <sheetFormatPr defaultRowHeight="14.5" x14ac:dyDescent="0.35"/>
  <cols>
    <col min="1" max="1" width="30" customWidth="1"/>
    <col min="2" max="2" width="5" customWidth="1"/>
    <col min="3" max="4" width="13" style="456" customWidth="1"/>
    <col min="5" max="5" width="13" customWidth="1"/>
    <col min="12" max="12" width="15.54296875" bestFit="1" customWidth="1"/>
    <col min="13" max="13" width="15.81640625" customWidth="1"/>
  </cols>
  <sheetData>
    <row r="1" spans="1:14" s="532" customFormat="1" x14ac:dyDescent="0.35">
      <c r="A1" s="532" t="s">
        <v>1390</v>
      </c>
      <c r="C1" s="456"/>
      <c r="D1" s="456"/>
    </row>
    <row r="2" spans="1:14" s="532" customFormat="1" x14ac:dyDescent="0.35">
      <c r="C2" s="456"/>
      <c r="D2" s="456"/>
    </row>
    <row r="3" spans="1:14" ht="16" x14ac:dyDescent="0.5">
      <c r="A3" s="1485" t="s">
        <v>1212</v>
      </c>
      <c r="B3" s="1486"/>
      <c r="C3" s="1486"/>
      <c r="D3" s="1486"/>
      <c r="E3" s="1486"/>
    </row>
    <row r="4" spans="1:14" x14ac:dyDescent="0.35">
      <c r="A4" s="1488" t="s">
        <v>386</v>
      </c>
      <c r="B4" s="1488" t="s">
        <v>1</v>
      </c>
      <c r="C4" s="1487" t="s">
        <v>344</v>
      </c>
      <c r="D4" s="1487"/>
      <c r="E4" s="1487"/>
      <c r="F4" s="1142" t="s">
        <v>0</v>
      </c>
      <c r="G4" s="1142"/>
      <c r="H4" s="1142"/>
      <c r="I4" s="1142" t="s">
        <v>340</v>
      </c>
      <c r="J4" s="1142"/>
      <c r="K4" s="1142"/>
      <c r="L4" s="1142" t="s">
        <v>4</v>
      </c>
      <c r="M4" s="1142"/>
      <c r="N4" s="1142"/>
    </row>
    <row r="5" spans="1:14" ht="26.5" customHeight="1" x14ac:dyDescent="0.35">
      <c r="A5" s="1488"/>
      <c r="B5" s="1488"/>
      <c r="C5" s="1115" t="s">
        <v>1213</v>
      </c>
      <c r="D5" s="1115" t="s">
        <v>1214</v>
      </c>
      <c r="E5" s="1116" t="s">
        <v>1215</v>
      </c>
      <c r="F5" s="1117" t="s">
        <v>1213</v>
      </c>
      <c r="G5" s="1117" t="s">
        <v>1214</v>
      </c>
      <c r="H5" s="1116" t="s">
        <v>1215</v>
      </c>
      <c r="I5" s="1038" t="s">
        <v>1213</v>
      </c>
      <c r="J5" s="1038" t="s">
        <v>1214</v>
      </c>
      <c r="K5" s="1038" t="s">
        <v>1215</v>
      </c>
      <c r="L5" s="1038" t="s">
        <v>1213</v>
      </c>
      <c r="M5" s="1038" t="s">
        <v>1214</v>
      </c>
      <c r="N5" s="1038" t="s">
        <v>1215</v>
      </c>
    </row>
    <row r="6" spans="1:14" x14ac:dyDescent="0.35">
      <c r="A6" s="1118">
        <v>1</v>
      </c>
      <c r="B6" s="1118">
        <v>2</v>
      </c>
      <c r="C6" s="1119">
        <v>3</v>
      </c>
      <c r="D6" s="1119">
        <v>4</v>
      </c>
      <c r="E6" s="1118">
        <v>5</v>
      </c>
      <c r="F6" s="1118">
        <v>6</v>
      </c>
      <c r="G6" s="1118">
        <v>7</v>
      </c>
      <c r="H6" s="1118">
        <v>8</v>
      </c>
      <c r="I6" s="1038">
        <v>9</v>
      </c>
      <c r="J6" s="1038">
        <v>10</v>
      </c>
      <c r="K6" s="1038">
        <v>11</v>
      </c>
      <c r="L6" s="1038">
        <v>12</v>
      </c>
      <c r="M6" s="1038">
        <v>13</v>
      </c>
      <c r="N6" s="1038">
        <v>14</v>
      </c>
    </row>
    <row r="7" spans="1:14" x14ac:dyDescent="0.35">
      <c r="A7" s="1120" t="s">
        <v>1216</v>
      </c>
      <c r="B7" s="1121" t="s">
        <v>695</v>
      </c>
      <c r="C7" s="1122" t="s">
        <v>695</v>
      </c>
      <c r="D7" s="1122" t="s">
        <v>695</v>
      </c>
      <c r="E7" s="1121" t="s">
        <v>695</v>
      </c>
      <c r="F7" s="1121" t="s">
        <v>695</v>
      </c>
      <c r="G7" s="1121" t="s">
        <v>695</v>
      </c>
      <c r="H7" s="1121" t="s">
        <v>695</v>
      </c>
      <c r="I7" s="1038" t="s">
        <v>695</v>
      </c>
      <c r="J7" s="1038" t="s">
        <v>695</v>
      </c>
      <c r="K7" s="1038" t="s">
        <v>695</v>
      </c>
      <c r="L7" s="1038"/>
      <c r="M7" s="1038"/>
      <c r="N7" s="1038"/>
    </row>
    <row r="8" spans="1:14" ht="26.5" x14ac:dyDescent="0.35">
      <c r="A8" s="1117" t="s">
        <v>1217</v>
      </c>
      <c r="B8" s="1123" t="s">
        <v>1218</v>
      </c>
      <c r="C8" s="1124">
        <v>1332620593</v>
      </c>
      <c r="D8" s="1124">
        <v>1347328994</v>
      </c>
      <c r="E8" s="1125">
        <v>101</v>
      </c>
      <c r="F8" s="1125">
        <v>0</v>
      </c>
      <c r="G8" s="1125">
        <v>0</v>
      </c>
      <c r="H8" s="1125">
        <v>0</v>
      </c>
      <c r="I8" s="1038">
        <v>0</v>
      </c>
      <c r="J8" s="1038">
        <v>787778</v>
      </c>
      <c r="K8" s="1038">
        <v>0</v>
      </c>
      <c r="L8" s="890">
        <f>C8+F8+I8</f>
        <v>1332620593</v>
      </c>
      <c r="M8" s="890">
        <f t="shared" ref="M8:N8" si="0">D8+G8+J8</f>
        <v>1348116772</v>
      </c>
      <c r="N8" s="890">
        <f t="shared" si="0"/>
        <v>101</v>
      </c>
    </row>
    <row r="9" spans="1:14" x14ac:dyDescent="0.35">
      <c r="A9" s="1117" t="s">
        <v>1219</v>
      </c>
      <c r="B9" s="1123" t="s">
        <v>1220</v>
      </c>
      <c r="C9" s="1126">
        <v>209912</v>
      </c>
      <c r="D9" s="1126">
        <v>1000000</v>
      </c>
      <c r="E9" s="1125">
        <v>476</v>
      </c>
      <c r="F9" s="1125">
        <v>0</v>
      </c>
      <c r="G9" s="1125">
        <v>0</v>
      </c>
      <c r="H9" s="1125">
        <v>0</v>
      </c>
      <c r="I9" s="1038">
        <v>0</v>
      </c>
      <c r="J9" s="1038">
        <v>0</v>
      </c>
      <c r="K9" s="1038">
        <v>0</v>
      </c>
      <c r="L9" s="890">
        <f t="shared" ref="L9:L72" si="1">C9+F9+I9</f>
        <v>209912</v>
      </c>
      <c r="M9" s="890">
        <f t="shared" ref="M9:M72" si="2">D9+G9+J9</f>
        <v>1000000</v>
      </c>
      <c r="N9" s="890">
        <f t="shared" ref="N9:N72" si="3">E9+H9+K9</f>
        <v>476</v>
      </c>
    </row>
    <row r="10" spans="1:14" x14ac:dyDescent="0.35">
      <c r="A10" s="1117" t="s">
        <v>1221</v>
      </c>
      <c r="B10" s="1123" t="s">
        <v>1222</v>
      </c>
      <c r="C10" s="1126">
        <v>0</v>
      </c>
      <c r="D10" s="1126">
        <v>0</v>
      </c>
      <c r="E10" s="1125">
        <v>0</v>
      </c>
      <c r="F10" s="1125">
        <v>0</v>
      </c>
      <c r="G10" s="1125">
        <v>0</v>
      </c>
      <c r="H10" s="1125">
        <v>0</v>
      </c>
      <c r="I10" s="1038">
        <v>0</v>
      </c>
      <c r="J10" s="1038">
        <v>0</v>
      </c>
      <c r="K10" s="1038">
        <v>0</v>
      </c>
      <c r="L10" s="890">
        <f t="shared" si="1"/>
        <v>0</v>
      </c>
      <c r="M10" s="890">
        <f t="shared" si="2"/>
        <v>0</v>
      </c>
      <c r="N10" s="890">
        <f t="shared" si="3"/>
        <v>0</v>
      </c>
    </row>
    <row r="11" spans="1:14" ht="24.5" x14ac:dyDescent="0.35">
      <c r="A11" s="1117" t="s">
        <v>1223</v>
      </c>
      <c r="B11" s="1123" t="s">
        <v>1224</v>
      </c>
      <c r="C11" s="1126">
        <v>0</v>
      </c>
      <c r="D11" s="1126">
        <v>0</v>
      </c>
      <c r="E11" s="1125">
        <v>0</v>
      </c>
      <c r="F11" s="1125">
        <v>0</v>
      </c>
      <c r="G11" s="1125">
        <v>0</v>
      </c>
      <c r="H11" s="1125">
        <v>0</v>
      </c>
      <c r="I11" s="1038">
        <v>0</v>
      </c>
      <c r="J11" s="1038">
        <v>0</v>
      </c>
      <c r="K11" s="1038">
        <v>0</v>
      </c>
      <c r="L11" s="890">
        <f t="shared" si="1"/>
        <v>0</v>
      </c>
      <c r="M11" s="890">
        <f t="shared" si="2"/>
        <v>0</v>
      </c>
      <c r="N11" s="890">
        <f t="shared" si="3"/>
        <v>0</v>
      </c>
    </row>
    <row r="12" spans="1:14" ht="26.5" x14ac:dyDescent="0.35">
      <c r="A12" s="1117" t="s">
        <v>1225</v>
      </c>
      <c r="B12" s="1123" t="s">
        <v>1226</v>
      </c>
      <c r="C12" s="1126">
        <v>0</v>
      </c>
      <c r="D12" s="1126">
        <v>0</v>
      </c>
      <c r="E12" s="1125">
        <v>0</v>
      </c>
      <c r="F12" s="1125">
        <v>0</v>
      </c>
      <c r="G12" s="1125">
        <v>0</v>
      </c>
      <c r="H12" s="1125">
        <v>0</v>
      </c>
      <c r="I12" s="1038">
        <v>0</v>
      </c>
      <c r="J12" s="1038">
        <v>0</v>
      </c>
      <c r="K12" s="1038">
        <v>0</v>
      </c>
      <c r="L12" s="890">
        <f t="shared" si="1"/>
        <v>0</v>
      </c>
      <c r="M12" s="890">
        <f t="shared" si="2"/>
        <v>0</v>
      </c>
      <c r="N12" s="890">
        <f t="shared" si="3"/>
        <v>0</v>
      </c>
    </row>
    <row r="13" spans="1:14" ht="26.5" x14ac:dyDescent="0.35">
      <c r="A13" s="1117" t="s">
        <v>1227</v>
      </c>
      <c r="B13" s="1123" t="s">
        <v>1228</v>
      </c>
      <c r="C13" s="1126">
        <v>0</v>
      </c>
      <c r="D13" s="1126">
        <v>0</v>
      </c>
      <c r="E13" s="1125">
        <v>0</v>
      </c>
      <c r="F13" s="1125">
        <v>0</v>
      </c>
      <c r="G13" s="1125">
        <v>0</v>
      </c>
      <c r="H13" s="1125">
        <v>0</v>
      </c>
      <c r="I13" s="1038">
        <v>0</v>
      </c>
      <c r="J13" s="1038">
        <v>0</v>
      </c>
      <c r="K13" s="1038">
        <v>0</v>
      </c>
      <c r="L13" s="890">
        <f t="shared" si="1"/>
        <v>0</v>
      </c>
      <c r="M13" s="890">
        <f t="shared" si="2"/>
        <v>0</v>
      </c>
      <c r="N13" s="890">
        <f t="shared" si="3"/>
        <v>0</v>
      </c>
    </row>
    <row r="14" spans="1:14" ht="24.5" x14ac:dyDescent="0.35">
      <c r="A14" s="1117" t="s">
        <v>1229</v>
      </c>
      <c r="B14" s="1123" t="s">
        <v>1230</v>
      </c>
      <c r="C14" s="1126">
        <v>0</v>
      </c>
      <c r="D14" s="1126">
        <v>0</v>
      </c>
      <c r="E14" s="1125">
        <v>0</v>
      </c>
      <c r="F14" s="1125">
        <v>0</v>
      </c>
      <c r="G14" s="1125">
        <v>0</v>
      </c>
      <c r="H14" s="1125">
        <v>0</v>
      </c>
      <c r="I14" s="1038">
        <v>0</v>
      </c>
      <c r="J14" s="1038">
        <v>0</v>
      </c>
      <c r="K14" s="1038">
        <v>0</v>
      </c>
      <c r="L14" s="890">
        <f t="shared" si="1"/>
        <v>0</v>
      </c>
      <c r="M14" s="890">
        <f t="shared" si="2"/>
        <v>0</v>
      </c>
      <c r="N14" s="890">
        <f t="shared" si="3"/>
        <v>0</v>
      </c>
    </row>
    <row r="15" spans="1:14" x14ac:dyDescent="0.35">
      <c r="A15" s="1117" t="s">
        <v>1231</v>
      </c>
      <c r="B15" s="1123" t="s">
        <v>1232</v>
      </c>
      <c r="C15" s="1126">
        <v>209912</v>
      </c>
      <c r="D15" s="1126">
        <v>1000000</v>
      </c>
      <c r="E15" s="1125">
        <v>476</v>
      </c>
      <c r="F15" s="1125">
        <v>0</v>
      </c>
      <c r="G15" s="1125">
        <v>0</v>
      </c>
      <c r="H15" s="1125">
        <v>0</v>
      </c>
      <c r="I15" s="1038">
        <v>0</v>
      </c>
      <c r="J15" s="1038">
        <v>0</v>
      </c>
      <c r="K15" s="1038">
        <v>0</v>
      </c>
      <c r="L15" s="890">
        <f t="shared" si="1"/>
        <v>209912</v>
      </c>
      <c r="M15" s="890">
        <f t="shared" si="2"/>
        <v>1000000</v>
      </c>
      <c r="N15" s="890">
        <f t="shared" si="3"/>
        <v>476</v>
      </c>
    </row>
    <row r="16" spans="1:14" ht="24.5" x14ac:dyDescent="0.35">
      <c r="A16" s="1117" t="s">
        <v>1223</v>
      </c>
      <c r="B16" s="1123" t="s">
        <v>1233</v>
      </c>
      <c r="C16" s="1126">
        <v>0</v>
      </c>
      <c r="D16" s="1126">
        <v>0</v>
      </c>
      <c r="E16" s="1125">
        <v>0</v>
      </c>
      <c r="F16" s="1125">
        <v>0</v>
      </c>
      <c r="G16" s="1125">
        <v>0</v>
      </c>
      <c r="H16" s="1125">
        <v>0</v>
      </c>
      <c r="I16" s="1038">
        <v>0</v>
      </c>
      <c r="J16" s="1038">
        <v>0</v>
      </c>
      <c r="K16" s="1038">
        <v>0</v>
      </c>
      <c r="L16" s="890">
        <f t="shared" si="1"/>
        <v>0</v>
      </c>
      <c r="M16" s="890">
        <f t="shared" si="2"/>
        <v>0</v>
      </c>
      <c r="N16" s="890">
        <f t="shared" si="3"/>
        <v>0</v>
      </c>
    </row>
    <row r="17" spans="1:14" ht="26.5" x14ac:dyDescent="0.35">
      <c r="A17" s="1117" t="s">
        <v>1225</v>
      </c>
      <c r="B17" s="1123" t="s">
        <v>1234</v>
      </c>
      <c r="C17" s="1126">
        <v>0</v>
      </c>
      <c r="D17" s="1126">
        <v>0</v>
      </c>
      <c r="E17" s="1125">
        <v>0</v>
      </c>
      <c r="F17" s="1125">
        <v>0</v>
      </c>
      <c r="G17" s="1125">
        <v>0</v>
      </c>
      <c r="H17" s="1125">
        <v>0</v>
      </c>
      <c r="I17" s="1038">
        <v>0</v>
      </c>
      <c r="J17" s="1038">
        <v>0</v>
      </c>
      <c r="K17" s="1038">
        <v>0</v>
      </c>
      <c r="L17" s="890">
        <f t="shared" si="1"/>
        <v>0</v>
      </c>
      <c r="M17" s="890">
        <f t="shared" si="2"/>
        <v>0</v>
      </c>
      <c r="N17" s="890">
        <f t="shared" si="3"/>
        <v>0</v>
      </c>
    </row>
    <row r="18" spans="1:14" ht="26.5" x14ac:dyDescent="0.35">
      <c r="A18" s="1117" t="s">
        <v>1227</v>
      </c>
      <c r="B18" s="1123" t="s">
        <v>1235</v>
      </c>
      <c r="C18" s="1126">
        <v>0</v>
      </c>
      <c r="D18" s="1126">
        <v>1000000</v>
      </c>
      <c r="E18" s="1125">
        <v>0</v>
      </c>
      <c r="F18" s="1125">
        <v>0</v>
      </c>
      <c r="G18" s="1125">
        <v>0</v>
      </c>
      <c r="H18" s="1125">
        <v>0</v>
      </c>
      <c r="I18" s="1038">
        <v>0</v>
      </c>
      <c r="J18" s="1038">
        <v>0</v>
      </c>
      <c r="K18" s="1038">
        <v>0</v>
      </c>
      <c r="L18" s="890">
        <f t="shared" si="1"/>
        <v>0</v>
      </c>
      <c r="M18" s="890">
        <f t="shared" si="2"/>
        <v>1000000</v>
      </c>
      <c r="N18" s="890">
        <f t="shared" si="3"/>
        <v>0</v>
      </c>
    </row>
    <row r="19" spans="1:14" ht="24.5" x14ac:dyDescent="0.35">
      <c r="A19" s="1117" t="s">
        <v>1229</v>
      </c>
      <c r="B19" s="1123" t="s">
        <v>1236</v>
      </c>
      <c r="C19" s="1126">
        <v>209912</v>
      </c>
      <c r="D19" s="1126">
        <v>0</v>
      </c>
      <c r="E19" s="1125">
        <v>0</v>
      </c>
      <c r="F19" s="1125">
        <v>0</v>
      </c>
      <c r="G19" s="1125">
        <v>0</v>
      </c>
      <c r="H19" s="1125">
        <v>0</v>
      </c>
      <c r="I19" s="1038">
        <v>0</v>
      </c>
      <c r="J19" s="1038">
        <v>0</v>
      </c>
      <c r="K19" s="1038">
        <v>0</v>
      </c>
      <c r="L19" s="890">
        <f t="shared" si="1"/>
        <v>209912</v>
      </c>
      <c r="M19" s="890">
        <f t="shared" si="2"/>
        <v>0</v>
      </c>
      <c r="N19" s="890">
        <f t="shared" si="3"/>
        <v>0</v>
      </c>
    </row>
    <row r="20" spans="1:14" ht="26.5" x14ac:dyDescent="0.35">
      <c r="A20" s="1117" t="s">
        <v>1237</v>
      </c>
      <c r="B20" s="1123" t="s">
        <v>1238</v>
      </c>
      <c r="C20" s="1126">
        <v>0</v>
      </c>
      <c r="D20" s="1126">
        <v>0</v>
      </c>
      <c r="E20" s="1125">
        <v>0</v>
      </c>
      <c r="F20" s="1125">
        <v>0</v>
      </c>
      <c r="G20" s="1125">
        <v>0</v>
      </c>
      <c r="H20" s="1125">
        <v>0</v>
      </c>
      <c r="I20" s="1038">
        <v>0</v>
      </c>
      <c r="J20" s="1038">
        <v>0</v>
      </c>
      <c r="K20" s="1038">
        <v>0</v>
      </c>
      <c r="L20" s="890">
        <f t="shared" si="1"/>
        <v>0</v>
      </c>
      <c r="M20" s="890">
        <f t="shared" si="2"/>
        <v>0</v>
      </c>
      <c r="N20" s="890">
        <f t="shared" si="3"/>
        <v>0</v>
      </c>
    </row>
    <row r="21" spans="1:14" ht="24.5" x14ac:dyDescent="0.35">
      <c r="A21" s="1117" t="s">
        <v>1223</v>
      </c>
      <c r="B21" s="1123" t="s">
        <v>1239</v>
      </c>
      <c r="C21" s="1126">
        <v>0</v>
      </c>
      <c r="D21" s="1126">
        <v>0</v>
      </c>
      <c r="E21" s="1125">
        <v>0</v>
      </c>
      <c r="F21" s="1125">
        <v>0</v>
      </c>
      <c r="G21" s="1125">
        <v>0</v>
      </c>
      <c r="H21" s="1125">
        <v>0</v>
      </c>
      <c r="I21" s="1038">
        <v>0</v>
      </c>
      <c r="J21" s="1038">
        <v>0</v>
      </c>
      <c r="K21" s="1038">
        <v>0</v>
      </c>
      <c r="L21" s="890">
        <f t="shared" si="1"/>
        <v>0</v>
      </c>
      <c r="M21" s="890">
        <f t="shared" si="2"/>
        <v>0</v>
      </c>
      <c r="N21" s="890">
        <f t="shared" si="3"/>
        <v>0</v>
      </c>
    </row>
    <row r="22" spans="1:14" ht="26.5" x14ac:dyDescent="0.35">
      <c r="A22" s="1117" t="s">
        <v>1225</v>
      </c>
      <c r="B22" s="1123" t="s">
        <v>1240</v>
      </c>
      <c r="C22" s="1126">
        <v>0</v>
      </c>
      <c r="D22" s="1126">
        <v>0</v>
      </c>
      <c r="E22" s="1125">
        <v>0</v>
      </c>
      <c r="F22" s="1125">
        <v>0</v>
      </c>
      <c r="G22" s="1125">
        <v>0</v>
      </c>
      <c r="H22" s="1125">
        <v>0</v>
      </c>
      <c r="I22" s="1038">
        <v>0</v>
      </c>
      <c r="J22" s="1038">
        <v>0</v>
      </c>
      <c r="K22" s="1038">
        <v>0</v>
      </c>
      <c r="L22" s="890">
        <f t="shared" si="1"/>
        <v>0</v>
      </c>
      <c r="M22" s="890">
        <f t="shared" si="2"/>
        <v>0</v>
      </c>
      <c r="N22" s="890">
        <f t="shared" si="3"/>
        <v>0</v>
      </c>
    </row>
    <row r="23" spans="1:14" ht="26.5" x14ac:dyDescent="0.35">
      <c r="A23" s="1117" t="s">
        <v>1227</v>
      </c>
      <c r="B23" s="1123" t="s">
        <v>1241</v>
      </c>
      <c r="C23" s="1126">
        <v>0</v>
      </c>
      <c r="D23" s="1126">
        <v>0</v>
      </c>
      <c r="E23" s="1125">
        <v>0</v>
      </c>
      <c r="F23" s="1125">
        <v>0</v>
      </c>
      <c r="G23" s="1125">
        <v>0</v>
      </c>
      <c r="H23" s="1125">
        <v>0</v>
      </c>
      <c r="I23" s="1038">
        <v>0</v>
      </c>
      <c r="J23" s="1038">
        <v>0</v>
      </c>
      <c r="K23" s="1038">
        <v>0</v>
      </c>
      <c r="L23" s="890">
        <f t="shared" si="1"/>
        <v>0</v>
      </c>
      <c r="M23" s="890">
        <f t="shared" si="2"/>
        <v>0</v>
      </c>
      <c r="N23" s="890">
        <f t="shared" si="3"/>
        <v>0</v>
      </c>
    </row>
    <row r="24" spans="1:14" ht="24.5" x14ac:dyDescent="0.35">
      <c r="A24" s="1117" t="s">
        <v>1229</v>
      </c>
      <c r="B24" s="1123" t="s">
        <v>1242</v>
      </c>
      <c r="C24" s="1126">
        <v>0</v>
      </c>
      <c r="D24" s="1126">
        <v>0</v>
      </c>
      <c r="E24" s="1125">
        <v>0</v>
      </c>
      <c r="F24" s="1125">
        <v>0</v>
      </c>
      <c r="G24" s="1125">
        <v>0</v>
      </c>
      <c r="H24" s="1125">
        <v>0</v>
      </c>
      <c r="I24" s="1038">
        <v>0</v>
      </c>
      <c r="J24" s="1038">
        <v>0</v>
      </c>
      <c r="K24" s="1038">
        <v>0</v>
      </c>
      <c r="L24" s="890">
        <f t="shared" si="1"/>
        <v>0</v>
      </c>
      <c r="M24" s="890">
        <f t="shared" si="2"/>
        <v>0</v>
      </c>
      <c r="N24" s="890">
        <f t="shared" si="3"/>
        <v>0</v>
      </c>
    </row>
    <row r="25" spans="1:14" x14ac:dyDescent="0.35">
      <c r="A25" s="1117" t="s">
        <v>1243</v>
      </c>
      <c r="B25" s="1123" t="s">
        <v>1244</v>
      </c>
      <c r="C25" s="1124">
        <v>1332387481</v>
      </c>
      <c r="D25" s="1124">
        <v>1346305794</v>
      </c>
      <c r="E25" s="1125">
        <v>101</v>
      </c>
      <c r="F25" s="1125">
        <v>0</v>
      </c>
      <c r="G25" s="1125">
        <v>0</v>
      </c>
      <c r="H25" s="1125">
        <v>0</v>
      </c>
      <c r="I25" s="1038">
        <v>0</v>
      </c>
      <c r="J25" s="1038">
        <v>787778</v>
      </c>
      <c r="K25" s="1038">
        <v>0</v>
      </c>
      <c r="L25" s="890">
        <f t="shared" si="1"/>
        <v>1332387481</v>
      </c>
      <c r="M25" s="890">
        <f t="shared" si="2"/>
        <v>1347093572</v>
      </c>
      <c r="N25" s="890">
        <f t="shared" si="3"/>
        <v>101</v>
      </c>
    </row>
    <row r="26" spans="1:14" ht="26.5" x14ac:dyDescent="0.35">
      <c r="A26" s="1117" t="s">
        <v>1245</v>
      </c>
      <c r="B26" s="1123" t="s">
        <v>1246</v>
      </c>
      <c r="C26" s="1124">
        <v>1326834793</v>
      </c>
      <c r="D26" s="1124">
        <v>1320340956</v>
      </c>
      <c r="E26" s="1125">
        <v>99</v>
      </c>
      <c r="F26" s="1125">
        <v>0</v>
      </c>
      <c r="G26" s="1125">
        <v>0</v>
      </c>
      <c r="H26" s="1125">
        <v>0</v>
      </c>
      <c r="I26" s="1038">
        <v>0</v>
      </c>
      <c r="J26" s="1038">
        <v>0</v>
      </c>
      <c r="K26" s="1038">
        <v>0</v>
      </c>
      <c r="L26" s="890">
        <f t="shared" si="1"/>
        <v>1326834793</v>
      </c>
      <c r="M26" s="890">
        <f t="shared" si="2"/>
        <v>1320340956</v>
      </c>
      <c r="N26" s="890">
        <f t="shared" si="3"/>
        <v>99</v>
      </c>
    </row>
    <row r="27" spans="1:14" ht="24.5" x14ac:dyDescent="0.35">
      <c r="A27" s="1117" t="s">
        <v>1223</v>
      </c>
      <c r="B27" s="1123" t="s">
        <v>1247</v>
      </c>
      <c r="C27" s="1124">
        <v>582958390</v>
      </c>
      <c r="D27" s="1124">
        <v>573612021</v>
      </c>
      <c r="E27" s="1125">
        <v>98</v>
      </c>
      <c r="F27" s="1125">
        <v>0</v>
      </c>
      <c r="G27" s="1125">
        <v>0</v>
      </c>
      <c r="H27" s="1125">
        <v>0</v>
      </c>
      <c r="I27" s="1038">
        <v>0</v>
      </c>
      <c r="J27" s="1038">
        <v>0</v>
      </c>
      <c r="K27" s="1038">
        <v>0</v>
      </c>
      <c r="L27" s="890">
        <f t="shared" si="1"/>
        <v>582958390</v>
      </c>
      <c r="M27" s="890">
        <f t="shared" si="2"/>
        <v>573612021</v>
      </c>
      <c r="N27" s="890">
        <f t="shared" si="3"/>
        <v>98</v>
      </c>
    </row>
    <row r="28" spans="1:14" ht="26.5" x14ac:dyDescent="0.35">
      <c r="A28" s="1117" t="s">
        <v>1225</v>
      </c>
      <c r="B28" s="1123" t="s">
        <v>1248</v>
      </c>
      <c r="C28" s="1126">
        <v>0</v>
      </c>
      <c r="D28" s="1126">
        <v>0</v>
      </c>
      <c r="E28" s="1125">
        <v>0</v>
      </c>
      <c r="F28" s="1125">
        <v>0</v>
      </c>
      <c r="G28" s="1125">
        <v>0</v>
      </c>
      <c r="H28" s="1125">
        <v>0</v>
      </c>
      <c r="I28" s="1038">
        <v>0</v>
      </c>
      <c r="J28" s="1038">
        <v>0</v>
      </c>
      <c r="K28" s="1038">
        <v>0</v>
      </c>
      <c r="L28" s="890">
        <f t="shared" si="1"/>
        <v>0</v>
      </c>
      <c r="M28" s="890">
        <f t="shared" si="2"/>
        <v>0</v>
      </c>
      <c r="N28" s="890">
        <f t="shared" si="3"/>
        <v>0</v>
      </c>
    </row>
    <row r="29" spans="1:14" ht="26.5" x14ac:dyDescent="0.35">
      <c r="A29" s="1117" t="s">
        <v>1227</v>
      </c>
      <c r="B29" s="1123" t="s">
        <v>1249</v>
      </c>
      <c r="C29" s="1124">
        <v>681038025</v>
      </c>
      <c r="D29" s="1124">
        <v>683410265</v>
      </c>
      <c r="E29" s="1125">
        <v>100</v>
      </c>
      <c r="F29" s="1125">
        <v>0</v>
      </c>
      <c r="G29" s="1125">
        <v>0</v>
      </c>
      <c r="H29" s="1125">
        <v>0</v>
      </c>
      <c r="I29" s="1038">
        <v>0</v>
      </c>
      <c r="J29" s="1038">
        <v>0</v>
      </c>
      <c r="K29" s="1038">
        <v>0</v>
      </c>
      <c r="L29" s="890">
        <f t="shared" si="1"/>
        <v>681038025</v>
      </c>
      <c r="M29" s="890">
        <f t="shared" si="2"/>
        <v>683410265</v>
      </c>
      <c r="N29" s="890">
        <f t="shared" si="3"/>
        <v>100</v>
      </c>
    </row>
    <row r="30" spans="1:14" ht="24.5" x14ac:dyDescent="0.35">
      <c r="A30" s="1117" t="s">
        <v>1229</v>
      </c>
      <c r="B30" s="1123" t="s">
        <v>1250</v>
      </c>
      <c r="C30" s="1126">
        <v>62838378</v>
      </c>
      <c r="D30" s="1126">
        <v>63318670</v>
      </c>
      <c r="E30" s="1125">
        <v>100</v>
      </c>
      <c r="F30" s="1125">
        <v>0</v>
      </c>
      <c r="G30" s="1125">
        <v>0</v>
      </c>
      <c r="H30" s="1125">
        <v>0</v>
      </c>
      <c r="I30" s="1038">
        <v>0</v>
      </c>
      <c r="J30" s="1038">
        <v>0</v>
      </c>
      <c r="K30" s="1038">
        <v>0</v>
      </c>
      <c r="L30" s="890">
        <f t="shared" si="1"/>
        <v>62838378</v>
      </c>
      <c r="M30" s="890">
        <f t="shared" si="2"/>
        <v>63318670</v>
      </c>
      <c r="N30" s="890">
        <f t="shared" si="3"/>
        <v>100</v>
      </c>
    </row>
    <row r="31" spans="1:14" ht="26.5" x14ac:dyDescent="0.35">
      <c r="A31" s="1117" t="s">
        <v>1251</v>
      </c>
      <c r="B31" s="1123" t="s">
        <v>1252</v>
      </c>
      <c r="C31" s="1126">
        <v>5552688</v>
      </c>
      <c r="D31" s="1126">
        <v>15804838</v>
      </c>
      <c r="E31" s="1125">
        <v>284</v>
      </c>
      <c r="F31" s="1125">
        <v>0</v>
      </c>
      <c r="G31" s="1125">
        <v>0</v>
      </c>
      <c r="H31" s="1125">
        <v>0</v>
      </c>
      <c r="I31" s="1038">
        <v>0</v>
      </c>
      <c r="J31" s="1038">
        <v>787778</v>
      </c>
      <c r="K31" s="1038">
        <v>0</v>
      </c>
      <c r="L31" s="890">
        <f t="shared" si="1"/>
        <v>5552688</v>
      </c>
      <c r="M31" s="890">
        <f t="shared" si="2"/>
        <v>16592616</v>
      </c>
      <c r="N31" s="890">
        <f t="shared" si="3"/>
        <v>284</v>
      </c>
    </row>
    <row r="32" spans="1:14" ht="24.5" x14ac:dyDescent="0.35">
      <c r="A32" s="1117" t="s">
        <v>1223</v>
      </c>
      <c r="B32" s="1123" t="s">
        <v>1253</v>
      </c>
      <c r="C32" s="1126">
        <v>0</v>
      </c>
      <c r="D32" s="1126">
        <v>0</v>
      </c>
      <c r="E32" s="1125">
        <v>0</v>
      </c>
      <c r="F32" s="1125">
        <v>0</v>
      </c>
      <c r="G32" s="1125">
        <v>0</v>
      </c>
      <c r="H32" s="1125">
        <v>0</v>
      </c>
      <c r="I32" s="1038">
        <v>0</v>
      </c>
      <c r="J32" s="1038">
        <v>0</v>
      </c>
      <c r="K32" s="1038">
        <v>0</v>
      </c>
      <c r="L32" s="890">
        <f t="shared" si="1"/>
        <v>0</v>
      </c>
      <c r="M32" s="890">
        <f t="shared" si="2"/>
        <v>0</v>
      </c>
      <c r="N32" s="890">
        <f t="shared" si="3"/>
        <v>0</v>
      </c>
    </row>
    <row r="33" spans="1:14" ht="26.5" x14ac:dyDescent="0.35">
      <c r="A33" s="1117" t="s">
        <v>1225</v>
      </c>
      <c r="B33" s="1123" t="s">
        <v>1254</v>
      </c>
      <c r="C33" s="1126">
        <v>0</v>
      </c>
      <c r="D33" s="1126">
        <v>0</v>
      </c>
      <c r="E33" s="1125">
        <v>0</v>
      </c>
      <c r="F33" s="1125">
        <v>0</v>
      </c>
      <c r="G33" s="1125">
        <v>0</v>
      </c>
      <c r="H33" s="1125">
        <v>0</v>
      </c>
      <c r="I33" s="1038">
        <v>0</v>
      </c>
      <c r="J33" s="1038">
        <v>0</v>
      </c>
      <c r="K33" s="1038">
        <v>0</v>
      </c>
      <c r="L33" s="890">
        <f t="shared" si="1"/>
        <v>0</v>
      </c>
      <c r="M33" s="890">
        <f t="shared" si="2"/>
        <v>0</v>
      </c>
      <c r="N33" s="890">
        <f t="shared" si="3"/>
        <v>0</v>
      </c>
    </row>
    <row r="34" spans="1:14" ht="26.5" x14ac:dyDescent="0.35">
      <c r="A34" s="1117" t="s">
        <v>1227</v>
      </c>
      <c r="B34" s="1123" t="s">
        <v>1255</v>
      </c>
      <c r="C34" s="1126">
        <v>795705</v>
      </c>
      <c r="D34" s="1126">
        <v>8019140</v>
      </c>
      <c r="E34" s="1125">
        <v>1007</v>
      </c>
      <c r="F34" s="1125">
        <v>0</v>
      </c>
      <c r="G34" s="1125">
        <v>0</v>
      </c>
      <c r="H34" s="1125">
        <v>0</v>
      </c>
      <c r="I34" s="1038">
        <v>0</v>
      </c>
      <c r="J34" s="1038">
        <v>0</v>
      </c>
      <c r="K34" s="1038">
        <v>0</v>
      </c>
      <c r="L34" s="890">
        <f t="shared" si="1"/>
        <v>795705</v>
      </c>
      <c r="M34" s="890">
        <f t="shared" si="2"/>
        <v>8019140</v>
      </c>
      <c r="N34" s="890">
        <f t="shared" si="3"/>
        <v>1007</v>
      </c>
    </row>
    <row r="35" spans="1:14" ht="24.5" x14ac:dyDescent="0.35">
      <c r="A35" s="1117" t="s">
        <v>1229</v>
      </c>
      <c r="B35" s="1123" t="s">
        <v>1256</v>
      </c>
      <c r="C35" s="1126">
        <v>4756983</v>
      </c>
      <c r="D35" s="1126">
        <v>7785698</v>
      </c>
      <c r="E35" s="1125">
        <v>163</v>
      </c>
      <c r="F35" s="1125">
        <v>0</v>
      </c>
      <c r="G35" s="1125">
        <v>0</v>
      </c>
      <c r="H35" s="1125">
        <v>0</v>
      </c>
      <c r="I35" s="1038">
        <v>0</v>
      </c>
      <c r="J35" s="1038">
        <v>787778</v>
      </c>
      <c r="K35" s="1038">
        <v>0</v>
      </c>
      <c r="L35" s="890">
        <f t="shared" si="1"/>
        <v>4756983</v>
      </c>
      <c r="M35" s="890">
        <f t="shared" si="2"/>
        <v>8573476</v>
      </c>
      <c r="N35" s="890">
        <f t="shared" si="3"/>
        <v>163</v>
      </c>
    </row>
    <row r="36" spans="1:14" x14ac:dyDescent="0.35">
      <c r="A36" s="1117" t="s">
        <v>1257</v>
      </c>
      <c r="B36" s="1123" t="s">
        <v>1258</v>
      </c>
      <c r="C36" s="1126">
        <v>0</v>
      </c>
      <c r="D36" s="1126">
        <v>0</v>
      </c>
      <c r="E36" s="1125">
        <v>0</v>
      </c>
      <c r="F36" s="1125">
        <v>0</v>
      </c>
      <c r="G36" s="1125">
        <v>0</v>
      </c>
      <c r="H36" s="1125">
        <v>0</v>
      </c>
      <c r="I36" s="1038">
        <v>0</v>
      </c>
      <c r="J36" s="1038">
        <v>0</v>
      </c>
      <c r="K36" s="1038">
        <v>0</v>
      </c>
      <c r="L36" s="890">
        <f t="shared" si="1"/>
        <v>0</v>
      </c>
      <c r="M36" s="890">
        <f t="shared" si="2"/>
        <v>0</v>
      </c>
      <c r="N36" s="890">
        <f t="shared" si="3"/>
        <v>0</v>
      </c>
    </row>
    <row r="37" spans="1:14" ht="24.5" x14ac:dyDescent="0.35">
      <c r="A37" s="1117" t="s">
        <v>1223</v>
      </c>
      <c r="B37" s="1123" t="s">
        <v>1259</v>
      </c>
      <c r="C37" s="1126">
        <v>0</v>
      </c>
      <c r="D37" s="1126">
        <v>0</v>
      </c>
      <c r="E37" s="1125">
        <v>0</v>
      </c>
      <c r="F37" s="1125">
        <v>0</v>
      </c>
      <c r="G37" s="1125">
        <v>0</v>
      </c>
      <c r="H37" s="1125">
        <v>0</v>
      </c>
      <c r="I37" s="1038">
        <v>0</v>
      </c>
      <c r="J37" s="1038">
        <v>0</v>
      </c>
      <c r="K37" s="1038">
        <v>0</v>
      </c>
      <c r="L37" s="890">
        <f t="shared" si="1"/>
        <v>0</v>
      </c>
      <c r="M37" s="890">
        <f t="shared" si="2"/>
        <v>0</v>
      </c>
      <c r="N37" s="890">
        <f t="shared" si="3"/>
        <v>0</v>
      </c>
    </row>
    <row r="38" spans="1:14" ht="26.5" x14ac:dyDescent="0.35">
      <c r="A38" s="1117" t="s">
        <v>1225</v>
      </c>
      <c r="B38" s="1123" t="s">
        <v>1260</v>
      </c>
      <c r="C38" s="1126">
        <v>0</v>
      </c>
      <c r="D38" s="1126">
        <v>0</v>
      </c>
      <c r="E38" s="1125">
        <v>0</v>
      </c>
      <c r="F38" s="1125">
        <v>0</v>
      </c>
      <c r="G38" s="1125">
        <v>0</v>
      </c>
      <c r="H38" s="1125">
        <v>0</v>
      </c>
      <c r="I38" s="1038">
        <v>0</v>
      </c>
      <c r="J38" s="1038">
        <v>0</v>
      </c>
      <c r="K38" s="1038">
        <v>0</v>
      </c>
      <c r="L38" s="890">
        <f t="shared" si="1"/>
        <v>0</v>
      </c>
      <c r="M38" s="890">
        <f t="shared" si="2"/>
        <v>0</v>
      </c>
      <c r="N38" s="890">
        <f t="shared" si="3"/>
        <v>0</v>
      </c>
    </row>
    <row r="39" spans="1:14" ht="26.5" x14ac:dyDescent="0.35">
      <c r="A39" s="1117" t="s">
        <v>1227</v>
      </c>
      <c r="B39" s="1123" t="s">
        <v>1261</v>
      </c>
      <c r="C39" s="1126">
        <v>0</v>
      </c>
      <c r="D39" s="1126">
        <v>0</v>
      </c>
      <c r="E39" s="1125">
        <v>0</v>
      </c>
      <c r="F39" s="1125">
        <v>0</v>
      </c>
      <c r="G39" s="1125">
        <v>0</v>
      </c>
      <c r="H39" s="1125">
        <v>0</v>
      </c>
      <c r="I39" s="1038">
        <v>0</v>
      </c>
      <c r="J39" s="1038">
        <v>0</v>
      </c>
      <c r="K39" s="1038">
        <v>0</v>
      </c>
      <c r="L39" s="890">
        <f t="shared" si="1"/>
        <v>0</v>
      </c>
      <c r="M39" s="890">
        <f t="shared" si="2"/>
        <v>0</v>
      </c>
      <c r="N39" s="890">
        <f t="shared" si="3"/>
        <v>0</v>
      </c>
    </row>
    <row r="40" spans="1:14" ht="24.5" x14ac:dyDescent="0.35">
      <c r="A40" s="1117" t="s">
        <v>1229</v>
      </c>
      <c r="B40" s="1123" t="s">
        <v>1262</v>
      </c>
      <c r="C40" s="1126">
        <v>0</v>
      </c>
      <c r="D40" s="1126">
        <v>0</v>
      </c>
      <c r="E40" s="1125">
        <v>0</v>
      </c>
      <c r="F40" s="1125">
        <v>0</v>
      </c>
      <c r="G40" s="1125">
        <v>0</v>
      </c>
      <c r="H40" s="1125">
        <v>0</v>
      </c>
      <c r="I40" s="1038">
        <v>0</v>
      </c>
      <c r="J40" s="1038">
        <v>0</v>
      </c>
      <c r="K40" s="1038">
        <v>0</v>
      </c>
      <c r="L40" s="890">
        <f t="shared" si="1"/>
        <v>0</v>
      </c>
      <c r="M40" s="890">
        <f t="shared" si="2"/>
        <v>0</v>
      </c>
      <c r="N40" s="890">
        <f t="shared" si="3"/>
        <v>0</v>
      </c>
    </row>
    <row r="41" spans="1:14" x14ac:dyDescent="0.35">
      <c r="A41" s="1117" t="s">
        <v>1263</v>
      </c>
      <c r="B41" s="1123" t="s">
        <v>1264</v>
      </c>
      <c r="C41" s="1126">
        <v>0</v>
      </c>
      <c r="D41" s="1126">
        <v>10160000</v>
      </c>
      <c r="E41" s="1125">
        <v>0</v>
      </c>
      <c r="F41" s="1125">
        <v>0</v>
      </c>
      <c r="G41" s="1125">
        <v>0</v>
      </c>
      <c r="H41" s="1125">
        <v>0</v>
      </c>
      <c r="I41" s="1038">
        <v>0</v>
      </c>
      <c r="J41" s="1038">
        <v>0</v>
      </c>
      <c r="K41" s="1038">
        <v>0</v>
      </c>
      <c r="L41" s="890">
        <f t="shared" si="1"/>
        <v>0</v>
      </c>
      <c r="M41" s="890">
        <f t="shared" si="2"/>
        <v>10160000</v>
      </c>
      <c r="N41" s="890">
        <f t="shared" si="3"/>
        <v>0</v>
      </c>
    </row>
    <row r="42" spans="1:14" ht="24.5" x14ac:dyDescent="0.35">
      <c r="A42" s="1117" t="s">
        <v>1223</v>
      </c>
      <c r="B42" s="1123" t="s">
        <v>1265</v>
      </c>
      <c r="C42" s="1126">
        <v>0</v>
      </c>
      <c r="D42" s="1126">
        <v>0</v>
      </c>
      <c r="E42" s="1125">
        <v>0</v>
      </c>
      <c r="F42" s="1125">
        <v>0</v>
      </c>
      <c r="G42" s="1125">
        <v>0</v>
      </c>
      <c r="H42" s="1125">
        <v>0</v>
      </c>
      <c r="I42" s="1038">
        <v>0</v>
      </c>
      <c r="J42" s="1038">
        <v>0</v>
      </c>
      <c r="K42" s="1038">
        <v>0</v>
      </c>
      <c r="L42" s="890">
        <f t="shared" si="1"/>
        <v>0</v>
      </c>
      <c r="M42" s="890">
        <f t="shared" si="2"/>
        <v>0</v>
      </c>
      <c r="N42" s="890">
        <f t="shared" si="3"/>
        <v>0</v>
      </c>
    </row>
    <row r="43" spans="1:14" ht="26.5" x14ac:dyDescent="0.35">
      <c r="A43" s="1117" t="s">
        <v>1225</v>
      </c>
      <c r="B43" s="1123" t="s">
        <v>1266</v>
      </c>
      <c r="C43" s="1126">
        <v>0</v>
      </c>
      <c r="D43" s="1126">
        <v>0</v>
      </c>
      <c r="E43" s="1125">
        <v>0</v>
      </c>
      <c r="F43" s="1125">
        <v>0</v>
      </c>
      <c r="G43" s="1125">
        <v>0</v>
      </c>
      <c r="H43" s="1125">
        <v>0</v>
      </c>
      <c r="I43" s="1038">
        <v>0</v>
      </c>
      <c r="J43" s="1038">
        <v>0</v>
      </c>
      <c r="K43" s="1038">
        <v>0</v>
      </c>
      <c r="L43" s="890">
        <f t="shared" si="1"/>
        <v>0</v>
      </c>
      <c r="M43" s="890">
        <f t="shared" si="2"/>
        <v>0</v>
      </c>
      <c r="N43" s="890">
        <f t="shared" si="3"/>
        <v>0</v>
      </c>
    </row>
    <row r="44" spans="1:14" ht="26.5" x14ac:dyDescent="0.35">
      <c r="A44" s="1117" t="s">
        <v>1227</v>
      </c>
      <c r="B44" s="1123" t="s">
        <v>1267</v>
      </c>
      <c r="C44" s="1126">
        <v>0</v>
      </c>
      <c r="D44" s="1126">
        <v>0</v>
      </c>
      <c r="E44" s="1125">
        <v>0</v>
      </c>
      <c r="F44" s="1125">
        <v>0</v>
      </c>
      <c r="G44" s="1125">
        <v>0</v>
      </c>
      <c r="H44" s="1125">
        <v>0</v>
      </c>
      <c r="I44" s="1038">
        <v>0</v>
      </c>
      <c r="J44" s="1038">
        <v>0</v>
      </c>
      <c r="K44" s="1038">
        <v>0</v>
      </c>
      <c r="L44" s="890">
        <f t="shared" si="1"/>
        <v>0</v>
      </c>
      <c r="M44" s="890">
        <f t="shared" si="2"/>
        <v>0</v>
      </c>
      <c r="N44" s="890">
        <f t="shared" si="3"/>
        <v>0</v>
      </c>
    </row>
    <row r="45" spans="1:14" ht="24.5" x14ac:dyDescent="0.35">
      <c r="A45" s="1117" t="s">
        <v>1229</v>
      </c>
      <c r="B45" s="1123" t="s">
        <v>1268</v>
      </c>
      <c r="C45" s="1126">
        <v>0</v>
      </c>
      <c r="D45" s="1126">
        <v>10160000</v>
      </c>
      <c r="E45" s="1125">
        <v>0</v>
      </c>
      <c r="F45" s="1125">
        <v>0</v>
      </c>
      <c r="G45" s="1125">
        <v>0</v>
      </c>
      <c r="H45" s="1125">
        <v>0</v>
      </c>
      <c r="I45" s="1038">
        <v>0</v>
      </c>
      <c r="J45" s="1038">
        <v>0</v>
      </c>
      <c r="K45" s="1038">
        <v>0</v>
      </c>
      <c r="L45" s="890">
        <f t="shared" si="1"/>
        <v>0</v>
      </c>
      <c r="M45" s="890">
        <f t="shared" si="2"/>
        <v>10160000</v>
      </c>
      <c r="N45" s="890">
        <f t="shared" si="3"/>
        <v>0</v>
      </c>
    </row>
    <row r="46" spans="1:14" x14ac:dyDescent="0.35">
      <c r="A46" s="1117" t="s">
        <v>1269</v>
      </c>
      <c r="B46" s="1123" t="s">
        <v>1270</v>
      </c>
      <c r="C46" s="1126">
        <v>0</v>
      </c>
      <c r="D46" s="1126">
        <v>0</v>
      </c>
      <c r="E46" s="1125">
        <v>0</v>
      </c>
      <c r="F46" s="1125">
        <v>0</v>
      </c>
      <c r="G46" s="1125">
        <v>0</v>
      </c>
      <c r="H46" s="1125">
        <v>0</v>
      </c>
      <c r="I46" s="1038">
        <v>0</v>
      </c>
      <c r="J46" s="1038">
        <v>0</v>
      </c>
      <c r="K46" s="1038">
        <v>0</v>
      </c>
      <c r="L46" s="890">
        <f t="shared" si="1"/>
        <v>0</v>
      </c>
      <c r="M46" s="890">
        <f t="shared" si="2"/>
        <v>0</v>
      </c>
      <c r="N46" s="890">
        <f t="shared" si="3"/>
        <v>0</v>
      </c>
    </row>
    <row r="47" spans="1:14" ht="24.5" x14ac:dyDescent="0.35">
      <c r="A47" s="1117" t="s">
        <v>1223</v>
      </c>
      <c r="B47" s="1123" t="s">
        <v>1271</v>
      </c>
      <c r="C47" s="1126">
        <v>0</v>
      </c>
      <c r="D47" s="1126">
        <v>0</v>
      </c>
      <c r="E47" s="1125">
        <v>0</v>
      </c>
      <c r="F47" s="1125">
        <v>0</v>
      </c>
      <c r="G47" s="1125">
        <v>0</v>
      </c>
      <c r="H47" s="1125">
        <v>0</v>
      </c>
      <c r="I47" s="1038">
        <v>0</v>
      </c>
      <c r="J47" s="1038">
        <v>0</v>
      </c>
      <c r="K47" s="1038">
        <v>0</v>
      </c>
      <c r="L47" s="890">
        <f t="shared" si="1"/>
        <v>0</v>
      </c>
      <c r="M47" s="890">
        <f t="shared" si="2"/>
        <v>0</v>
      </c>
      <c r="N47" s="890">
        <f t="shared" si="3"/>
        <v>0</v>
      </c>
    </row>
    <row r="48" spans="1:14" ht="26.5" x14ac:dyDescent="0.35">
      <c r="A48" s="1117" t="s">
        <v>1225</v>
      </c>
      <c r="B48" s="1123" t="s">
        <v>1272</v>
      </c>
      <c r="C48" s="1126">
        <v>0</v>
      </c>
      <c r="D48" s="1126">
        <v>0</v>
      </c>
      <c r="E48" s="1125">
        <v>0</v>
      </c>
      <c r="F48" s="1125">
        <v>0</v>
      </c>
      <c r="G48" s="1125">
        <v>0</v>
      </c>
      <c r="H48" s="1125">
        <v>0</v>
      </c>
      <c r="I48" s="1038">
        <v>0</v>
      </c>
      <c r="J48" s="1038">
        <v>0</v>
      </c>
      <c r="K48" s="1038">
        <v>0</v>
      </c>
      <c r="L48" s="890">
        <f t="shared" si="1"/>
        <v>0</v>
      </c>
      <c r="M48" s="890">
        <f t="shared" si="2"/>
        <v>0</v>
      </c>
      <c r="N48" s="890">
        <f t="shared" si="3"/>
        <v>0</v>
      </c>
    </row>
    <row r="49" spans="1:14" ht="26.5" x14ac:dyDescent="0.35">
      <c r="A49" s="1117" t="s">
        <v>1227</v>
      </c>
      <c r="B49" s="1123" t="s">
        <v>1273</v>
      </c>
      <c r="C49" s="1126">
        <v>0</v>
      </c>
      <c r="D49" s="1126">
        <v>0</v>
      </c>
      <c r="E49" s="1125">
        <v>0</v>
      </c>
      <c r="F49" s="1125">
        <v>0</v>
      </c>
      <c r="G49" s="1125">
        <v>0</v>
      </c>
      <c r="H49" s="1125">
        <v>0</v>
      </c>
      <c r="I49" s="1038">
        <v>0</v>
      </c>
      <c r="J49" s="1038">
        <v>0</v>
      </c>
      <c r="K49" s="1038">
        <v>0</v>
      </c>
      <c r="L49" s="890">
        <f t="shared" si="1"/>
        <v>0</v>
      </c>
      <c r="M49" s="890">
        <f t="shared" si="2"/>
        <v>0</v>
      </c>
      <c r="N49" s="890">
        <f t="shared" si="3"/>
        <v>0</v>
      </c>
    </row>
    <row r="50" spans="1:14" ht="24.5" x14ac:dyDescent="0.35">
      <c r="A50" s="1117" t="s">
        <v>1229</v>
      </c>
      <c r="B50" s="1123" t="s">
        <v>1274</v>
      </c>
      <c r="C50" s="1126">
        <v>0</v>
      </c>
      <c r="D50" s="1126">
        <v>0</v>
      </c>
      <c r="E50" s="1125">
        <v>0</v>
      </c>
      <c r="F50" s="1125">
        <v>0</v>
      </c>
      <c r="G50" s="1125">
        <v>0</v>
      </c>
      <c r="H50" s="1125">
        <v>0</v>
      </c>
      <c r="I50" s="1038">
        <v>0</v>
      </c>
      <c r="J50" s="1038">
        <v>0</v>
      </c>
      <c r="K50" s="1038">
        <v>0</v>
      </c>
      <c r="L50" s="890">
        <f t="shared" si="1"/>
        <v>0</v>
      </c>
      <c r="M50" s="890">
        <f t="shared" si="2"/>
        <v>0</v>
      </c>
      <c r="N50" s="890">
        <f t="shared" si="3"/>
        <v>0</v>
      </c>
    </row>
    <row r="51" spans="1:14" ht="26.5" x14ac:dyDescent="0.35">
      <c r="A51" s="1117" t="s">
        <v>1275</v>
      </c>
      <c r="B51" s="1123" t="s">
        <v>1276</v>
      </c>
      <c r="C51" s="1126">
        <v>23200</v>
      </c>
      <c r="D51" s="1126">
        <v>23200</v>
      </c>
      <c r="E51" s="1125">
        <v>100</v>
      </c>
      <c r="F51" s="1125">
        <v>0</v>
      </c>
      <c r="G51" s="1125">
        <v>0</v>
      </c>
      <c r="H51" s="1125">
        <v>0</v>
      </c>
      <c r="I51" s="1038">
        <v>0</v>
      </c>
      <c r="J51" s="1038">
        <v>0</v>
      </c>
      <c r="K51" s="1038">
        <v>0</v>
      </c>
      <c r="L51" s="890">
        <f t="shared" si="1"/>
        <v>23200</v>
      </c>
      <c r="M51" s="890">
        <f t="shared" si="2"/>
        <v>23200</v>
      </c>
      <c r="N51" s="890">
        <f t="shared" si="3"/>
        <v>100</v>
      </c>
    </row>
    <row r="52" spans="1:14" ht="24.5" x14ac:dyDescent="0.35">
      <c r="A52" s="1117" t="s">
        <v>1277</v>
      </c>
      <c r="B52" s="1123" t="s">
        <v>1278</v>
      </c>
      <c r="C52" s="1126">
        <v>23200</v>
      </c>
      <c r="D52" s="1126">
        <v>23200</v>
      </c>
      <c r="E52" s="1125">
        <v>100</v>
      </c>
      <c r="F52" s="1125">
        <v>0</v>
      </c>
      <c r="G52" s="1125">
        <v>0</v>
      </c>
      <c r="H52" s="1125">
        <v>0</v>
      </c>
      <c r="I52" s="1038">
        <v>0</v>
      </c>
      <c r="J52" s="1038">
        <v>0</v>
      </c>
      <c r="K52" s="1038">
        <v>0</v>
      </c>
      <c r="L52" s="890">
        <f t="shared" si="1"/>
        <v>23200</v>
      </c>
      <c r="M52" s="890">
        <f t="shared" si="2"/>
        <v>23200</v>
      </c>
      <c r="N52" s="890">
        <f t="shared" si="3"/>
        <v>100</v>
      </c>
    </row>
    <row r="53" spans="1:14" ht="24.5" x14ac:dyDescent="0.35">
      <c r="A53" s="1117" t="s">
        <v>1223</v>
      </c>
      <c r="B53" s="1127" t="s">
        <v>1279</v>
      </c>
      <c r="C53" s="1126">
        <v>0</v>
      </c>
      <c r="D53" s="1126">
        <v>0</v>
      </c>
      <c r="E53" s="1125">
        <v>0</v>
      </c>
      <c r="F53" s="1125">
        <v>0</v>
      </c>
      <c r="G53" s="1125">
        <v>0</v>
      </c>
      <c r="H53" s="1125">
        <v>0</v>
      </c>
      <c r="I53" s="1038">
        <v>0</v>
      </c>
      <c r="J53" s="1038">
        <v>0</v>
      </c>
      <c r="K53" s="1038">
        <v>0</v>
      </c>
      <c r="L53" s="890">
        <f t="shared" si="1"/>
        <v>0</v>
      </c>
      <c r="M53" s="890">
        <f t="shared" si="2"/>
        <v>0</v>
      </c>
      <c r="N53" s="890">
        <f t="shared" si="3"/>
        <v>0</v>
      </c>
    </row>
    <row r="54" spans="1:14" ht="26.5" x14ac:dyDescent="0.35">
      <c r="A54" s="1117" t="s">
        <v>1225</v>
      </c>
      <c r="B54" s="1127" t="s">
        <v>1280</v>
      </c>
      <c r="C54" s="1126">
        <v>0</v>
      </c>
      <c r="D54" s="1126">
        <v>0</v>
      </c>
      <c r="E54" s="1125">
        <v>0</v>
      </c>
      <c r="F54" s="1125">
        <v>0</v>
      </c>
      <c r="G54" s="1125">
        <v>0</v>
      </c>
      <c r="H54" s="1125">
        <v>0</v>
      </c>
      <c r="I54" s="1038">
        <v>0</v>
      </c>
      <c r="J54" s="1038">
        <v>0</v>
      </c>
      <c r="K54" s="1038">
        <v>0</v>
      </c>
      <c r="L54" s="890">
        <f t="shared" si="1"/>
        <v>0</v>
      </c>
      <c r="M54" s="890">
        <f t="shared" si="2"/>
        <v>0</v>
      </c>
      <c r="N54" s="890">
        <f t="shared" si="3"/>
        <v>0</v>
      </c>
    </row>
    <row r="55" spans="1:14" ht="26.5" x14ac:dyDescent="0.35">
      <c r="A55" s="1117" t="s">
        <v>1227</v>
      </c>
      <c r="B55" s="1127" t="s">
        <v>1281</v>
      </c>
      <c r="C55" s="1126">
        <v>0</v>
      </c>
      <c r="D55" s="1126">
        <v>0</v>
      </c>
      <c r="E55" s="1125">
        <v>0</v>
      </c>
      <c r="F55" s="1125">
        <v>0</v>
      </c>
      <c r="G55" s="1125">
        <v>0</v>
      </c>
      <c r="H55" s="1125">
        <v>0</v>
      </c>
      <c r="I55" s="1038">
        <v>0</v>
      </c>
      <c r="J55" s="1038">
        <v>0</v>
      </c>
      <c r="K55" s="1038">
        <v>0</v>
      </c>
      <c r="L55" s="890">
        <f t="shared" si="1"/>
        <v>0</v>
      </c>
      <c r="M55" s="890">
        <f t="shared" si="2"/>
        <v>0</v>
      </c>
      <c r="N55" s="890">
        <f t="shared" si="3"/>
        <v>0</v>
      </c>
    </row>
    <row r="56" spans="1:14" ht="24.5" x14ac:dyDescent="0.35">
      <c r="A56" s="1117" t="s">
        <v>1229</v>
      </c>
      <c r="B56" s="1127" t="s">
        <v>1282</v>
      </c>
      <c r="C56" s="1126">
        <v>23200</v>
      </c>
      <c r="D56" s="1126">
        <v>23200</v>
      </c>
      <c r="E56" s="1125">
        <v>100</v>
      </c>
      <c r="F56" s="1125">
        <v>0</v>
      </c>
      <c r="G56" s="1125">
        <v>0</v>
      </c>
      <c r="H56" s="1125">
        <v>0</v>
      </c>
      <c r="I56" s="1038">
        <v>0</v>
      </c>
      <c r="J56" s="1038">
        <v>0</v>
      </c>
      <c r="K56" s="1038">
        <v>0</v>
      </c>
      <c r="L56" s="890">
        <f t="shared" si="1"/>
        <v>23200</v>
      </c>
      <c r="M56" s="890">
        <f t="shared" si="2"/>
        <v>23200</v>
      </c>
      <c r="N56" s="890">
        <f t="shared" si="3"/>
        <v>100</v>
      </c>
    </row>
    <row r="57" spans="1:14" ht="26.5" x14ac:dyDescent="0.35">
      <c r="A57" s="1117" t="s">
        <v>1283</v>
      </c>
      <c r="B57" s="1123" t="s">
        <v>1284</v>
      </c>
      <c r="C57" s="1126">
        <v>0</v>
      </c>
      <c r="D57" s="1126">
        <v>0</v>
      </c>
      <c r="E57" s="1125">
        <v>0</v>
      </c>
      <c r="F57" s="1125">
        <v>0</v>
      </c>
      <c r="G57" s="1125">
        <v>0</v>
      </c>
      <c r="H57" s="1125">
        <v>0</v>
      </c>
      <c r="I57" s="1038">
        <v>0</v>
      </c>
      <c r="J57" s="1038">
        <v>0</v>
      </c>
      <c r="K57" s="1038">
        <v>0</v>
      </c>
      <c r="L57" s="890">
        <f t="shared" si="1"/>
        <v>0</v>
      </c>
      <c r="M57" s="890">
        <f t="shared" si="2"/>
        <v>0</v>
      </c>
      <c r="N57" s="890">
        <f t="shared" si="3"/>
        <v>0</v>
      </c>
    </row>
    <row r="58" spans="1:14" ht="24.5" x14ac:dyDescent="0.35">
      <c r="A58" s="1117" t="s">
        <v>1223</v>
      </c>
      <c r="B58" s="1127" t="s">
        <v>1285</v>
      </c>
      <c r="C58" s="1126">
        <v>0</v>
      </c>
      <c r="D58" s="1126">
        <v>0</v>
      </c>
      <c r="E58" s="1125">
        <v>0</v>
      </c>
      <c r="F58" s="1125">
        <v>0</v>
      </c>
      <c r="G58" s="1125">
        <v>0</v>
      </c>
      <c r="H58" s="1125">
        <v>0</v>
      </c>
      <c r="I58" s="1038">
        <v>0</v>
      </c>
      <c r="J58" s="1038">
        <v>0</v>
      </c>
      <c r="K58" s="1038">
        <v>0</v>
      </c>
      <c r="L58" s="890">
        <f t="shared" si="1"/>
        <v>0</v>
      </c>
      <c r="M58" s="890">
        <f t="shared" si="2"/>
        <v>0</v>
      </c>
      <c r="N58" s="890">
        <f t="shared" si="3"/>
        <v>0</v>
      </c>
    </row>
    <row r="59" spans="1:14" ht="26.5" x14ac:dyDescent="0.35">
      <c r="A59" s="1117" t="s">
        <v>1225</v>
      </c>
      <c r="B59" s="1127" t="s">
        <v>1286</v>
      </c>
      <c r="C59" s="1126">
        <v>0</v>
      </c>
      <c r="D59" s="1126">
        <v>0</v>
      </c>
      <c r="E59" s="1125">
        <v>0</v>
      </c>
      <c r="F59" s="1125">
        <v>0</v>
      </c>
      <c r="G59" s="1125">
        <v>0</v>
      </c>
      <c r="H59" s="1125">
        <v>0</v>
      </c>
      <c r="I59" s="1038">
        <v>0</v>
      </c>
      <c r="J59" s="1038">
        <v>0</v>
      </c>
      <c r="K59" s="1038">
        <v>0</v>
      </c>
      <c r="L59" s="890">
        <f t="shared" si="1"/>
        <v>0</v>
      </c>
      <c r="M59" s="890">
        <f t="shared" si="2"/>
        <v>0</v>
      </c>
      <c r="N59" s="890">
        <f t="shared" si="3"/>
        <v>0</v>
      </c>
    </row>
    <row r="60" spans="1:14" ht="26.5" x14ac:dyDescent="0.35">
      <c r="A60" s="1117" t="s">
        <v>1227</v>
      </c>
      <c r="B60" s="1127" t="s">
        <v>1287</v>
      </c>
      <c r="C60" s="1126">
        <v>0</v>
      </c>
      <c r="D60" s="1126">
        <v>0</v>
      </c>
      <c r="E60" s="1125">
        <v>0</v>
      </c>
      <c r="F60" s="1125">
        <v>0</v>
      </c>
      <c r="G60" s="1125">
        <v>0</v>
      </c>
      <c r="H60" s="1125">
        <v>0</v>
      </c>
      <c r="I60" s="1038">
        <v>0</v>
      </c>
      <c r="J60" s="1038">
        <v>0</v>
      </c>
      <c r="K60" s="1038">
        <v>0</v>
      </c>
      <c r="L60" s="890">
        <f t="shared" si="1"/>
        <v>0</v>
      </c>
      <c r="M60" s="890">
        <f t="shared" si="2"/>
        <v>0</v>
      </c>
      <c r="N60" s="890">
        <f t="shared" si="3"/>
        <v>0</v>
      </c>
    </row>
    <row r="61" spans="1:14" ht="24.5" x14ac:dyDescent="0.35">
      <c r="A61" s="1117" t="s">
        <v>1229</v>
      </c>
      <c r="B61" s="1127" t="s">
        <v>1288</v>
      </c>
      <c r="C61" s="1126">
        <v>0</v>
      </c>
      <c r="D61" s="1126">
        <v>0</v>
      </c>
      <c r="E61" s="1125">
        <v>0</v>
      </c>
      <c r="F61" s="1125">
        <v>0</v>
      </c>
      <c r="G61" s="1125">
        <v>0</v>
      </c>
      <c r="H61" s="1125">
        <v>0</v>
      </c>
      <c r="I61" s="1038">
        <v>0</v>
      </c>
      <c r="J61" s="1038">
        <v>0</v>
      </c>
      <c r="K61" s="1038">
        <v>0</v>
      </c>
      <c r="L61" s="890">
        <f t="shared" si="1"/>
        <v>0</v>
      </c>
      <c r="M61" s="890">
        <f t="shared" si="2"/>
        <v>0</v>
      </c>
      <c r="N61" s="890">
        <f t="shared" si="3"/>
        <v>0</v>
      </c>
    </row>
    <row r="62" spans="1:14" ht="26.5" x14ac:dyDescent="0.35">
      <c r="A62" s="1117" t="s">
        <v>1289</v>
      </c>
      <c r="B62" s="1123" t="s">
        <v>1290</v>
      </c>
      <c r="C62" s="1126">
        <v>0</v>
      </c>
      <c r="D62" s="1126">
        <v>0</v>
      </c>
      <c r="E62" s="1125">
        <v>0</v>
      </c>
      <c r="F62" s="1125">
        <v>0</v>
      </c>
      <c r="G62" s="1125">
        <v>0</v>
      </c>
      <c r="H62" s="1125">
        <v>0</v>
      </c>
      <c r="I62" s="1038">
        <v>0</v>
      </c>
      <c r="J62" s="1038">
        <v>0</v>
      </c>
      <c r="K62" s="1038">
        <v>0</v>
      </c>
      <c r="L62" s="890">
        <f t="shared" si="1"/>
        <v>0</v>
      </c>
      <c r="M62" s="890">
        <f t="shared" si="2"/>
        <v>0</v>
      </c>
      <c r="N62" s="890">
        <f t="shared" si="3"/>
        <v>0</v>
      </c>
    </row>
    <row r="63" spans="1:14" ht="24.5" x14ac:dyDescent="0.35">
      <c r="A63" s="1117" t="s">
        <v>1223</v>
      </c>
      <c r="B63" s="1127" t="s">
        <v>1291</v>
      </c>
      <c r="C63" s="1126">
        <v>0</v>
      </c>
      <c r="D63" s="1126">
        <v>0</v>
      </c>
      <c r="E63" s="1125">
        <v>0</v>
      </c>
      <c r="F63" s="1125">
        <v>0</v>
      </c>
      <c r="G63" s="1125">
        <v>0</v>
      </c>
      <c r="H63" s="1125">
        <v>0</v>
      </c>
      <c r="I63" s="1038">
        <v>0</v>
      </c>
      <c r="J63" s="1038">
        <v>0</v>
      </c>
      <c r="K63" s="1038">
        <v>0</v>
      </c>
      <c r="L63" s="890">
        <f t="shared" si="1"/>
        <v>0</v>
      </c>
      <c r="M63" s="890">
        <f t="shared" si="2"/>
        <v>0</v>
      </c>
      <c r="N63" s="890">
        <f t="shared" si="3"/>
        <v>0</v>
      </c>
    </row>
    <row r="64" spans="1:14" ht="26.5" x14ac:dyDescent="0.35">
      <c r="A64" s="1117" t="s">
        <v>1225</v>
      </c>
      <c r="B64" s="1127" t="s">
        <v>1292</v>
      </c>
      <c r="C64" s="1126">
        <v>0</v>
      </c>
      <c r="D64" s="1126">
        <v>0</v>
      </c>
      <c r="E64" s="1125">
        <v>0</v>
      </c>
      <c r="F64" s="1125">
        <v>0</v>
      </c>
      <c r="G64" s="1125">
        <v>0</v>
      </c>
      <c r="H64" s="1125">
        <v>0</v>
      </c>
      <c r="I64" s="1038">
        <v>0</v>
      </c>
      <c r="J64" s="1038">
        <v>0</v>
      </c>
      <c r="K64" s="1038">
        <v>0</v>
      </c>
      <c r="L64" s="890">
        <f t="shared" si="1"/>
        <v>0</v>
      </c>
      <c r="M64" s="890">
        <f t="shared" si="2"/>
        <v>0</v>
      </c>
      <c r="N64" s="890">
        <f t="shared" si="3"/>
        <v>0</v>
      </c>
    </row>
    <row r="65" spans="1:14" ht="26.5" x14ac:dyDescent="0.35">
      <c r="A65" s="1117" t="s">
        <v>1227</v>
      </c>
      <c r="B65" s="1127" t="s">
        <v>1293</v>
      </c>
      <c r="C65" s="1126">
        <v>0</v>
      </c>
      <c r="D65" s="1126">
        <v>0</v>
      </c>
      <c r="E65" s="1125">
        <v>0</v>
      </c>
      <c r="F65" s="1125">
        <v>0</v>
      </c>
      <c r="G65" s="1125">
        <v>0</v>
      </c>
      <c r="H65" s="1125">
        <v>0</v>
      </c>
      <c r="I65" s="1038">
        <v>0</v>
      </c>
      <c r="J65" s="1038">
        <v>0</v>
      </c>
      <c r="K65" s="1038">
        <v>0</v>
      </c>
      <c r="L65" s="890">
        <f t="shared" si="1"/>
        <v>0</v>
      </c>
      <c r="M65" s="890">
        <f t="shared" si="2"/>
        <v>0</v>
      </c>
      <c r="N65" s="890">
        <f t="shared" si="3"/>
        <v>0</v>
      </c>
    </row>
    <row r="66" spans="1:14" ht="24.5" x14ac:dyDescent="0.35">
      <c r="A66" s="1117" t="s">
        <v>1229</v>
      </c>
      <c r="B66" s="1127" t="s">
        <v>1294</v>
      </c>
      <c r="C66" s="1126">
        <v>0</v>
      </c>
      <c r="D66" s="1126">
        <v>0</v>
      </c>
      <c r="E66" s="1125">
        <v>0</v>
      </c>
      <c r="F66" s="1125">
        <v>0</v>
      </c>
      <c r="G66" s="1125">
        <v>0</v>
      </c>
      <c r="H66" s="1125">
        <v>0</v>
      </c>
      <c r="I66" s="1038">
        <v>0</v>
      </c>
      <c r="J66" s="1038">
        <v>0</v>
      </c>
      <c r="K66" s="1038">
        <v>0</v>
      </c>
      <c r="L66" s="890">
        <f t="shared" si="1"/>
        <v>0</v>
      </c>
      <c r="M66" s="890">
        <f t="shared" si="2"/>
        <v>0</v>
      </c>
      <c r="N66" s="890">
        <f t="shared" si="3"/>
        <v>0</v>
      </c>
    </row>
    <row r="67" spans="1:14" ht="39.5" x14ac:dyDescent="0.35">
      <c r="A67" s="1117" t="s">
        <v>1295</v>
      </c>
      <c r="B67" s="1123" t="s">
        <v>1296</v>
      </c>
      <c r="C67" s="1126">
        <v>0</v>
      </c>
      <c r="D67" s="1126">
        <v>0</v>
      </c>
      <c r="E67" s="1125">
        <v>0</v>
      </c>
      <c r="F67" s="1125">
        <v>0</v>
      </c>
      <c r="G67" s="1125">
        <v>0</v>
      </c>
      <c r="H67" s="1125">
        <v>0</v>
      </c>
      <c r="I67" s="1038">
        <v>0</v>
      </c>
      <c r="J67" s="1038">
        <v>0</v>
      </c>
      <c r="K67" s="1038">
        <v>0</v>
      </c>
      <c r="L67" s="890">
        <f t="shared" si="1"/>
        <v>0</v>
      </c>
      <c r="M67" s="890">
        <f t="shared" si="2"/>
        <v>0</v>
      </c>
      <c r="N67" s="890">
        <f t="shared" si="3"/>
        <v>0</v>
      </c>
    </row>
    <row r="68" spans="1:14" ht="26.5" x14ac:dyDescent="0.35">
      <c r="A68" s="1117" t="s">
        <v>1297</v>
      </c>
      <c r="B68" s="1123" t="s">
        <v>1298</v>
      </c>
      <c r="C68" s="1126">
        <v>0</v>
      </c>
      <c r="D68" s="1126">
        <v>0</v>
      </c>
      <c r="E68" s="1125">
        <v>0</v>
      </c>
      <c r="F68" s="1125">
        <v>0</v>
      </c>
      <c r="G68" s="1125">
        <v>0</v>
      </c>
      <c r="H68" s="1125">
        <v>0</v>
      </c>
      <c r="I68" s="1038">
        <v>0</v>
      </c>
      <c r="J68" s="1038">
        <v>0</v>
      </c>
      <c r="K68" s="1038">
        <v>0</v>
      </c>
      <c r="L68" s="890">
        <f t="shared" si="1"/>
        <v>0</v>
      </c>
      <c r="M68" s="890">
        <f t="shared" si="2"/>
        <v>0</v>
      </c>
      <c r="N68" s="890">
        <f t="shared" si="3"/>
        <v>0</v>
      </c>
    </row>
    <row r="69" spans="1:14" ht="24.5" x14ac:dyDescent="0.35">
      <c r="A69" s="1117" t="s">
        <v>1223</v>
      </c>
      <c r="B69" s="1123" t="s">
        <v>1299</v>
      </c>
      <c r="C69" s="1126">
        <v>0</v>
      </c>
      <c r="D69" s="1126">
        <v>0</v>
      </c>
      <c r="E69" s="1125">
        <v>0</v>
      </c>
      <c r="F69" s="1125">
        <v>0</v>
      </c>
      <c r="G69" s="1125">
        <v>0</v>
      </c>
      <c r="H69" s="1125">
        <v>0</v>
      </c>
      <c r="I69" s="1038">
        <v>0</v>
      </c>
      <c r="J69" s="1038">
        <v>0</v>
      </c>
      <c r="K69" s="1038">
        <v>0</v>
      </c>
      <c r="L69" s="890">
        <f t="shared" si="1"/>
        <v>0</v>
      </c>
      <c r="M69" s="890">
        <f t="shared" si="2"/>
        <v>0</v>
      </c>
      <c r="N69" s="890">
        <f t="shared" si="3"/>
        <v>0</v>
      </c>
    </row>
    <row r="70" spans="1:14" ht="26.5" x14ac:dyDescent="0.35">
      <c r="A70" s="1117" t="s">
        <v>1225</v>
      </c>
      <c r="B70" s="1123" t="s">
        <v>1300</v>
      </c>
      <c r="C70" s="1126">
        <v>0</v>
      </c>
      <c r="D70" s="1126">
        <v>0</v>
      </c>
      <c r="E70" s="1125">
        <v>0</v>
      </c>
      <c r="F70" s="1125">
        <v>0</v>
      </c>
      <c r="G70" s="1125">
        <v>0</v>
      </c>
      <c r="H70" s="1125">
        <v>0</v>
      </c>
      <c r="I70" s="1038">
        <v>0</v>
      </c>
      <c r="J70" s="1038">
        <v>0</v>
      </c>
      <c r="K70" s="1038">
        <v>0</v>
      </c>
      <c r="L70" s="890">
        <f t="shared" si="1"/>
        <v>0</v>
      </c>
      <c r="M70" s="890">
        <f t="shared" si="2"/>
        <v>0</v>
      </c>
      <c r="N70" s="890">
        <f t="shared" si="3"/>
        <v>0</v>
      </c>
    </row>
    <row r="71" spans="1:14" ht="26.5" x14ac:dyDescent="0.35">
      <c r="A71" s="1117" t="s">
        <v>1227</v>
      </c>
      <c r="B71" s="1123" t="s">
        <v>1301</v>
      </c>
      <c r="C71" s="1126">
        <v>0</v>
      </c>
      <c r="D71" s="1126">
        <v>0</v>
      </c>
      <c r="E71" s="1125">
        <v>0</v>
      </c>
      <c r="F71" s="1125">
        <v>0</v>
      </c>
      <c r="G71" s="1125">
        <v>0</v>
      </c>
      <c r="H71" s="1125">
        <v>0</v>
      </c>
      <c r="I71" s="1038">
        <v>0</v>
      </c>
      <c r="J71" s="1038">
        <v>0</v>
      </c>
      <c r="K71" s="1038">
        <v>0</v>
      </c>
      <c r="L71" s="890">
        <f t="shared" si="1"/>
        <v>0</v>
      </c>
      <c r="M71" s="890">
        <f t="shared" si="2"/>
        <v>0</v>
      </c>
      <c r="N71" s="890">
        <f t="shared" si="3"/>
        <v>0</v>
      </c>
    </row>
    <row r="72" spans="1:14" ht="24.5" x14ac:dyDescent="0.35">
      <c r="A72" s="1117" t="s">
        <v>1229</v>
      </c>
      <c r="B72" s="1123" t="s">
        <v>1302</v>
      </c>
      <c r="C72" s="1126">
        <v>0</v>
      </c>
      <c r="D72" s="1126">
        <v>0</v>
      </c>
      <c r="E72" s="1125">
        <v>0</v>
      </c>
      <c r="F72" s="1125">
        <v>0</v>
      </c>
      <c r="G72" s="1125">
        <v>0</v>
      </c>
      <c r="H72" s="1125">
        <v>0</v>
      </c>
      <c r="I72" s="1038">
        <v>0</v>
      </c>
      <c r="J72" s="1038">
        <v>0</v>
      </c>
      <c r="K72" s="1038">
        <v>0</v>
      </c>
      <c r="L72" s="890">
        <f t="shared" si="1"/>
        <v>0</v>
      </c>
      <c r="M72" s="890">
        <f t="shared" si="2"/>
        <v>0</v>
      </c>
      <c r="N72" s="890">
        <f t="shared" si="3"/>
        <v>0</v>
      </c>
    </row>
    <row r="73" spans="1:14" ht="26.5" x14ac:dyDescent="0.35">
      <c r="A73" s="1117" t="s">
        <v>1303</v>
      </c>
      <c r="B73" s="1123" t="s">
        <v>1304</v>
      </c>
      <c r="C73" s="1126">
        <v>0</v>
      </c>
      <c r="D73" s="1126">
        <v>0</v>
      </c>
      <c r="E73" s="1125">
        <v>0</v>
      </c>
      <c r="F73" s="1125">
        <v>0</v>
      </c>
      <c r="G73" s="1125">
        <v>0</v>
      </c>
      <c r="H73" s="1125">
        <v>0</v>
      </c>
      <c r="I73" s="1038">
        <v>0</v>
      </c>
      <c r="J73" s="1038">
        <v>0</v>
      </c>
      <c r="K73" s="1038">
        <v>0</v>
      </c>
      <c r="L73" s="890">
        <f t="shared" ref="L73:L115" si="4">C73+F73+I73</f>
        <v>0</v>
      </c>
      <c r="M73" s="890">
        <f t="shared" ref="M73:M115" si="5">D73+G73+J73</f>
        <v>0</v>
      </c>
      <c r="N73" s="890">
        <f t="shared" ref="N73:N115" si="6">E73+H73+K73</f>
        <v>0</v>
      </c>
    </row>
    <row r="74" spans="1:14" ht="24.5" x14ac:dyDescent="0.35">
      <c r="A74" s="1117" t="s">
        <v>1223</v>
      </c>
      <c r="B74" s="1123" t="s">
        <v>1305</v>
      </c>
      <c r="C74" s="1126">
        <v>0</v>
      </c>
      <c r="D74" s="1126">
        <v>0</v>
      </c>
      <c r="E74" s="1125">
        <v>0</v>
      </c>
      <c r="F74" s="1125">
        <v>0</v>
      </c>
      <c r="G74" s="1125">
        <v>0</v>
      </c>
      <c r="H74" s="1125">
        <v>0</v>
      </c>
      <c r="I74" s="1038">
        <v>0</v>
      </c>
      <c r="J74" s="1038">
        <v>0</v>
      </c>
      <c r="K74" s="1038">
        <v>0</v>
      </c>
      <c r="L74" s="890">
        <f t="shared" si="4"/>
        <v>0</v>
      </c>
      <c r="M74" s="890">
        <f t="shared" si="5"/>
        <v>0</v>
      </c>
      <c r="N74" s="890">
        <f t="shared" si="6"/>
        <v>0</v>
      </c>
    </row>
    <row r="75" spans="1:14" ht="26.5" x14ac:dyDescent="0.35">
      <c r="A75" s="1117" t="s">
        <v>1225</v>
      </c>
      <c r="B75" s="1123" t="s">
        <v>1306</v>
      </c>
      <c r="C75" s="1126">
        <v>0</v>
      </c>
      <c r="D75" s="1126">
        <v>0</v>
      </c>
      <c r="E75" s="1125">
        <v>0</v>
      </c>
      <c r="F75" s="1125">
        <v>0</v>
      </c>
      <c r="G75" s="1125">
        <v>0</v>
      </c>
      <c r="H75" s="1125">
        <v>0</v>
      </c>
      <c r="I75" s="1038">
        <v>0</v>
      </c>
      <c r="J75" s="1038">
        <v>0</v>
      </c>
      <c r="K75" s="1038">
        <v>0</v>
      </c>
      <c r="L75" s="890">
        <f t="shared" si="4"/>
        <v>0</v>
      </c>
      <c r="M75" s="890">
        <f t="shared" si="5"/>
        <v>0</v>
      </c>
      <c r="N75" s="890">
        <f t="shared" si="6"/>
        <v>0</v>
      </c>
    </row>
    <row r="76" spans="1:14" ht="26.5" x14ac:dyDescent="0.35">
      <c r="A76" s="1117" t="s">
        <v>1227</v>
      </c>
      <c r="B76" s="1123" t="s">
        <v>1307</v>
      </c>
      <c r="C76" s="1126">
        <v>0</v>
      </c>
      <c r="D76" s="1126">
        <v>0</v>
      </c>
      <c r="E76" s="1125">
        <v>0</v>
      </c>
      <c r="F76" s="1125">
        <v>0</v>
      </c>
      <c r="G76" s="1125">
        <v>0</v>
      </c>
      <c r="H76" s="1125">
        <v>0</v>
      </c>
      <c r="I76" s="1038">
        <v>0</v>
      </c>
      <c r="J76" s="1038">
        <v>0</v>
      </c>
      <c r="K76" s="1038">
        <v>0</v>
      </c>
      <c r="L76" s="890">
        <f t="shared" si="4"/>
        <v>0</v>
      </c>
      <c r="M76" s="890">
        <f t="shared" si="5"/>
        <v>0</v>
      </c>
      <c r="N76" s="890">
        <f t="shared" si="6"/>
        <v>0</v>
      </c>
    </row>
    <row r="77" spans="1:14" ht="24.5" x14ac:dyDescent="0.35">
      <c r="A77" s="1117" t="s">
        <v>1229</v>
      </c>
      <c r="B77" s="1123" t="s">
        <v>1308</v>
      </c>
      <c r="C77" s="1126">
        <v>0</v>
      </c>
      <c r="D77" s="1126">
        <v>0</v>
      </c>
      <c r="E77" s="1125">
        <v>0</v>
      </c>
      <c r="F77" s="1125">
        <v>0</v>
      </c>
      <c r="G77" s="1125">
        <v>0</v>
      </c>
      <c r="H77" s="1125">
        <v>0</v>
      </c>
      <c r="I77" s="1038">
        <v>0</v>
      </c>
      <c r="J77" s="1038">
        <v>0</v>
      </c>
      <c r="K77" s="1038">
        <v>0</v>
      </c>
      <c r="L77" s="890">
        <f t="shared" si="4"/>
        <v>0</v>
      </c>
      <c r="M77" s="890">
        <f t="shared" si="5"/>
        <v>0</v>
      </c>
      <c r="N77" s="890">
        <f t="shared" si="6"/>
        <v>0</v>
      </c>
    </row>
    <row r="78" spans="1:14" ht="26.5" x14ac:dyDescent="0.35">
      <c r="A78" s="1117" t="s">
        <v>1309</v>
      </c>
      <c r="B78" s="1123" t="s">
        <v>1310</v>
      </c>
      <c r="C78" s="1126">
        <v>0</v>
      </c>
      <c r="D78" s="1126">
        <v>0</v>
      </c>
      <c r="E78" s="1125">
        <v>0</v>
      </c>
      <c r="F78" s="1125">
        <v>0</v>
      </c>
      <c r="G78" s="1125">
        <v>0</v>
      </c>
      <c r="H78" s="1125">
        <v>0</v>
      </c>
      <c r="I78" s="1038">
        <v>0</v>
      </c>
      <c r="J78" s="1038">
        <v>0</v>
      </c>
      <c r="K78" s="1038">
        <v>0</v>
      </c>
      <c r="L78" s="890">
        <f t="shared" si="4"/>
        <v>0</v>
      </c>
      <c r="M78" s="890">
        <f t="shared" si="5"/>
        <v>0</v>
      </c>
      <c r="N78" s="890">
        <f t="shared" si="6"/>
        <v>0</v>
      </c>
    </row>
    <row r="79" spans="1:14" x14ac:dyDescent="0.35">
      <c r="A79" s="1117" t="s">
        <v>1311</v>
      </c>
      <c r="B79" s="1123" t="s">
        <v>1312</v>
      </c>
      <c r="C79" s="1126">
        <v>0</v>
      </c>
      <c r="D79" s="1126">
        <v>0</v>
      </c>
      <c r="E79" s="1125">
        <v>0</v>
      </c>
      <c r="F79" s="1125">
        <v>0</v>
      </c>
      <c r="G79" s="1125">
        <v>0</v>
      </c>
      <c r="H79" s="1125">
        <v>0</v>
      </c>
      <c r="I79" s="1038">
        <v>0</v>
      </c>
      <c r="J79" s="1038">
        <v>0</v>
      </c>
      <c r="K79" s="1038">
        <v>0</v>
      </c>
      <c r="L79" s="890">
        <f t="shared" si="4"/>
        <v>0</v>
      </c>
      <c r="M79" s="890">
        <f t="shared" si="5"/>
        <v>0</v>
      </c>
      <c r="N79" s="890">
        <f t="shared" si="6"/>
        <v>0</v>
      </c>
    </row>
    <row r="80" spans="1:14" x14ac:dyDescent="0.35">
      <c r="A80" s="1117" t="s">
        <v>1313</v>
      </c>
      <c r="B80" s="1123" t="s">
        <v>1314</v>
      </c>
      <c r="C80" s="1126">
        <v>0</v>
      </c>
      <c r="D80" s="1126">
        <v>0</v>
      </c>
      <c r="E80" s="1125">
        <v>0</v>
      </c>
      <c r="F80" s="1125">
        <v>0</v>
      </c>
      <c r="G80" s="1125">
        <v>0</v>
      </c>
      <c r="H80" s="1125">
        <v>0</v>
      </c>
      <c r="I80" s="1038">
        <v>0</v>
      </c>
      <c r="J80" s="1038">
        <v>0</v>
      </c>
      <c r="K80" s="1038">
        <v>0</v>
      </c>
      <c r="L80" s="890">
        <f t="shared" si="4"/>
        <v>0</v>
      </c>
      <c r="M80" s="890">
        <f t="shared" si="5"/>
        <v>0</v>
      </c>
      <c r="N80" s="890">
        <f t="shared" si="6"/>
        <v>0</v>
      </c>
    </row>
    <row r="81" spans="1:14" x14ac:dyDescent="0.35">
      <c r="A81" s="1117" t="s">
        <v>1315</v>
      </c>
      <c r="B81" s="1123" t="s">
        <v>1316</v>
      </c>
      <c r="C81" s="1124">
        <v>124215342</v>
      </c>
      <c r="D81" s="1124">
        <v>242503038</v>
      </c>
      <c r="E81" s="1125">
        <v>195</v>
      </c>
      <c r="F81" s="1125">
        <v>877547</v>
      </c>
      <c r="G81" s="1125">
        <v>807217</v>
      </c>
      <c r="H81" s="1125">
        <v>91</v>
      </c>
      <c r="I81" s="1038">
        <v>1192750</v>
      </c>
      <c r="J81" s="1038">
        <v>1049240</v>
      </c>
      <c r="K81" s="1038">
        <v>87</v>
      </c>
      <c r="L81" s="890">
        <f t="shared" si="4"/>
        <v>126285639</v>
      </c>
      <c r="M81" s="890">
        <f t="shared" si="5"/>
        <v>244359495</v>
      </c>
      <c r="N81" s="890">
        <f t="shared" si="6"/>
        <v>373</v>
      </c>
    </row>
    <row r="82" spans="1:14" x14ac:dyDescent="0.35">
      <c r="A82" s="1117" t="s">
        <v>1317</v>
      </c>
      <c r="B82" s="1123" t="s">
        <v>1318</v>
      </c>
      <c r="C82" s="1126">
        <v>10057543</v>
      </c>
      <c r="D82" s="1126">
        <v>10067630</v>
      </c>
      <c r="E82" s="1125">
        <v>100</v>
      </c>
      <c r="F82" s="1125">
        <v>0</v>
      </c>
      <c r="G82" s="1125">
        <v>0</v>
      </c>
      <c r="H82" s="1125">
        <v>0</v>
      </c>
      <c r="I82" s="1038">
        <v>0</v>
      </c>
      <c r="J82" s="1038">
        <v>0</v>
      </c>
      <c r="K82" s="1038">
        <v>0</v>
      </c>
      <c r="L82" s="890">
        <f t="shared" si="4"/>
        <v>10057543</v>
      </c>
      <c r="M82" s="890">
        <f t="shared" si="5"/>
        <v>10067630</v>
      </c>
      <c r="N82" s="890">
        <f t="shared" si="6"/>
        <v>100</v>
      </c>
    </row>
    <row r="83" spans="1:14" x14ac:dyDescent="0.35">
      <c r="A83" s="1117" t="s">
        <v>1319</v>
      </c>
      <c r="B83" s="1123" t="s">
        <v>1320</v>
      </c>
      <c r="C83" s="1126">
        <v>0</v>
      </c>
      <c r="D83" s="1126">
        <v>0</v>
      </c>
      <c r="E83" s="1125">
        <v>0</v>
      </c>
      <c r="F83" s="1125">
        <v>0</v>
      </c>
      <c r="G83" s="1125">
        <v>0</v>
      </c>
      <c r="H83" s="1125">
        <v>0</v>
      </c>
      <c r="I83" s="1038">
        <v>0</v>
      </c>
      <c r="J83" s="1038">
        <v>0</v>
      </c>
      <c r="K83" s="1038">
        <v>0</v>
      </c>
      <c r="L83" s="890">
        <f t="shared" si="4"/>
        <v>0</v>
      </c>
      <c r="M83" s="890">
        <f t="shared" si="5"/>
        <v>0</v>
      </c>
      <c r="N83" s="890">
        <f t="shared" si="6"/>
        <v>0</v>
      </c>
    </row>
    <row r="84" spans="1:14" x14ac:dyDescent="0.35">
      <c r="A84" s="1117" t="s">
        <v>1321</v>
      </c>
      <c r="B84" s="1123" t="s">
        <v>1322</v>
      </c>
      <c r="C84" s="1124">
        <v>114157799</v>
      </c>
      <c r="D84" s="1124">
        <v>232435408</v>
      </c>
      <c r="E84" s="1125">
        <v>203</v>
      </c>
      <c r="F84" s="1125">
        <v>877547</v>
      </c>
      <c r="G84" s="1125">
        <v>807217</v>
      </c>
      <c r="H84" s="1125">
        <v>91</v>
      </c>
      <c r="I84" s="1038">
        <v>1192750</v>
      </c>
      <c r="J84" s="1038">
        <v>1049240</v>
      </c>
      <c r="K84" s="1038">
        <v>87</v>
      </c>
      <c r="L84" s="890">
        <f t="shared" si="4"/>
        <v>116228096</v>
      </c>
      <c r="M84" s="890">
        <f t="shared" si="5"/>
        <v>234291865</v>
      </c>
      <c r="N84" s="890">
        <f t="shared" si="6"/>
        <v>381</v>
      </c>
    </row>
    <row r="85" spans="1:14" x14ac:dyDescent="0.35">
      <c r="A85" s="1117" t="s">
        <v>1323</v>
      </c>
      <c r="B85" s="1123" t="s">
        <v>1324</v>
      </c>
      <c r="C85" s="1126">
        <v>0</v>
      </c>
      <c r="D85" s="1126">
        <v>0</v>
      </c>
      <c r="E85" s="1125">
        <v>0</v>
      </c>
      <c r="F85" s="1125">
        <v>0</v>
      </c>
      <c r="G85" s="1125">
        <v>0</v>
      </c>
      <c r="H85" s="1125">
        <v>0</v>
      </c>
      <c r="I85" s="1038">
        <v>0</v>
      </c>
      <c r="J85" s="1038">
        <v>0</v>
      </c>
      <c r="K85" s="1038">
        <v>0</v>
      </c>
      <c r="L85" s="890">
        <f t="shared" si="4"/>
        <v>0</v>
      </c>
      <c r="M85" s="890">
        <f t="shared" si="5"/>
        <v>0</v>
      </c>
      <c r="N85" s="890">
        <f t="shared" si="6"/>
        <v>0</v>
      </c>
    </row>
    <row r="86" spans="1:14" x14ac:dyDescent="0.35">
      <c r="A86" s="1117" t="s">
        <v>1325</v>
      </c>
      <c r="B86" s="1123" t="s">
        <v>1326</v>
      </c>
      <c r="C86" s="1126">
        <v>25426866</v>
      </c>
      <c r="D86" s="1126">
        <v>26836745</v>
      </c>
      <c r="E86" s="1125">
        <v>105</v>
      </c>
      <c r="F86" s="1125">
        <v>266721</v>
      </c>
      <c r="G86" s="1125">
        <v>161112</v>
      </c>
      <c r="H86" s="1125">
        <v>60</v>
      </c>
      <c r="I86" s="1038">
        <v>1619166</v>
      </c>
      <c r="J86" s="1038">
        <v>57090</v>
      </c>
      <c r="K86" s="1038">
        <v>3</v>
      </c>
      <c r="L86" s="890">
        <f t="shared" si="4"/>
        <v>27312753</v>
      </c>
      <c r="M86" s="890">
        <f t="shared" si="5"/>
        <v>27054947</v>
      </c>
      <c r="N86" s="890">
        <f t="shared" si="6"/>
        <v>168</v>
      </c>
    </row>
    <row r="87" spans="1:14" ht="26.5" x14ac:dyDescent="0.35">
      <c r="A87" s="1117" t="s">
        <v>1327</v>
      </c>
      <c r="B87" s="1123" t="s">
        <v>1328</v>
      </c>
      <c r="C87" s="1126">
        <v>2877545</v>
      </c>
      <c r="D87" s="1126">
        <v>2960026</v>
      </c>
      <c r="E87" s="1125">
        <v>102</v>
      </c>
      <c r="F87" s="1125">
        <v>0</v>
      </c>
      <c r="G87" s="1125">
        <v>11242</v>
      </c>
      <c r="H87" s="1125">
        <v>0</v>
      </c>
      <c r="I87" s="1038">
        <v>0</v>
      </c>
      <c r="J87" s="1038">
        <v>0</v>
      </c>
      <c r="K87" s="1038">
        <v>0</v>
      </c>
      <c r="L87" s="890">
        <f t="shared" si="4"/>
        <v>2877545</v>
      </c>
      <c r="M87" s="890">
        <f t="shared" si="5"/>
        <v>2971268</v>
      </c>
      <c r="N87" s="890">
        <f t="shared" si="6"/>
        <v>102</v>
      </c>
    </row>
    <row r="88" spans="1:14" ht="26.5" x14ac:dyDescent="0.35">
      <c r="A88" s="1117" t="s">
        <v>1329</v>
      </c>
      <c r="B88" s="1123" t="s">
        <v>1330</v>
      </c>
      <c r="C88" s="1126">
        <v>22379616</v>
      </c>
      <c r="D88" s="1126">
        <v>23606215</v>
      </c>
      <c r="E88" s="1125">
        <v>105</v>
      </c>
      <c r="F88" s="1125">
        <v>0</v>
      </c>
      <c r="G88" s="1125">
        <v>0</v>
      </c>
      <c r="H88" s="1125">
        <v>0</v>
      </c>
      <c r="I88" s="1038">
        <v>0</v>
      </c>
      <c r="J88" s="1038">
        <v>0</v>
      </c>
      <c r="K88" s="1038">
        <v>0</v>
      </c>
      <c r="L88" s="890">
        <f t="shared" si="4"/>
        <v>22379616</v>
      </c>
      <c r="M88" s="890">
        <f t="shared" si="5"/>
        <v>23606215</v>
      </c>
      <c r="N88" s="890">
        <f t="shared" si="6"/>
        <v>105</v>
      </c>
    </row>
    <row r="89" spans="1:14" ht="26.5" x14ac:dyDescent="0.35">
      <c r="A89" s="1117" t="s">
        <v>1331</v>
      </c>
      <c r="B89" s="1123" t="s">
        <v>1332</v>
      </c>
      <c r="C89" s="1126">
        <v>169705</v>
      </c>
      <c r="D89" s="1126">
        <v>270504</v>
      </c>
      <c r="E89" s="1125">
        <v>159</v>
      </c>
      <c r="F89" s="1125">
        <v>266721</v>
      </c>
      <c r="G89" s="1125">
        <v>149870</v>
      </c>
      <c r="H89" s="1125">
        <v>56</v>
      </c>
      <c r="I89" s="1038">
        <v>1619166</v>
      </c>
      <c r="J89" s="1038">
        <v>57090</v>
      </c>
      <c r="K89" s="1038">
        <v>3</v>
      </c>
      <c r="L89" s="890">
        <f t="shared" si="4"/>
        <v>2055592</v>
      </c>
      <c r="M89" s="890">
        <f t="shared" si="5"/>
        <v>477464</v>
      </c>
      <c r="N89" s="890">
        <f t="shared" si="6"/>
        <v>218</v>
      </c>
    </row>
    <row r="90" spans="1:14" ht="26.5" x14ac:dyDescent="0.35">
      <c r="A90" s="1117" t="s">
        <v>1333</v>
      </c>
      <c r="B90" s="1123" t="s">
        <v>1334</v>
      </c>
      <c r="C90" s="1126">
        <v>110000</v>
      </c>
      <c r="D90" s="1126">
        <v>-1019636</v>
      </c>
      <c r="E90" s="1125">
        <v>-926</v>
      </c>
      <c r="F90" s="1125">
        <v>-18326</v>
      </c>
      <c r="G90" s="1125">
        <v>32180</v>
      </c>
      <c r="H90" s="1125">
        <v>-175</v>
      </c>
      <c r="I90" s="1038">
        <v>0</v>
      </c>
      <c r="J90" s="1038">
        <v>201088</v>
      </c>
      <c r="K90" s="1038">
        <v>0</v>
      </c>
      <c r="L90" s="890">
        <f t="shared" si="4"/>
        <v>91674</v>
      </c>
      <c r="M90" s="890">
        <f t="shared" si="5"/>
        <v>-786368</v>
      </c>
      <c r="N90" s="890">
        <f t="shared" si="6"/>
        <v>-1101</v>
      </c>
    </row>
    <row r="91" spans="1:14" x14ac:dyDescent="0.35">
      <c r="A91" s="1117" t="s">
        <v>1335</v>
      </c>
      <c r="B91" s="1123" t="s">
        <v>1336</v>
      </c>
      <c r="C91" s="1126">
        <v>0</v>
      </c>
      <c r="D91" s="1126">
        <v>0</v>
      </c>
      <c r="E91" s="1125">
        <v>0</v>
      </c>
      <c r="F91" s="1125">
        <v>0</v>
      </c>
      <c r="G91" s="1125">
        <v>0</v>
      </c>
      <c r="H91" s="1125">
        <v>0</v>
      </c>
      <c r="I91" s="1038">
        <v>0</v>
      </c>
      <c r="J91" s="1038">
        <v>0</v>
      </c>
      <c r="K91" s="1038">
        <v>0</v>
      </c>
      <c r="L91" s="890">
        <f t="shared" si="4"/>
        <v>0</v>
      </c>
      <c r="M91" s="890">
        <f t="shared" si="5"/>
        <v>0</v>
      </c>
      <c r="N91" s="890">
        <f t="shared" si="6"/>
        <v>0</v>
      </c>
    </row>
    <row r="92" spans="1:14" ht="24.5" x14ac:dyDescent="0.35">
      <c r="A92" s="1117" t="s">
        <v>1337</v>
      </c>
      <c r="B92" s="1123" t="s">
        <v>1338</v>
      </c>
      <c r="C92" s="1124">
        <v>1482372801</v>
      </c>
      <c r="D92" s="1124">
        <v>1615649141</v>
      </c>
      <c r="E92" s="1125">
        <v>108</v>
      </c>
      <c r="F92" s="1125">
        <v>1125942</v>
      </c>
      <c r="G92" s="1125">
        <v>1000509</v>
      </c>
      <c r="H92" s="1125">
        <v>88</v>
      </c>
      <c r="I92" s="1038">
        <v>2811916</v>
      </c>
      <c r="J92" s="1038">
        <v>2095196</v>
      </c>
      <c r="K92" s="1038">
        <v>74</v>
      </c>
      <c r="L92" s="890">
        <f t="shared" si="4"/>
        <v>1486310659</v>
      </c>
      <c r="M92" s="890">
        <f t="shared" si="5"/>
        <v>1618744846</v>
      </c>
      <c r="N92" s="890">
        <f t="shared" si="6"/>
        <v>270</v>
      </c>
    </row>
    <row r="93" spans="1:14" x14ac:dyDescent="0.35">
      <c r="A93" s="1120" t="s">
        <v>695</v>
      </c>
      <c r="B93" s="1121" t="s">
        <v>695</v>
      </c>
      <c r="C93" s="1122" t="s">
        <v>695</v>
      </c>
      <c r="D93" s="1122" t="s">
        <v>695</v>
      </c>
      <c r="E93" s="1121" t="s">
        <v>695</v>
      </c>
      <c r="F93" s="1121" t="s">
        <v>695</v>
      </c>
      <c r="G93" s="1121" t="s">
        <v>695</v>
      </c>
      <c r="H93" s="1121" t="s">
        <v>695</v>
      </c>
      <c r="I93" s="1038" t="s">
        <v>695</v>
      </c>
      <c r="J93" s="1038" t="s">
        <v>695</v>
      </c>
      <c r="K93" s="1038" t="s">
        <v>695</v>
      </c>
      <c r="L93" s="890" t="e">
        <f t="shared" si="4"/>
        <v>#VALUE!</v>
      </c>
      <c r="M93" s="890" t="e">
        <f t="shared" si="5"/>
        <v>#VALUE!</v>
      </c>
      <c r="N93" s="890" t="e">
        <f t="shared" si="6"/>
        <v>#VALUE!</v>
      </c>
    </row>
    <row r="94" spans="1:14" x14ac:dyDescent="0.35">
      <c r="A94" s="1120" t="s">
        <v>1339</v>
      </c>
      <c r="B94" s="1121" t="s">
        <v>695</v>
      </c>
      <c r="C94" s="1122" t="s">
        <v>695</v>
      </c>
      <c r="D94" s="1122" t="s">
        <v>695</v>
      </c>
      <c r="E94" s="1121" t="s">
        <v>695</v>
      </c>
      <c r="F94" s="1121" t="s">
        <v>695</v>
      </c>
      <c r="G94" s="1121" t="s">
        <v>695</v>
      </c>
      <c r="H94" s="1121" t="s">
        <v>695</v>
      </c>
      <c r="I94" s="1038" t="s">
        <v>695</v>
      </c>
      <c r="J94" s="1038" t="s">
        <v>695</v>
      </c>
      <c r="K94" s="1038" t="s">
        <v>695</v>
      </c>
      <c r="L94" s="890" t="e">
        <f t="shared" si="4"/>
        <v>#VALUE!</v>
      </c>
      <c r="M94" s="890" t="e">
        <f t="shared" si="5"/>
        <v>#VALUE!</v>
      </c>
      <c r="N94" s="890" t="e">
        <f t="shared" si="6"/>
        <v>#VALUE!</v>
      </c>
    </row>
    <row r="95" spans="1:14" x14ac:dyDescent="0.35">
      <c r="A95" s="1117" t="s">
        <v>1340</v>
      </c>
      <c r="B95" s="1123" t="s">
        <v>1341</v>
      </c>
      <c r="C95" s="1124">
        <v>784695002</v>
      </c>
      <c r="D95" s="1124">
        <v>752732942</v>
      </c>
      <c r="E95" s="1125">
        <v>95</v>
      </c>
      <c r="F95" s="1125">
        <v>-1568520</v>
      </c>
      <c r="G95" s="1125">
        <v>-1447042</v>
      </c>
      <c r="H95" s="1125">
        <v>92</v>
      </c>
      <c r="I95" s="1038">
        <v>-933796</v>
      </c>
      <c r="J95" s="1038">
        <v>-1854428</v>
      </c>
      <c r="K95" s="1038">
        <v>198</v>
      </c>
      <c r="L95" s="890">
        <f t="shared" si="4"/>
        <v>782192686</v>
      </c>
      <c r="M95" s="890">
        <f t="shared" si="5"/>
        <v>749431472</v>
      </c>
      <c r="N95" s="890">
        <f t="shared" si="6"/>
        <v>385</v>
      </c>
    </row>
    <row r="96" spans="1:14" x14ac:dyDescent="0.35">
      <c r="A96" s="1117" t="s">
        <v>1342</v>
      </c>
      <c r="B96" s="1123" t="s">
        <v>1343</v>
      </c>
      <c r="C96" s="1124">
        <v>669071464</v>
      </c>
      <c r="D96" s="1124">
        <v>669071464</v>
      </c>
      <c r="E96" s="1125">
        <v>100</v>
      </c>
      <c r="F96" s="1125">
        <v>237014</v>
      </c>
      <c r="G96" s="1125">
        <v>237014</v>
      </c>
      <c r="H96" s="1125">
        <v>100</v>
      </c>
      <c r="I96" s="1038">
        <v>0</v>
      </c>
      <c r="J96" s="1038">
        <v>0</v>
      </c>
      <c r="K96" s="1038">
        <v>0</v>
      </c>
      <c r="L96" s="890">
        <f t="shared" si="4"/>
        <v>669308478</v>
      </c>
      <c r="M96" s="890">
        <f t="shared" si="5"/>
        <v>669308478</v>
      </c>
      <c r="N96" s="890">
        <f t="shared" si="6"/>
        <v>200</v>
      </c>
    </row>
    <row r="97" spans="1:14" x14ac:dyDescent="0.35">
      <c r="A97" s="1117" t="s">
        <v>1344</v>
      </c>
      <c r="B97" s="1123" t="s">
        <v>1345</v>
      </c>
      <c r="C97" s="1126">
        <v>0</v>
      </c>
      <c r="D97" s="1126">
        <v>0</v>
      </c>
      <c r="E97" s="1125">
        <v>0</v>
      </c>
      <c r="F97" s="1125">
        <v>0</v>
      </c>
      <c r="G97" s="1125">
        <v>0</v>
      </c>
      <c r="H97" s="1125">
        <v>0</v>
      </c>
      <c r="I97" s="1038">
        <v>0</v>
      </c>
      <c r="J97" s="1038">
        <v>0</v>
      </c>
      <c r="K97" s="1038">
        <v>0</v>
      </c>
      <c r="L97" s="890">
        <f t="shared" si="4"/>
        <v>0</v>
      </c>
      <c r="M97" s="890">
        <f t="shared" si="5"/>
        <v>0</v>
      </c>
      <c r="N97" s="890">
        <f t="shared" si="6"/>
        <v>0</v>
      </c>
    </row>
    <row r="98" spans="1:14" ht="26.5" x14ac:dyDescent="0.35">
      <c r="A98" s="1117" t="s">
        <v>1346</v>
      </c>
      <c r="B98" s="1123" t="s">
        <v>1347</v>
      </c>
      <c r="C98" s="1126">
        <v>68412489</v>
      </c>
      <c r="D98" s="1126">
        <v>68412489</v>
      </c>
      <c r="E98" s="1125">
        <v>100</v>
      </c>
      <c r="F98" s="1125">
        <v>370021</v>
      </c>
      <c r="G98" s="1125">
        <v>370021</v>
      </c>
      <c r="H98" s="1125">
        <v>100</v>
      </c>
      <c r="I98" s="1038">
        <v>211544</v>
      </c>
      <c r="J98" s="1038">
        <v>211544</v>
      </c>
      <c r="K98" s="1038">
        <v>100</v>
      </c>
      <c r="L98" s="890">
        <f t="shared" si="4"/>
        <v>68994054</v>
      </c>
      <c r="M98" s="890">
        <f t="shared" si="5"/>
        <v>68994054</v>
      </c>
      <c r="N98" s="890">
        <f t="shared" si="6"/>
        <v>300</v>
      </c>
    </row>
    <row r="99" spans="1:14" x14ac:dyDescent="0.35">
      <c r="A99" s="1117" t="s">
        <v>1348</v>
      </c>
      <c r="B99" s="1123" t="s">
        <v>1349</v>
      </c>
      <c r="C99" s="1124">
        <v>109422085</v>
      </c>
      <c r="D99" s="1126">
        <v>47211049</v>
      </c>
      <c r="E99" s="1125">
        <v>43</v>
      </c>
      <c r="F99" s="1125">
        <v>-1605688</v>
      </c>
      <c r="G99" s="1125">
        <v>-2175555</v>
      </c>
      <c r="H99" s="1125">
        <v>135</v>
      </c>
      <c r="I99" s="1038">
        <v>-2649229</v>
      </c>
      <c r="J99" s="1038">
        <v>-1145340</v>
      </c>
      <c r="K99" s="1038">
        <v>43</v>
      </c>
      <c r="L99" s="890">
        <f t="shared" si="4"/>
        <v>105167168</v>
      </c>
      <c r="M99" s="890">
        <f t="shared" si="5"/>
        <v>43890154</v>
      </c>
      <c r="N99" s="890">
        <f t="shared" si="6"/>
        <v>221</v>
      </c>
    </row>
    <row r="100" spans="1:14" ht="26.5" x14ac:dyDescent="0.35">
      <c r="A100" s="1117" t="s">
        <v>1350</v>
      </c>
      <c r="B100" s="1123" t="s">
        <v>1351</v>
      </c>
      <c r="C100" s="1126">
        <v>0</v>
      </c>
      <c r="D100" s="1126">
        <v>0</v>
      </c>
      <c r="E100" s="1125">
        <v>0</v>
      </c>
      <c r="F100" s="1125">
        <v>0</v>
      </c>
      <c r="G100" s="1125">
        <v>0</v>
      </c>
      <c r="H100" s="1125">
        <v>0</v>
      </c>
      <c r="I100" s="1038">
        <v>0</v>
      </c>
      <c r="J100" s="1038">
        <v>0</v>
      </c>
      <c r="K100" s="1038">
        <v>0</v>
      </c>
      <c r="L100" s="890">
        <f t="shared" si="4"/>
        <v>0</v>
      </c>
      <c r="M100" s="890">
        <f t="shared" si="5"/>
        <v>0</v>
      </c>
      <c r="N100" s="890">
        <f t="shared" si="6"/>
        <v>0</v>
      </c>
    </row>
    <row r="101" spans="1:14" x14ac:dyDescent="0.35">
      <c r="A101" s="1117" t="s">
        <v>1352</v>
      </c>
      <c r="B101" s="1123" t="s">
        <v>1353</v>
      </c>
      <c r="C101" s="1124">
        <v>-62211036</v>
      </c>
      <c r="D101" s="1124">
        <v>-31962060</v>
      </c>
      <c r="E101" s="1125">
        <v>51</v>
      </c>
      <c r="F101" s="1125">
        <v>-569867</v>
      </c>
      <c r="G101" s="1125">
        <v>121478</v>
      </c>
      <c r="H101" s="1125">
        <v>-21</v>
      </c>
      <c r="I101" s="1038">
        <v>1503889</v>
      </c>
      <c r="J101" s="1038">
        <v>-920632</v>
      </c>
      <c r="K101" s="1038">
        <v>-61</v>
      </c>
      <c r="L101" s="890">
        <f t="shared" si="4"/>
        <v>-61277014</v>
      </c>
      <c r="M101" s="890">
        <f t="shared" si="5"/>
        <v>-32761214</v>
      </c>
      <c r="N101" s="890">
        <f t="shared" si="6"/>
        <v>-31</v>
      </c>
    </row>
    <row r="102" spans="1:14" x14ac:dyDescent="0.35">
      <c r="A102" s="1117" t="s">
        <v>1354</v>
      </c>
      <c r="B102" s="1123" t="s">
        <v>1355</v>
      </c>
      <c r="C102" s="1126">
        <v>18989754</v>
      </c>
      <c r="D102" s="1126">
        <v>17245670</v>
      </c>
      <c r="E102" s="1125">
        <v>90</v>
      </c>
      <c r="F102" s="1125">
        <v>134317</v>
      </c>
      <c r="G102" s="1125">
        <v>0</v>
      </c>
      <c r="H102" s="1125">
        <v>0</v>
      </c>
      <c r="I102" s="1038">
        <v>825</v>
      </c>
      <c r="J102" s="1038">
        <v>0</v>
      </c>
      <c r="K102" s="1038">
        <v>0</v>
      </c>
      <c r="L102" s="890">
        <f t="shared" si="4"/>
        <v>19124896</v>
      </c>
      <c r="M102" s="890">
        <f t="shared" si="5"/>
        <v>17245670</v>
      </c>
      <c r="N102" s="890">
        <f t="shared" si="6"/>
        <v>90</v>
      </c>
    </row>
    <row r="103" spans="1:14" ht="26.5" x14ac:dyDescent="0.35">
      <c r="A103" s="1117" t="s">
        <v>1356</v>
      </c>
      <c r="B103" s="1123" t="s">
        <v>1357</v>
      </c>
      <c r="C103" s="1126">
        <v>213792</v>
      </c>
      <c r="D103" s="1126">
        <v>269508</v>
      </c>
      <c r="E103" s="1125">
        <v>126</v>
      </c>
      <c r="F103" s="1125">
        <v>0</v>
      </c>
      <c r="G103" s="1125">
        <v>0</v>
      </c>
      <c r="H103" s="1125">
        <v>0</v>
      </c>
      <c r="I103" s="1038">
        <v>0</v>
      </c>
      <c r="J103" s="1038">
        <v>0</v>
      </c>
      <c r="K103" s="1038">
        <v>0</v>
      </c>
      <c r="L103" s="890">
        <f t="shared" si="4"/>
        <v>213792</v>
      </c>
      <c r="M103" s="890">
        <f t="shared" si="5"/>
        <v>269508</v>
      </c>
      <c r="N103" s="890">
        <f t="shared" si="6"/>
        <v>126</v>
      </c>
    </row>
    <row r="104" spans="1:14" ht="26.5" x14ac:dyDescent="0.35">
      <c r="A104" s="1117" t="s">
        <v>1358</v>
      </c>
      <c r="B104" s="1123" t="s">
        <v>1359</v>
      </c>
      <c r="C104" s="1126">
        <v>6283225</v>
      </c>
      <c r="D104" s="1126">
        <v>6512239</v>
      </c>
      <c r="E104" s="1125">
        <v>103</v>
      </c>
      <c r="F104" s="1125">
        <v>123075</v>
      </c>
      <c r="G104" s="1125">
        <v>0</v>
      </c>
      <c r="H104" s="1125">
        <v>0</v>
      </c>
      <c r="I104" s="1038">
        <v>825</v>
      </c>
      <c r="J104" s="1038">
        <v>0</v>
      </c>
      <c r="K104" s="1038">
        <v>0</v>
      </c>
      <c r="L104" s="890">
        <f t="shared" si="4"/>
        <v>6407125</v>
      </c>
      <c r="M104" s="890">
        <f t="shared" si="5"/>
        <v>6512239</v>
      </c>
      <c r="N104" s="890">
        <f t="shared" si="6"/>
        <v>103</v>
      </c>
    </row>
    <row r="105" spans="1:14" ht="26.5" x14ac:dyDescent="0.35">
      <c r="A105" s="1117" t="s">
        <v>1360</v>
      </c>
      <c r="B105" s="1123" t="s">
        <v>1361</v>
      </c>
      <c r="C105" s="1126">
        <v>12492737</v>
      </c>
      <c r="D105" s="1126">
        <v>10463923</v>
      </c>
      <c r="E105" s="1125">
        <v>83</v>
      </c>
      <c r="F105" s="1125">
        <v>11242</v>
      </c>
      <c r="G105" s="1125">
        <v>0</v>
      </c>
      <c r="H105" s="1125">
        <v>0</v>
      </c>
      <c r="I105" s="1038">
        <v>0</v>
      </c>
      <c r="J105" s="1038">
        <v>0</v>
      </c>
      <c r="K105" s="1038">
        <v>0</v>
      </c>
      <c r="L105" s="890">
        <f t="shared" si="4"/>
        <v>12503979</v>
      </c>
      <c r="M105" s="890">
        <f t="shared" si="5"/>
        <v>10463923</v>
      </c>
      <c r="N105" s="890">
        <f t="shared" si="6"/>
        <v>83</v>
      </c>
    </row>
    <row r="106" spans="1:14" ht="26.5" x14ac:dyDescent="0.35">
      <c r="A106" s="1117" t="s">
        <v>1362</v>
      </c>
      <c r="B106" s="1123" t="s">
        <v>1363</v>
      </c>
      <c r="C106" s="1126">
        <v>0</v>
      </c>
      <c r="D106" s="1126">
        <v>0</v>
      </c>
      <c r="E106" s="1125">
        <v>0</v>
      </c>
      <c r="F106" s="1125">
        <v>0</v>
      </c>
      <c r="G106" s="1125">
        <v>0</v>
      </c>
      <c r="H106" s="1125">
        <v>0</v>
      </c>
      <c r="I106" s="1038">
        <v>0</v>
      </c>
      <c r="J106" s="1038">
        <v>0</v>
      </c>
      <c r="K106" s="1038">
        <v>0</v>
      </c>
      <c r="L106" s="890">
        <f t="shared" si="4"/>
        <v>0</v>
      </c>
      <c r="M106" s="890">
        <f t="shared" si="5"/>
        <v>0</v>
      </c>
      <c r="N106" s="890">
        <f t="shared" si="6"/>
        <v>0</v>
      </c>
    </row>
    <row r="107" spans="1:14" ht="26.5" x14ac:dyDescent="0.35">
      <c r="A107" s="1117" t="s">
        <v>1364</v>
      </c>
      <c r="B107" s="1123" t="s">
        <v>1365</v>
      </c>
      <c r="C107" s="1124">
        <v>678688045</v>
      </c>
      <c r="D107" s="1124">
        <v>845670529</v>
      </c>
      <c r="E107" s="1125">
        <v>124</v>
      </c>
      <c r="F107" s="1125">
        <v>2560145</v>
      </c>
      <c r="G107" s="1125">
        <v>2447551</v>
      </c>
      <c r="H107" s="1125">
        <v>95</v>
      </c>
      <c r="I107" s="1038">
        <v>3744887</v>
      </c>
      <c r="J107" s="1038">
        <v>3949624</v>
      </c>
      <c r="K107" s="1038">
        <v>105</v>
      </c>
      <c r="L107" s="890">
        <f t="shared" si="4"/>
        <v>684993077</v>
      </c>
      <c r="M107" s="890">
        <f t="shared" si="5"/>
        <v>852067704</v>
      </c>
      <c r="N107" s="890">
        <f t="shared" si="6"/>
        <v>324</v>
      </c>
    </row>
    <row r="108" spans="1:14" ht="24.5" x14ac:dyDescent="0.35">
      <c r="A108" s="1117" t="s">
        <v>1366</v>
      </c>
      <c r="B108" s="1123" t="s">
        <v>1367</v>
      </c>
      <c r="C108" s="1124">
        <v>1482372801</v>
      </c>
      <c r="D108" s="1124">
        <v>1615649141</v>
      </c>
      <c r="E108" s="1125">
        <v>108</v>
      </c>
      <c r="F108" s="1125">
        <v>1125942</v>
      </c>
      <c r="G108" s="1125">
        <v>1000509</v>
      </c>
      <c r="H108" s="1125">
        <v>88</v>
      </c>
      <c r="I108" s="1038">
        <v>2811916</v>
      </c>
      <c r="J108" s="1038">
        <v>2095196</v>
      </c>
      <c r="K108" s="1038">
        <v>74</v>
      </c>
      <c r="L108" s="890">
        <f t="shared" si="4"/>
        <v>1486310659</v>
      </c>
      <c r="M108" s="890">
        <f t="shared" si="5"/>
        <v>1618744846</v>
      </c>
      <c r="N108" s="890">
        <f t="shared" si="6"/>
        <v>270</v>
      </c>
    </row>
    <row r="109" spans="1:14" x14ac:dyDescent="0.35">
      <c r="A109" s="1120" t="s">
        <v>695</v>
      </c>
      <c r="B109" s="1121" t="s">
        <v>695</v>
      </c>
      <c r="C109" s="1122" t="s">
        <v>695</v>
      </c>
      <c r="D109" s="1122" t="s">
        <v>695</v>
      </c>
      <c r="E109" s="1121" t="s">
        <v>695</v>
      </c>
      <c r="F109" s="1121" t="s">
        <v>695</v>
      </c>
      <c r="G109" s="1121" t="s">
        <v>695</v>
      </c>
      <c r="H109" s="1121" t="s">
        <v>695</v>
      </c>
      <c r="I109" s="1038" t="s">
        <v>695</v>
      </c>
      <c r="J109" s="1038" t="s">
        <v>695</v>
      </c>
      <c r="K109" s="1038" t="s">
        <v>695</v>
      </c>
      <c r="L109" s="890" t="e">
        <f t="shared" si="4"/>
        <v>#VALUE!</v>
      </c>
      <c r="M109" s="890" t="e">
        <f t="shared" si="5"/>
        <v>#VALUE!</v>
      </c>
      <c r="N109" s="890" t="e">
        <f t="shared" si="6"/>
        <v>#VALUE!</v>
      </c>
    </row>
    <row r="110" spans="1:14" ht="26.5" x14ac:dyDescent="0.35">
      <c r="A110" s="1120" t="s">
        <v>1368</v>
      </c>
      <c r="B110" s="1121" t="s">
        <v>1369</v>
      </c>
      <c r="C110" s="1122" t="s">
        <v>695</v>
      </c>
      <c r="D110" s="1122" t="s">
        <v>695</v>
      </c>
      <c r="E110" s="1121" t="s">
        <v>695</v>
      </c>
      <c r="F110" s="1121" t="s">
        <v>695</v>
      </c>
      <c r="G110" s="1121" t="s">
        <v>695</v>
      </c>
      <c r="H110" s="1121" t="s">
        <v>695</v>
      </c>
      <c r="I110" s="1038" t="s">
        <v>695</v>
      </c>
      <c r="J110" s="1038" t="s">
        <v>695</v>
      </c>
      <c r="K110" s="1038" t="s">
        <v>695</v>
      </c>
      <c r="L110" s="890" t="e">
        <f t="shared" si="4"/>
        <v>#VALUE!</v>
      </c>
      <c r="M110" s="890" t="e">
        <f t="shared" si="5"/>
        <v>#VALUE!</v>
      </c>
      <c r="N110" s="890" t="e">
        <f t="shared" si="6"/>
        <v>#VALUE!</v>
      </c>
    </row>
    <row r="111" spans="1:14" x14ac:dyDescent="0.35">
      <c r="A111" s="1117" t="s">
        <v>1370</v>
      </c>
      <c r="B111" s="1123" t="s">
        <v>1371</v>
      </c>
      <c r="C111" s="1126">
        <v>37158264</v>
      </c>
      <c r="D111" s="1126">
        <v>40383515</v>
      </c>
      <c r="E111" s="1125">
        <v>108</v>
      </c>
      <c r="F111" s="1125">
        <v>1735263</v>
      </c>
      <c r="G111" s="1125">
        <v>2046467</v>
      </c>
      <c r="H111" s="1125">
        <v>117</v>
      </c>
      <c r="I111" s="1038">
        <v>677528</v>
      </c>
      <c r="J111" s="1038">
        <v>2811989</v>
      </c>
      <c r="K111" s="1038">
        <v>415</v>
      </c>
      <c r="L111" s="890">
        <f t="shared" si="4"/>
        <v>39571055</v>
      </c>
      <c r="M111" s="890">
        <f t="shared" si="5"/>
        <v>45241971</v>
      </c>
      <c r="N111" s="890">
        <f t="shared" si="6"/>
        <v>640</v>
      </c>
    </row>
    <row r="112" spans="1:14" ht="26.5" x14ac:dyDescent="0.35">
      <c r="A112" s="1117" t="s">
        <v>1372</v>
      </c>
      <c r="B112" s="1123" t="s">
        <v>1373</v>
      </c>
      <c r="C112" s="1126">
        <v>6001905</v>
      </c>
      <c r="D112" s="1126">
        <v>7688936</v>
      </c>
      <c r="E112" s="1125">
        <v>128</v>
      </c>
      <c r="F112" s="1125">
        <v>603044</v>
      </c>
      <c r="G112" s="1125">
        <v>914248</v>
      </c>
      <c r="H112" s="1125">
        <v>151</v>
      </c>
      <c r="I112" s="1038">
        <v>677528</v>
      </c>
      <c r="J112" s="1038">
        <v>2811989</v>
      </c>
      <c r="K112" s="1038">
        <v>415</v>
      </c>
      <c r="L112" s="890">
        <f t="shared" si="4"/>
        <v>7282477</v>
      </c>
      <c r="M112" s="890">
        <f t="shared" si="5"/>
        <v>11415173</v>
      </c>
      <c r="N112" s="890">
        <f t="shared" si="6"/>
        <v>694</v>
      </c>
    </row>
    <row r="113" spans="1:14" ht="65.5" x14ac:dyDescent="0.35">
      <c r="A113" s="1117" t="s">
        <v>1374</v>
      </c>
      <c r="B113" s="1123" t="s">
        <v>1375</v>
      </c>
      <c r="C113" s="1126">
        <v>28425816</v>
      </c>
      <c r="D113" s="1126">
        <v>28425816</v>
      </c>
      <c r="E113" s="1125">
        <v>100</v>
      </c>
      <c r="F113" s="1038"/>
      <c r="G113" s="1038"/>
      <c r="H113" s="1038"/>
      <c r="I113" s="1038"/>
      <c r="J113" s="1038"/>
      <c r="K113" s="1038"/>
      <c r="L113" s="890">
        <f t="shared" si="4"/>
        <v>28425816</v>
      </c>
      <c r="M113" s="890">
        <f t="shared" si="5"/>
        <v>28425816</v>
      </c>
      <c r="N113" s="890">
        <f t="shared" si="6"/>
        <v>100</v>
      </c>
    </row>
    <row r="114" spans="1:14" x14ac:dyDescent="0.35">
      <c r="A114" s="1117" t="s">
        <v>1376</v>
      </c>
      <c r="B114" s="1123" t="s">
        <v>1377</v>
      </c>
      <c r="C114" s="1126">
        <v>0</v>
      </c>
      <c r="D114" s="1126">
        <v>-1166541</v>
      </c>
      <c r="E114" s="1125">
        <v>0</v>
      </c>
      <c r="F114" s="1038"/>
      <c r="G114" s="1038"/>
      <c r="H114" s="1038"/>
      <c r="I114" s="1038"/>
      <c r="J114" s="1038"/>
      <c r="K114" s="1038"/>
      <c r="L114" s="890">
        <f t="shared" si="4"/>
        <v>0</v>
      </c>
      <c r="M114" s="890">
        <f t="shared" si="5"/>
        <v>-1166541</v>
      </c>
      <c r="N114" s="890">
        <f t="shared" si="6"/>
        <v>0</v>
      </c>
    </row>
    <row r="115" spans="1:14" x14ac:dyDescent="0.35">
      <c r="L115" s="593">
        <f t="shared" si="4"/>
        <v>0</v>
      </c>
      <c r="M115" s="593">
        <f t="shared" si="5"/>
        <v>0</v>
      </c>
      <c r="N115" s="593">
        <f t="shared" si="6"/>
        <v>0</v>
      </c>
    </row>
  </sheetData>
  <mergeCells count="7">
    <mergeCell ref="A3:E3"/>
    <mergeCell ref="C4:E4"/>
    <mergeCell ref="F4:H4"/>
    <mergeCell ref="I4:K4"/>
    <mergeCell ref="L4:N4"/>
    <mergeCell ref="A4:A5"/>
    <mergeCell ref="B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T42"/>
  <sheetViews>
    <sheetView workbookViewId="0">
      <pane xSplit="2" ySplit="9" topLeftCell="C10" activePane="bottomRight" state="frozen"/>
      <selection activeCell="P20" sqref="P20"/>
      <selection pane="topRight" activeCell="P20" sqref="P20"/>
      <selection pane="bottomLeft" activeCell="P20" sqref="P20"/>
      <selection pane="bottomRight" activeCell="G19" sqref="G19"/>
    </sheetView>
  </sheetViews>
  <sheetFormatPr defaultRowHeight="14.5" x14ac:dyDescent="0.35"/>
  <cols>
    <col min="1" max="1" width="8.1796875" style="532" customWidth="1"/>
    <col min="2" max="2" width="41" style="532" customWidth="1"/>
    <col min="3" max="20" width="32.81640625" style="532" customWidth="1"/>
    <col min="21" max="256" width="9.1796875" style="532"/>
    <col min="257" max="257" width="8.1796875" style="532" customWidth="1"/>
    <col min="258" max="258" width="41" style="532" customWidth="1"/>
    <col min="259" max="276" width="32.81640625" style="532" customWidth="1"/>
    <col min="277" max="512" width="9.1796875" style="532"/>
    <col min="513" max="513" width="8.1796875" style="532" customWidth="1"/>
    <col min="514" max="514" width="41" style="532" customWidth="1"/>
    <col min="515" max="532" width="32.81640625" style="532" customWidth="1"/>
    <col min="533" max="768" width="9.1796875" style="532"/>
    <col min="769" max="769" width="8.1796875" style="532" customWidth="1"/>
    <col min="770" max="770" width="41" style="532" customWidth="1"/>
    <col min="771" max="788" width="32.81640625" style="532" customWidth="1"/>
    <col min="789" max="1024" width="9.1796875" style="532"/>
    <col min="1025" max="1025" width="8.1796875" style="532" customWidth="1"/>
    <col min="1026" max="1026" width="41" style="532" customWidth="1"/>
    <col min="1027" max="1044" width="32.81640625" style="532" customWidth="1"/>
    <col min="1045" max="1280" width="9.1796875" style="532"/>
    <col min="1281" max="1281" width="8.1796875" style="532" customWidth="1"/>
    <col min="1282" max="1282" width="41" style="532" customWidth="1"/>
    <col min="1283" max="1300" width="32.81640625" style="532" customWidth="1"/>
    <col min="1301" max="1536" width="9.1796875" style="532"/>
    <col min="1537" max="1537" width="8.1796875" style="532" customWidth="1"/>
    <col min="1538" max="1538" width="41" style="532" customWidth="1"/>
    <col min="1539" max="1556" width="32.81640625" style="532" customWidth="1"/>
    <col min="1557" max="1792" width="9.1796875" style="532"/>
    <col min="1793" max="1793" width="8.1796875" style="532" customWidth="1"/>
    <col min="1794" max="1794" width="41" style="532" customWidth="1"/>
    <col min="1795" max="1812" width="32.81640625" style="532" customWidth="1"/>
    <col min="1813" max="2048" width="9.1796875" style="532"/>
    <col min="2049" max="2049" width="8.1796875" style="532" customWidth="1"/>
    <col min="2050" max="2050" width="41" style="532" customWidth="1"/>
    <col min="2051" max="2068" width="32.81640625" style="532" customWidth="1"/>
    <col min="2069" max="2304" width="9.1796875" style="532"/>
    <col min="2305" max="2305" width="8.1796875" style="532" customWidth="1"/>
    <col min="2306" max="2306" width="41" style="532" customWidth="1"/>
    <col min="2307" max="2324" width="32.81640625" style="532" customWidth="1"/>
    <col min="2325" max="2560" width="9.1796875" style="532"/>
    <col min="2561" max="2561" width="8.1796875" style="532" customWidth="1"/>
    <col min="2562" max="2562" width="41" style="532" customWidth="1"/>
    <col min="2563" max="2580" width="32.81640625" style="532" customWidth="1"/>
    <col min="2581" max="2816" width="9.1796875" style="532"/>
    <col min="2817" max="2817" width="8.1796875" style="532" customWidth="1"/>
    <col min="2818" max="2818" width="41" style="532" customWidth="1"/>
    <col min="2819" max="2836" width="32.81640625" style="532" customWidth="1"/>
    <col min="2837" max="3072" width="9.1796875" style="532"/>
    <col min="3073" max="3073" width="8.1796875" style="532" customWidth="1"/>
    <col min="3074" max="3074" width="41" style="532" customWidth="1"/>
    <col min="3075" max="3092" width="32.81640625" style="532" customWidth="1"/>
    <col min="3093" max="3328" width="9.1796875" style="532"/>
    <col min="3329" max="3329" width="8.1796875" style="532" customWidth="1"/>
    <col min="3330" max="3330" width="41" style="532" customWidth="1"/>
    <col min="3331" max="3348" width="32.81640625" style="532" customWidth="1"/>
    <col min="3349" max="3584" width="9.1796875" style="532"/>
    <col min="3585" max="3585" width="8.1796875" style="532" customWidth="1"/>
    <col min="3586" max="3586" width="41" style="532" customWidth="1"/>
    <col min="3587" max="3604" width="32.81640625" style="532" customWidth="1"/>
    <col min="3605" max="3840" width="9.1796875" style="532"/>
    <col min="3841" max="3841" width="8.1796875" style="532" customWidth="1"/>
    <col min="3842" max="3842" width="41" style="532" customWidth="1"/>
    <col min="3843" max="3860" width="32.81640625" style="532" customWidth="1"/>
    <col min="3861" max="4096" width="9.1796875" style="532"/>
    <col min="4097" max="4097" width="8.1796875" style="532" customWidth="1"/>
    <col min="4098" max="4098" width="41" style="532" customWidth="1"/>
    <col min="4099" max="4116" width="32.81640625" style="532" customWidth="1"/>
    <col min="4117" max="4352" width="9.1796875" style="532"/>
    <col min="4353" max="4353" width="8.1796875" style="532" customWidth="1"/>
    <col min="4354" max="4354" width="41" style="532" customWidth="1"/>
    <col min="4355" max="4372" width="32.81640625" style="532" customWidth="1"/>
    <col min="4373" max="4608" width="9.1796875" style="532"/>
    <col min="4609" max="4609" width="8.1796875" style="532" customWidth="1"/>
    <col min="4610" max="4610" width="41" style="532" customWidth="1"/>
    <col min="4611" max="4628" width="32.81640625" style="532" customWidth="1"/>
    <col min="4629" max="4864" width="9.1796875" style="532"/>
    <col min="4865" max="4865" width="8.1796875" style="532" customWidth="1"/>
    <col min="4866" max="4866" width="41" style="532" customWidth="1"/>
    <col min="4867" max="4884" width="32.81640625" style="532" customWidth="1"/>
    <col min="4885" max="5120" width="9.1796875" style="532"/>
    <col min="5121" max="5121" width="8.1796875" style="532" customWidth="1"/>
    <col min="5122" max="5122" width="41" style="532" customWidth="1"/>
    <col min="5123" max="5140" width="32.81640625" style="532" customWidth="1"/>
    <col min="5141" max="5376" width="9.1796875" style="532"/>
    <col min="5377" max="5377" width="8.1796875" style="532" customWidth="1"/>
    <col min="5378" max="5378" width="41" style="532" customWidth="1"/>
    <col min="5379" max="5396" width="32.81640625" style="532" customWidth="1"/>
    <col min="5397" max="5632" width="9.1796875" style="532"/>
    <col min="5633" max="5633" width="8.1796875" style="532" customWidth="1"/>
    <col min="5634" max="5634" width="41" style="532" customWidth="1"/>
    <col min="5635" max="5652" width="32.81640625" style="532" customWidth="1"/>
    <col min="5653" max="5888" width="9.1796875" style="532"/>
    <col min="5889" max="5889" width="8.1796875" style="532" customWidth="1"/>
    <col min="5890" max="5890" width="41" style="532" customWidth="1"/>
    <col min="5891" max="5908" width="32.81640625" style="532" customWidth="1"/>
    <col min="5909" max="6144" width="9.1796875" style="532"/>
    <col min="6145" max="6145" width="8.1796875" style="532" customWidth="1"/>
    <col min="6146" max="6146" width="41" style="532" customWidth="1"/>
    <col min="6147" max="6164" width="32.81640625" style="532" customWidth="1"/>
    <col min="6165" max="6400" width="9.1796875" style="532"/>
    <col min="6401" max="6401" width="8.1796875" style="532" customWidth="1"/>
    <col min="6402" max="6402" width="41" style="532" customWidth="1"/>
    <col min="6403" max="6420" width="32.81640625" style="532" customWidth="1"/>
    <col min="6421" max="6656" width="9.1796875" style="532"/>
    <col min="6657" max="6657" width="8.1796875" style="532" customWidth="1"/>
    <col min="6658" max="6658" width="41" style="532" customWidth="1"/>
    <col min="6659" max="6676" width="32.81640625" style="532" customWidth="1"/>
    <col min="6677" max="6912" width="9.1796875" style="532"/>
    <col min="6913" max="6913" width="8.1796875" style="532" customWidth="1"/>
    <col min="6914" max="6914" width="41" style="532" customWidth="1"/>
    <col min="6915" max="6932" width="32.81640625" style="532" customWidth="1"/>
    <col min="6933" max="7168" width="9.1796875" style="532"/>
    <col min="7169" max="7169" width="8.1796875" style="532" customWidth="1"/>
    <col min="7170" max="7170" width="41" style="532" customWidth="1"/>
    <col min="7171" max="7188" width="32.81640625" style="532" customWidth="1"/>
    <col min="7189" max="7424" width="9.1796875" style="532"/>
    <col min="7425" max="7425" width="8.1796875" style="532" customWidth="1"/>
    <col min="7426" max="7426" width="41" style="532" customWidth="1"/>
    <col min="7427" max="7444" width="32.81640625" style="532" customWidth="1"/>
    <col min="7445" max="7680" width="9.1796875" style="532"/>
    <col min="7681" max="7681" width="8.1796875" style="532" customWidth="1"/>
    <col min="7682" max="7682" width="41" style="532" customWidth="1"/>
    <col min="7683" max="7700" width="32.81640625" style="532" customWidth="1"/>
    <col min="7701" max="7936" width="9.1796875" style="532"/>
    <col min="7937" max="7937" width="8.1796875" style="532" customWidth="1"/>
    <col min="7938" max="7938" width="41" style="532" customWidth="1"/>
    <col min="7939" max="7956" width="32.81640625" style="532" customWidth="1"/>
    <col min="7957" max="8192" width="9.1796875" style="532"/>
    <col min="8193" max="8193" width="8.1796875" style="532" customWidth="1"/>
    <col min="8194" max="8194" width="41" style="532" customWidth="1"/>
    <col min="8195" max="8212" width="32.81640625" style="532" customWidth="1"/>
    <col min="8213" max="8448" width="9.1796875" style="532"/>
    <col min="8449" max="8449" width="8.1796875" style="532" customWidth="1"/>
    <col min="8450" max="8450" width="41" style="532" customWidth="1"/>
    <col min="8451" max="8468" width="32.81640625" style="532" customWidth="1"/>
    <col min="8469" max="8704" width="9.1796875" style="532"/>
    <col min="8705" max="8705" width="8.1796875" style="532" customWidth="1"/>
    <col min="8706" max="8706" width="41" style="532" customWidth="1"/>
    <col min="8707" max="8724" width="32.81640625" style="532" customWidth="1"/>
    <col min="8725" max="8960" width="9.1796875" style="532"/>
    <col min="8961" max="8961" width="8.1796875" style="532" customWidth="1"/>
    <col min="8962" max="8962" width="41" style="532" customWidth="1"/>
    <col min="8963" max="8980" width="32.81640625" style="532" customWidth="1"/>
    <col min="8981" max="9216" width="9.1796875" style="532"/>
    <col min="9217" max="9217" width="8.1796875" style="532" customWidth="1"/>
    <col min="9218" max="9218" width="41" style="532" customWidth="1"/>
    <col min="9219" max="9236" width="32.81640625" style="532" customWidth="1"/>
    <col min="9237" max="9472" width="9.1796875" style="532"/>
    <col min="9473" max="9473" width="8.1796875" style="532" customWidth="1"/>
    <col min="9474" max="9474" width="41" style="532" customWidth="1"/>
    <col min="9475" max="9492" width="32.81640625" style="532" customWidth="1"/>
    <col min="9493" max="9728" width="9.1796875" style="532"/>
    <col min="9729" max="9729" width="8.1796875" style="532" customWidth="1"/>
    <col min="9730" max="9730" width="41" style="532" customWidth="1"/>
    <col min="9731" max="9748" width="32.81640625" style="532" customWidth="1"/>
    <col min="9749" max="9984" width="9.1796875" style="532"/>
    <col min="9985" max="9985" width="8.1796875" style="532" customWidth="1"/>
    <col min="9986" max="9986" width="41" style="532" customWidth="1"/>
    <col min="9987" max="10004" width="32.81640625" style="532" customWidth="1"/>
    <col min="10005" max="10240" width="9.1796875" style="532"/>
    <col min="10241" max="10241" width="8.1796875" style="532" customWidth="1"/>
    <col min="10242" max="10242" width="41" style="532" customWidth="1"/>
    <col min="10243" max="10260" width="32.81640625" style="532" customWidth="1"/>
    <col min="10261" max="10496" width="9.1796875" style="532"/>
    <col min="10497" max="10497" width="8.1796875" style="532" customWidth="1"/>
    <col min="10498" max="10498" width="41" style="532" customWidth="1"/>
    <col min="10499" max="10516" width="32.81640625" style="532" customWidth="1"/>
    <col min="10517" max="10752" width="9.1796875" style="532"/>
    <col min="10753" max="10753" width="8.1796875" style="532" customWidth="1"/>
    <col min="10754" max="10754" width="41" style="532" customWidth="1"/>
    <col min="10755" max="10772" width="32.81640625" style="532" customWidth="1"/>
    <col min="10773" max="11008" width="9.1796875" style="532"/>
    <col min="11009" max="11009" width="8.1796875" style="532" customWidth="1"/>
    <col min="11010" max="11010" width="41" style="532" customWidth="1"/>
    <col min="11011" max="11028" width="32.81640625" style="532" customWidth="1"/>
    <col min="11029" max="11264" width="9.1796875" style="532"/>
    <col min="11265" max="11265" width="8.1796875" style="532" customWidth="1"/>
    <col min="11266" max="11266" width="41" style="532" customWidth="1"/>
    <col min="11267" max="11284" width="32.81640625" style="532" customWidth="1"/>
    <col min="11285" max="11520" width="9.1796875" style="532"/>
    <col min="11521" max="11521" width="8.1796875" style="532" customWidth="1"/>
    <col min="11522" max="11522" width="41" style="532" customWidth="1"/>
    <col min="11523" max="11540" width="32.81640625" style="532" customWidth="1"/>
    <col min="11541" max="11776" width="9.1796875" style="532"/>
    <col min="11777" max="11777" width="8.1796875" style="532" customWidth="1"/>
    <col min="11778" max="11778" width="41" style="532" customWidth="1"/>
    <col min="11779" max="11796" width="32.81640625" style="532" customWidth="1"/>
    <col min="11797" max="12032" width="9.1796875" style="532"/>
    <col min="12033" max="12033" width="8.1796875" style="532" customWidth="1"/>
    <col min="12034" max="12034" width="41" style="532" customWidth="1"/>
    <col min="12035" max="12052" width="32.81640625" style="532" customWidth="1"/>
    <col min="12053" max="12288" width="9.1796875" style="532"/>
    <col min="12289" max="12289" width="8.1796875" style="532" customWidth="1"/>
    <col min="12290" max="12290" width="41" style="532" customWidth="1"/>
    <col min="12291" max="12308" width="32.81640625" style="532" customWidth="1"/>
    <col min="12309" max="12544" width="9.1796875" style="532"/>
    <col min="12545" max="12545" width="8.1796875" style="532" customWidth="1"/>
    <col min="12546" max="12546" width="41" style="532" customWidth="1"/>
    <col min="12547" max="12564" width="32.81640625" style="532" customWidth="1"/>
    <col min="12565" max="12800" width="9.1796875" style="532"/>
    <col min="12801" max="12801" width="8.1796875" style="532" customWidth="1"/>
    <col min="12802" max="12802" width="41" style="532" customWidth="1"/>
    <col min="12803" max="12820" width="32.81640625" style="532" customWidth="1"/>
    <col min="12821" max="13056" width="9.1796875" style="532"/>
    <col min="13057" max="13057" width="8.1796875" style="532" customWidth="1"/>
    <col min="13058" max="13058" width="41" style="532" customWidth="1"/>
    <col min="13059" max="13076" width="32.81640625" style="532" customWidth="1"/>
    <col min="13077" max="13312" width="9.1796875" style="532"/>
    <col min="13313" max="13313" width="8.1796875" style="532" customWidth="1"/>
    <col min="13314" max="13314" width="41" style="532" customWidth="1"/>
    <col min="13315" max="13332" width="32.81640625" style="532" customWidth="1"/>
    <col min="13333" max="13568" width="9.1796875" style="532"/>
    <col min="13569" max="13569" width="8.1796875" style="532" customWidth="1"/>
    <col min="13570" max="13570" width="41" style="532" customWidth="1"/>
    <col min="13571" max="13588" width="32.81640625" style="532" customWidth="1"/>
    <col min="13589" max="13824" width="9.1796875" style="532"/>
    <col min="13825" max="13825" width="8.1796875" style="532" customWidth="1"/>
    <col min="13826" max="13826" width="41" style="532" customWidth="1"/>
    <col min="13827" max="13844" width="32.81640625" style="532" customWidth="1"/>
    <col min="13845" max="14080" width="9.1796875" style="532"/>
    <col min="14081" max="14081" width="8.1796875" style="532" customWidth="1"/>
    <col min="14082" max="14082" width="41" style="532" customWidth="1"/>
    <col min="14083" max="14100" width="32.81640625" style="532" customWidth="1"/>
    <col min="14101" max="14336" width="9.1796875" style="532"/>
    <col min="14337" max="14337" width="8.1796875" style="532" customWidth="1"/>
    <col min="14338" max="14338" width="41" style="532" customWidth="1"/>
    <col min="14339" max="14356" width="32.81640625" style="532" customWidth="1"/>
    <col min="14357" max="14592" width="9.1796875" style="532"/>
    <col min="14593" max="14593" width="8.1796875" style="532" customWidth="1"/>
    <col min="14594" max="14594" width="41" style="532" customWidth="1"/>
    <col min="14595" max="14612" width="32.81640625" style="532" customWidth="1"/>
    <col min="14613" max="14848" width="9.1796875" style="532"/>
    <col min="14849" max="14849" width="8.1796875" style="532" customWidth="1"/>
    <col min="14850" max="14850" width="41" style="532" customWidth="1"/>
    <col min="14851" max="14868" width="32.81640625" style="532" customWidth="1"/>
    <col min="14869" max="15104" width="9.1796875" style="532"/>
    <col min="15105" max="15105" width="8.1796875" style="532" customWidth="1"/>
    <col min="15106" max="15106" width="41" style="532" customWidth="1"/>
    <col min="15107" max="15124" width="32.81640625" style="532" customWidth="1"/>
    <col min="15125" max="15360" width="9.1796875" style="532"/>
    <col min="15361" max="15361" width="8.1796875" style="532" customWidth="1"/>
    <col min="15362" max="15362" width="41" style="532" customWidth="1"/>
    <col min="15363" max="15380" width="32.81640625" style="532" customWidth="1"/>
    <col min="15381" max="15616" width="9.1796875" style="532"/>
    <col min="15617" max="15617" width="8.1796875" style="532" customWidth="1"/>
    <col min="15618" max="15618" width="41" style="532" customWidth="1"/>
    <col min="15619" max="15636" width="32.81640625" style="532" customWidth="1"/>
    <col min="15637" max="15872" width="9.1796875" style="532"/>
    <col min="15873" max="15873" width="8.1796875" style="532" customWidth="1"/>
    <col min="15874" max="15874" width="41" style="532" customWidth="1"/>
    <col min="15875" max="15892" width="32.81640625" style="532" customWidth="1"/>
    <col min="15893" max="16128" width="9.1796875" style="532"/>
    <col min="16129" max="16129" width="8.1796875" style="532" customWidth="1"/>
    <col min="16130" max="16130" width="41" style="532" customWidth="1"/>
    <col min="16131" max="16148" width="32.81640625" style="532" customWidth="1"/>
    <col min="16149" max="16384" width="9.1796875" style="532"/>
  </cols>
  <sheetData>
    <row r="1" spans="1:20" x14ac:dyDescent="0.35">
      <c r="A1" s="1164" t="s">
        <v>1056</v>
      </c>
      <c r="B1" s="1164"/>
    </row>
    <row r="3" spans="1:20" s="408" customFormat="1" x14ac:dyDescent="0.35">
      <c r="A3" s="1162" t="s">
        <v>1026</v>
      </c>
      <c r="B3" s="1163"/>
      <c r="C3" s="1163"/>
      <c r="D3" s="1163"/>
      <c r="E3" s="1163"/>
      <c r="F3" s="1163"/>
      <c r="G3" s="1163"/>
      <c r="H3" s="1163"/>
      <c r="I3" s="1163"/>
      <c r="J3" s="1163"/>
      <c r="K3" s="1163"/>
      <c r="L3" s="1163"/>
      <c r="M3" s="1163"/>
      <c r="N3" s="1163"/>
      <c r="O3" s="1163"/>
      <c r="P3" s="1163"/>
      <c r="Q3" s="1163"/>
      <c r="R3" s="1163"/>
      <c r="S3" s="1163"/>
      <c r="T3" s="1163"/>
    </row>
    <row r="4" spans="1:20" s="408" customFormat="1" ht="93" x14ac:dyDescent="0.35">
      <c r="A4" s="895" t="s">
        <v>1027</v>
      </c>
      <c r="B4" s="895" t="s">
        <v>386</v>
      </c>
      <c r="C4" s="895" t="s">
        <v>1028</v>
      </c>
      <c r="D4" s="895" t="s">
        <v>1029</v>
      </c>
      <c r="E4" s="895" t="s">
        <v>1030</v>
      </c>
      <c r="F4" s="895" t="s">
        <v>1031</v>
      </c>
      <c r="G4" s="895" t="s">
        <v>1032</v>
      </c>
      <c r="H4" s="895" t="s">
        <v>1033</v>
      </c>
      <c r="I4" s="895" t="s">
        <v>1034</v>
      </c>
      <c r="J4" s="895" t="s">
        <v>1035</v>
      </c>
      <c r="K4" s="895" t="s">
        <v>1036</v>
      </c>
      <c r="L4" s="895" t="s">
        <v>1037</v>
      </c>
      <c r="M4" s="895" t="s">
        <v>1038</v>
      </c>
      <c r="N4" s="895" t="s">
        <v>1039</v>
      </c>
      <c r="O4" s="895" t="s">
        <v>1040</v>
      </c>
      <c r="P4" s="895" t="s">
        <v>1041</v>
      </c>
      <c r="Q4" s="895" t="s">
        <v>1042</v>
      </c>
      <c r="R4" s="895" t="s">
        <v>1043</v>
      </c>
      <c r="S4" s="895" t="s">
        <v>1044</v>
      </c>
      <c r="T4" s="895" t="s">
        <v>1045</v>
      </c>
    </row>
    <row r="5" spans="1:20" s="408" customFormat="1" ht="15" customHeight="1" x14ac:dyDescent="0.35">
      <c r="A5" s="895">
        <v>1</v>
      </c>
      <c r="B5" s="895">
        <v>2</v>
      </c>
      <c r="C5" s="895">
        <v>3</v>
      </c>
      <c r="D5" s="895">
        <v>4</v>
      </c>
      <c r="E5" s="895">
        <v>5</v>
      </c>
      <c r="F5" s="895">
        <v>6</v>
      </c>
      <c r="G5" s="895">
        <v>7</v>
      </c>
      <c r="H5" s="895">
        <v>8</v>
      </c>
      <c r="I5" s="895">
        <v>9</v>
      </c>
      <c r="J5" s="895">
        <v>10</v>
      </c>
      <c r="K5" s="895">
        <v>11</v>
      </c>
      <c r="L5" s="895">
        <v>12</v>
      </c>
      <c r="M5" s="895">
        <v>13</v>
      </c>
      <c r="N5" s="895">
        <v>14</v>
      </c>
      <c r="O5" s="895">
        <v>15</v>
      </c>
      <c r="P5" s="895">
        <v>16</v>
      </c>
      <c r="Q5" s="895">
        <v>17</v>
      </c>
      <c r="R5" s="895">
        <v>18</v>
      </c>
      <c r="S5" s="895">
        <v>19</v>
      </c>
      <c r="T5" s="895">
        <v>20</v>
      </c>
    </row>
    <row r="6" spans="1:20" ht="25" x14ac:dyDescent="0.35">
      <c r="A6" s="892" t="s">
        <v>616</v>
      </c>
      <c r="B6" s="893" t="s">
        <v>1046</v>
      </c>
      <c r="C6" s="598">
        <v>46706691</v>
      </c>
      <c r="D6" s="598">
        <v>0</v>
      </c>
      <c r="E6" s="598">
        <v>0</v>
      </c>
      <c r="F6" s="598">
        <v>46706691</v>
      </c>
      <c r="G6" s="598">
        <v>0</v>
      </c>
      <c r="H6" s="598">
        <v>188330301</v>
      </c>
      <c r="I6" s="598">
        <v>46706691</v>
      </c>
      <c r="J6" s="598">
        <v>0</v>
      </c>
      <c r="K6" s="598">
        <v>0</v>
      </c>
      <c r="L6" s="598">
        <v>0</v>
      </c>
      <c r="M6" s="598">
        <v>0</v>
      </c>
      <c r="N6" s="598">
        <v>0</v>
      </c>
      <c r="O6" s="598">
        <v>0</v>
      </c>
      <c r="P6" s="598">
        <v>0</v>
      </c>
      <c r="Q6" s="598">
        <v>0</v>
      </c>
      <c r="R6" s="598">
        <v>154250</v>
      </c>
      <c r="S6" s="598">
        <v>154250</v>
      </c>
      <c r="T6" s="598">
        <v>154250</v>
      </c>
    </row>
    <row r="7" spans="1:20" ht="25" x14ac:dyDescent="0.35">
      <c r="A7" s="892" t="s">
        <v>620</v>
      </c>
      <c r="B7" s="893" t="s">
        <v>1047</v>
      </c>
      <c r="C7" s="598">
        <v>0</v>
      </c>
      <c r="D7" s="598">
        <v>0</v>
      </c>
      <c r="E7" s="598">
        <v>0</v>
      </c>
      <c r="F7" s="598">
        <v>0</v>
      </c>
      <c r="G7" s="598">
        <v>0</v>
      </c>
      <c r="H7" s="598">
        <v>19880491</v>
      </c>
      <c r="I7" s="598">
        <v>0</v>
      </c>
      <c r="J7" s="598">
        <v>0</v>
      </c>
      <c r="K7" s="598">
        <v>0</v>
      </c>
      <c r="L7" s="598">
        <v>0</v>
      </c>
      <c r="M7" s="598">
        <v>0</v>
      </c>
      <c r="N7" s="598">
        <v>0</v>
      </c>
      <c r="O7" s="598">
        <v>0</v>
      </c>
      <c r="P7" s="598">
        <v>0</v>
      </c>
      <c r="Q7" s="598">
        <v>0</v>
      </c>
      <c r="R7" s="598">
        <v>0</v>
      </c>
      <c r="S7" s="598">
        <v>0</v>
      </c>
      <c r="T7" s="598">
        <v>0</v>
      </c>
    </row>
    <row r="8" spans="1:20" ht="29.15" customHeight="1" x14ac:dyDescent="0.35">
      <c r="A8" s="892" t="s">
        <v>624</v>
      </c>
      <c r="B8" s="893" t="s">
        <v>1048</v>
      </c>
      <c r="C8" s="598">
        <v>51762350</v>
      </c>
      <c r="D8" s="598">
        <v>257500</v>
      </c>
      <c r="E8" s="598">
        <v>404380</v>
      </c>
      <c r="F8" s="598">
        <v>54142610</v>
      </c>
      <c r="G8" s="598">
        <v>1718380</v>
      </c>
      <c r="H8" s="598">
        <v>57667620</v>
      </c>
      <c r="I8" s="598">
        <v>54142610</v>
      </c>
      <c r="J8" s="598">
        <v>1718380</v>
      </c>
      <c r="K8" s="598">
        <v>0</v>
      </c>
      <c r="L8" s="598">
        <v>0</v>
      </c>
      <c r="M8" s="598">
        <v>0</v>
      </c>
      <c r="N8" s="598">
        <v>0</v>
      </c>
      <c r="O8" s="598">
        <v>0</v>
      </c>
      <c r="P8" s="598">
        <v>0</v>
      </c>
      <c r="Q8" s="598">
        <v>0</v>
      </c>
      <c r="R8" s="598">
        <v>3558450</v>
      </c>
      <c r="S8" s="598">
        <v>3611900</v>
      </c>
      <c r="T8" s="598">
        <v>3525010</v>
      </c>
    </row>
    <row r="9" spans="1:20" ht="37.5" x14ac:dyDescent="0.35">
      <c r="A9" s="892" t="s">
        <v>628</v>
      </c>
      <c r="B9" s="893" t="s">
        <v>1049</v>
      </c>
      <c r="C9" s="598">
        <v>0</v>
      </c>
      <c r="D9" s="598">
        <v>0</v>
      </c>
      <c r="E9" s="598">
        <v>0</v>
      </c>
      <c r="F9" s="598">
        <v>0</v>
      </c>
      <c r="G9" s="598">
        <v>0</v>
      </c>
      <c r="H9" s="598">
        <v>151960</v>
      </c>
      <c r="I9" s="598">
        <v>0</v>
      </c>
      <c r="J9" s="598">
        <v>0</v>
      </c>
      <c r="K9" s="598">
        <v>0</v>
      </c>
      <c r="L9" s="598">
        <v>0</v>
      </c>
      <c r="M9" s="598">
        <v>0</v>
      </c>
      <c r="N9" s="598">
        <v>0</v>
      </c>
      <c r="O9" s="598">
        <v>0</v>
      </c>
      <c r="P9" s="598">
        <v>0</v>
      </c>
      <c r="Q9" s="598">
        <v>0</v>
      </c>
      <c r="R9" s="598">
        <v>0</v>
      </c>
      <c r="S9" s="598">
        <v>0</v>
      </c>
      <c r="T9" s="598">
        <v>0</v>
      </c>
    </row>
    <row r="10" spans="1:20" ht="25.5" customHeight="1" x14ac:dyDescent="0.35">
      <c r="A10" s="892" t="s">
        <v>1050</v>
      </c>
      <c r="B10" s="893" t="s">
        <v>1051</v>
      </c>
      <c r="C10" s="598">
        <v>19128030</v>
      </c>
      <c r="D10" s="598">
        <v>-4218085</v>
      </c>
      <c r="E10" s="598">
        <v>1152658</v>
      </c>
      <c r="F10" s="598">
        <v>15798603</v>
      </c>
      <c r="G10" s="598">
        <v>-264000</v>
      </c>
      <c r="H10" s="598">
        <v>19640670</v>
      </c>
      <c r="I10" s="598">
        <v>15798603</v>
      </c>
      <c r="J10" s="598">
        <v>0</v>
      </c>
      <c r="K10" s="598">
        <v>264000</v>
      </c>
      <c r="L10" s="598">
        <v>0</v>
      </c>
      <c r="M10" s="598">
        <v>0</v>
      </c>
      <c r="N10" s="598">
        <v>0</v>
      </c>
      <c r="O10" s="598">
        <v>0</v>
      </c>
      <c r="P10" s="598">
        <v>0</v>
      </c>
      <c r="Q10" s="598">
        <v>0</v>
      </c>
      <c r="R10" s="598">
        <v>828960</v>
      </c>
      <c r="S10" s="598">
        <v>862400</v>
      </c>
      <c r="T10" s="598">
        <v>862400</v>
      </c>
    </row>
    <row r="11" spans="1:20" ht="25.5" customHeight="1" x14ac:dyDescent="0.35">
      <c r="A11" s="892" t="s">
        <v>1052</v>
      </c>
      <c r="B11" s="893" t="s">
        <v>1053</v>
      </c>
      <c r="C11" s="598">
        <v>137940</v>
      </c>
      <c r="D11" s="598">
        <v>-2280</v>
      </c>
      <c r="E11" s="598">
        <v>-100320</v>
      </c>
      <c r="F11" s="598">
        <v>54150</v>
      </c>
      <c r="G11" s="598">
        <v>18810</v>
      </c>
      <c r="H11" s="598">
        <v>65665</v>
      </c>
      <c r="I11" s="598">
        <v>54150</v>
      </c>
      <c r="J11" s="598">
        <v>18810</v>
      </c>
      <c r="K11" s="598">
        <v>0</v>
      </c>
      <c r="L11" s="598">
        <v>0</v>
      </c>
      <c r="M11" s="598">
        <v>0</v>
      </c>
      <c r="N11" s="598">
        <v>0</v>
      </c>
      <c r="O11" s="598">
        <v>0</v>
      </c>
      <c r="P11" s="598">
        <v>0</v>
      </c>
      <c r="Q11" s="598">
        <v>0</v>
      </c>
      <c r="R11" s="598">
        <v>0</v>
      </c>
      <c r="S11" s="598">
        <v>0</v>
      </c>
      <c r="T11" s="598">
        <v>0</v>
      </c>
    </row>
    <row r="12" spans="1:20" ht="12.75" customHeight="1" x14ac:dyDescent="0.35">
      <c r="A12" s="896" t="s">
        <v>1054</v>
      </c>
      <c r="B12" s="897" t="s">
        <v>1055</v>
      </c>
      <c r="C12" s="608">
        <v>117735011</v>
      </c>
      <c r="D12" s="608">
        <v>-3962865</v>
      </c>
      <c r="E12" s="608">
        <v>1456718</v>
      </c>
      <c r="F12" s="608">
        <v>116702054</v>
      </c>
      <c r="G12" s="608">
        <v>1473190</v>
      </c>
      <c r="H12" s="608">
        <v>285736707</v>
      </c>
      <c r="I12" s="608">
        <v>116702054</v>
      </c>
      <c r="J12" s="608">
        <v>1737190</v>
      </c>
      <c r="K12" s="608">
        <v>264000</v>
      </c>
      <c r="L12" s="608">
        <v>0</v>
      </c>
      <c r="M12" s="608">
        <v>0</v>
      </c>
      <c r="N12" s="608">
        <v>0</v>
      </c>
      <c r="O12" s="608">
        <v>0</v>
      </c>
      <c r="P12" s="608">
        <v>0</v>
      </c>
      <c r="Q12" s="608">
        <v>0</v>
      </c>
      <c r="R12" s="608">
        <v>4541660</v>
      </c>
      <c r="S12" s="608">
        <v>4628550</v>
      </c>
      <c r="T12" s="608">
        <v>4541660</v>
      </c>
    </row>
    <row r="13" spans="1:20" ht="12.75" customHeight="1" x14ac:dyDescent="0.35"/>
    <row r="15" spans="1:20" x14ac:dyDescent="0.35">
      <c r="A15" s="1162" t="s">
        <v>1057</v>
      </c>
      <c r="B15" s="1163"/>
      <c r="C15" s="1163"/>
      <c r="D15" s="1163"/>
      <c r="E15" s="1163"/>
      <c r="F15" s="1163"/>
    </row>
    <row r="16" spans="1:20" ht="45.75" customHeight="1" x14ac:dyDescent="0.35">
      <c r="A16" s="895" t="s">
        <v>1027</v>
      </c>
      <c r="B16" s="895" t="s">
        <v>386</v>
      </c>
      <c r="C16" s="895" t="s">
        <v>1058</v>
      </c>
      <c r="D16" s="895" t="s">
        <v>1059</v>
      </c>
      <c r="E16" s="895" t="s">
        <v>1060</v>
      </c>
      <c r="F16" s="895" t="s">
        <v>1061</v>
      </c>
    </row>
    <row r="17" spans="1:6" ht="12.75" customHeight="1" x14ac:dyDescent="0.35">
      <c r="A17" s="895">
        <v>1</v>
      </c>
      <c r="B17" s="895">
        <v>2</v>
      </c>
      <c r="C17" s="895">
        <v>3</v>
      </c>
      <c r="D17" s="895">
        <v>4</v>
      </c>
      <c r="E17" s="895">
        <v>5</v>
      </c>
      <c r="F17" s="895">
        <v>6</v>
      </c>
    </row>
    <row r="18" spans="1:6" ht="12.75" customHeight="1" x14ac:dyDescent="0.35">
      <c r="A18" s="898" t="s">
        <v>616</v>
      </c>
      <c r="B18" s="899" t="s">
        <v>1062</v>
      </c>
      <c r="C18" s="900">
        <v>840800</v>
      </c>
      <c r="D18" s="900">
        <v>840800</v>
      </c>
      <c r="E18" s="900">
        <v>0</v>
      </c>
      <c r="F18" s="900">
        <v>0</v>
      </c>
    </row>
    <row r="19" spans="1:6" ht="12.75" customHeight="1" x14ac:dyDescent="0.35">
      <c r="A19" s="898" t="s">
        <v>618</v>
      </c>
      <c r="B19" s="899" t="s">
        <v>1063</v>
      </c>
      <c r="C19" s="900">
        <v>8609000</v>
      </c>
      <c r="D19" s="900">
        <v>8609000</v>
      </c>
      <c r="E19" s="900">
        <v>0</v>
      </c>
      <c r="F19" s="900">
        <v>0</v>
      </c>
    </row>
    <row r="20" spans="1:6" ht="12.75" customHeight="1" x14ac:dyDescent="0.35">
      <c r="A20" s="898" t="s">
        <v>622</v>
      </c>
      <c r="B20" s="899" t="s">
        <v>1064</v>
      </c>
      <c r="C20" s="900">
        <v>2608335</v>
      </c>
      <c r="D20" s="900">
        <v>2608335</v>
      </c>
      <c r="E20" s="900">
        <v>0</v>
      </c>
      <c r="F20" s="900">
        <v>0</v>
      </c>
    </row>
    <row r="21" spans="1:6" ht="12.75" customHeight="1" x14ac:dyDescent="0.35">
      <c r="A21" s="898" t="s">
        <v>1065</v>
      </c>
      <c r="B21" s="899" t="s">
        <v>1066</v>
      </c>
      <c r="C21" s="900">
        <v>476250</v>
      </c>
      <c r="D21" s="900">
        <v>476250</v>
      </c>
      <c r="E21" s="900">
        <v>0</v>
      </c>
      <c r="F21" s="900">
        <v>0</v>
      </c>
    </row>
    <row r="22" spans="1:6" ht="12.75" customHeight="1" x14ac:dyDescent="0.35">
      <c r="A22" s="898" t="s">
        <v>1067</v>
      </c>
      <c r="B22" s="899" t="s">
        <v>1068</v>
      </c>
      <c r="C22" s="900">
        <v>217200</v>
      </c>
      <c r="D22" s="900">
        <v>240000</v>
      </c>
      <c r="E22" s="900">
        <v>0</v>
      </c>
      <c r="F22" s="900">
        <v>-22800</v>
      </c>
    </row>
    <row r="23" spans="1:6" ht="12.75" customHeight="1" x14ac:dyDescent="0.35">
      <c r="A23" s="898" t="s">
        <v>1069</v>
      </c>
      <c r="B23" s="899" t="s">
        <v>1070</v>
      </c>
      <c r="C23" s="900">
        <v>350805</v>
      </c>
      <c r="D23" s="900">
        <v>350805</v>
      </c>
      <c r="E23" s="900">
        <v>0</v>
      </c>
      <c r="F23" s="900">
        <v>0</v>
      </c>
    </row>
    <row r="24" spans="1:6" ht="12.75" customHeight="1" x14ac:dyDescent="0.35">
      <c r="A24" s="901" t="s">
        <v>1071</v>
      </c>
      <c r="B24" s="902" t="s">
        <v>1072</v>
      </c>
      <c r="C24" s="903">
        <v>1044255</v>
      </c>
      <c r="D24" s="903">
        <v>1067055</v>
      </c>
      <c r="E24" s="903">
        <v>0</v>
      </c>
      <c r="F24" s="903">
        <v>-22800</v>
      </c>
    </row>
    <row r="25" spans="1:6" ht="12.75" customHeight="1" x14ac:dyDescent="0.35">
      <c r="A25" s="898" t="s">
        <v>1073</v>
      </c>
      <c r="B25" s="899" t="s">
        <v>1074</v>
      </c>
      <c r="C25" s="900">
        <v>5438210</v>
      </c>
      <c r="D25" s="900">
        <v>5438210</v>
      </c>
      <c r="E25" s="900">
        <v>0</v>
      </c>
      <c r="F25" s="900">
        <v>0</v>
      </c>
    </row>
    <row r="26" spans="1:6" x14ac:dyDescent="0.35">
      <c r="A26" s="901" t="s">
        <v>1075</v>
      </c>
      <c r="B26" s="902" t="s">
        <v>1076</v>
      </c>
      <c r="C26" s="903">
        <v>18540600</v>
      </c>
      <c r="D26" s="903">
        <v>18563400</v>
      </c>
      <c r="E26" s="903">
        <v>0</v>
      </c>
      <c r="F26" s="903">
        <v>-22800</v>
      </c>
    </row>
    <row r="28" spans="1:6" ht="12.75" hidden="1" customHeight="1" thickBot="1" x14ac:dyDescent="0.4"/>
    <row r="29" spans="1:6" ht="12.75" hidden="1" customHeight="1" thickBot="1" x14ac:dyDescent="0.4"/>
    <row r="30" spans="1:6" ht="12.75" hidden="1" customHeight="1" thickBot="1" x14ac:dyDescent="0.4"/>
    <row r="31" spans="1:6" ht="12.75" hidden="1" customHeight="1" thickBot="1" x14ac:dyDescent="0.4"/>
    <row r="32" spans="1:6" ht="12.75" hidden="1" customHeight="1" thickBot="1" x14ac:dyDescent="0.4"/>
    <row r="33" ht="12.75" hidden="1" customHeight="1" thickBot="1" x14ac:dyDescent="0.4"/>
    <row r="34" ht="12.75" hidden="1" customHeight="1" thickBot="1" x14ac:dyDescent="0.4"/>
    <row r="37" ht="12.75" hidden="1" customHeight="1" thickBot="1" x14ac:dyDescent="0.4"/>
    <row r="42" ht="42.75" customHeight="1" x14ac:dyDescent="0.35"/>
  </sheetData>
  <mergeCells count="3">
    <mergeCell ref="A3:T3"/>
    <mergeCell ref="A1:B1"/>
    <mergeCell ref="A15:F15"/>
  </mergeCells>
  <pageMargins left="0.70866141732283472" right="0.70866141732283472" top="0.74803149606299213" bottom="0.74803149606299213" header="0.31496062992125984" footer="0.31496062992125984"/>
  <pageSetup paperSize="8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M21"/>
  <sheetViews>
    <sheetView view="pageBreakPreview" topLeftCell="A13" zoomScale="120" zoomScaleNormal="100" zoomScaleSheetLayoutView="120" workbookViewId="0">
      <selection activeCell="M21" sqref="M21"/>
    </sheetView>
  </sheetViews>
  <sheetFormatPr defaultRowHeight="14.5" x14ac:dyDescent="0.35"/>
  <cols>
    <col min="1" max="1" width="43.54296875" customWidth="1"/>
    <col min="2" max="2" width="19.26953125" customWidth="1"/>
    <col min="3" max="4" width="19.26953125" hidden="1" customWidth="1"/>
    <col min="5" max="5" width="24.26953125" style="36" hidden="1" customWidth="1"/>
    <col min="6" max="6" width="15" hidden="1" customWidth="1"/>
    <col min="7" max="7" width="19.1796875" hidden="1" customWidth="1"/>
    <col min="8" max="9" width="17.54296875" style="13" hidden="1" customWidth="1"/>
    <col min="10" max="10" width="19.7265625" style="269" customWidth="1"/>
    <col min="11" max="11" width="18.54296875" hidden="1" customWidth="1"/>
    <col min="12" max="12" width="15.54296875" customWidth="1"/>
    <col min="13" max="13" width="13.26953125" customWidth="1"/>
  </cols>
  <sheetData>
    <row r="1" spans="1:13" x14ac:dyDescent="0.35">
      <c r="A1" t="s">
        <v>450</v>
      </c>
    </row>
    <row r="3" spans="1:13" ht="15.75" customHeight="1" x14ac:dyDescent="0.35">
      <c r="A3" s="1156" t="s">
        <v>904</v>
      </c>
      <c r="B3" s="1156"/>
      <c r="C3" s="1156"/>
      <c r="D3" s="1156"/>
      <c r="E3" s="1156"/>
      <c r="F3" s="1140"/>
      <c r="G3" s="1140"/>
      <c r="H3" s="1140"/>
      <c r="I3" s="1140"/>
      <c r="J3" s="1140"/>
    </row>
    <row r="4" spans="1:13" ht="15.75" customHeight="1" x14ac:dyDescent="0.35">
      <c r="A4" s="150"/>
      <c r="B4" s="154"/>
      <c r="C4" s="154"/>
      <c r="D4" s="154"/>
      <c r="E4" s="263"/>
    </row>
    <row r="5" spans="1:13" x14ac:dyDescent="0.35">
      <c r="A5" s="15"/>
      <c r="B5" s="15"/>
      <c r="C5" s="15"/>
      <c r="D5" s="15"/>
    </row>
    <row r="6" spans="1:13" ht="25.5" customHeight="1" x14ac:dyDescent="0.35">
      <c r="A6" s="267" t="s">
        <v>343</v>
      </c>
      <c r="B6" s="267" t="s">
        <v>3</v>
      </c>
      <c r="C6" s="267" t="s">
        <v>839</v>
      </c>
      <c r="D6" s="267" t="s">
        <v>687</v>
      </c>
      <c r="E6" s="266" t="s">
        <v>811</v>
      </c>
      <c r="F6" s="266" t="s">
        <v>868</v>
      </c>
      <c r="G6" s="266" t="s">
        <v>869</v>
      </c>
      <c r="H6" s="266" t="s">
        <v>867</v>
      </c>
      <c r="I6" s="266" t="s">
        <v>935</v>
      </c>
      <c r="J6" s="522" t="s">
        <v>968</v>
      </c>
      <c r="K6" s="904" t="s">
        <v>1023</v>
      </c>
      <c r="L6" s="904" t="s">
        <v>679</v>
      </c>
      <c r="M6" s="905" t="s">
        <v>673</v>
      </c>
    </row>
    <row r="7" spans="1:13" ht="15.75" customHeight="1" x14ac:dyDescent="0.35">
      <c r="A7" s="146" t="s">
        <v>387</v>
      </c>
      <c r="B7" s="147" t="s">
        <v>388</v>
      </c>
      <c r="C7" s="262">
        <f>SUM(C8:C10)</f>
        <v>7380000</v>
      </c>
      <c r="D7" s="262">
        <f>C7</f>
        <v>7380000</v>
      </c>
      <c r="E7" s="262">
        <f>SUM(E8:E10)</f>
        <v>7700000</v>
      </c>
      <c r="F7" s="262">
        <f t="shared" ref="F7:H7" si="0">SUM(F8:F10)</f>
        <v>0</v>
      </c>
      <c r="G7" s="262">
        <f t="shared" si="0"/>
        <v>7700000</v>
      </c>
      <c r="H7" s="599">
        <f t="shared" si="0"/>
        <v>5663838</v>
      </c>
      <c r="I7" s="599">
        <v>5945322</v>
      </c>
      <c r="J7" s="651">
        <f>SUM(J8:J10)</f>
        <v>6100000</v>
      </c>
      <c r="K7" s="651">
        <f t="shared" ref="K7:M7" si="1">SUM(K8:K10)</f>
        <v>1931506</v>
      </c>
      <c r="L7" s="651">
        <f t="shared" si="1"/>
        <v>8031506</v>
      </c>
      <c r="M7" s="651">
        <f t="shared" si="1"/>
        <v>8031506</v>
      </c>
    </row>
    <row r="8" spans="1:13" x14ac:dyDescent="0.35">
      <c r="A8" s="1165" t="s">
        <v>389</v>
      </c>
      <c r="B8" s="1165"/>
      <c r="C8" s="264">
        <v>2940000</v>
      </c>
      <c r="D8" s="262">
        <f t="shared" ref="D8:D21" si="2">C8</f>
        <v>2940000</v>
      </c>
      <c r="E8" s="264">
        <v>3400000</v>
      </c>
      <c r="F8" s="1"/>
      <c r="G8" s="400">
        <f t="shared" ref="G8:G20" si="3">E8+F8</f>
        <v>3400000</v>
      </c>
      <c r="H8" s="598">
        <v>1764623</v>
      </c>
      <c r="I8" s="598"/>
      <c r="J8" s="652">
        <v>2000000</v>
      </c>
      <c r="K8" s="908">
        <f>L8-J8</f>
        <v>1798848</v>
      </c>
      <c r="L8" s="598">
        <v>3798848</v>
      </c>
      <c r="M8" s="598">
        <v>3798848</v>
      </c>
    </row>
    <row r="9" spans="1:13" x14ac:dyDescent="0.35">
      <c r="A9" s="1165" t="s">
        <v>390</v>
      </c>
      <c r="B9" s="1165"/>
      <c r="C9" s="264">
        <v>3240000</v>
      </c>
      <c r="D9" s="262">
        <f t="shared" si="2"/>
        <v>3240000</v>
      </c>
      <c r="E9" s="264">
        <v>3400000</v>
      </c>
      <c r="F9" s="1"/>
      <c r="G9" s="400">
        <f t="shared" si="3"/>
        <v>3400000</v>
      </c>
      <c r="H9" s="598">
        <v>3408355</v>
      </c>
      <c r="I9" s="598"/>
      <c r="J9" s="652">
        <v>3600000</v>
      </c>
      <c r="K9" s="908">
        <f t="shared" ref="K9:K10" si="4">L9-J9</f>
        <v>-219455</v>
      </c>
      <c r="L9" s="598">
        <v>3380545</v>
      </c>
      <c r="M9" s="598">
        <v>3380545</v>
      </c>
    </row>
    <row r="10" spans="1:13" x14ac:dyDescent="0.35">
      <c r="A10" s="1165" t="s">
        <v>391</v>
      </c>
      <c r="B10" s="1165"/>
      <c r="C10" s="264">
        <v>1200000</v>
      </c>
      <c r="D10" s="262">
        <f t="shared" si="2"/>
        <v>1200000</v>
      </c>
      <c r="E10" s="264">
        <v>900000</v>
      </c>
      <c r="F10" s="1"/>
      <c r="G10" s="400">
        <f t="shared" si="3"/>
        <v>900000</v>
      </c>
      <c r="H10" s="598">
        <v>490860</v>
      </c>
      <c r="I10" s="598"/>
      <c r="J10" s="652">
        <v>500000</v>
      </c>
      <c r="K10" s="908">
        <f t="shared" si="4"/>
        <v>352113</v>
      </c>
      <c r="L10" s="598">
        <v>852113</v>
      </c>
      <c r="M10" s="598">
        <v>852113</v>
      </c>
    </row>
    <row r="11" spans="1:13" x14ac:dyDescent="0.35">
      <c r="A11" s="146" t="s">
        <v>392</v>
      </c>
      <c r="B11" s="147" t="s">
        <v>393</v>
      </c>
      <c r="C11" s="262">
        <f>SUM(C12)</f>
        <v>46000000</v>
      </c>
      <c r="D11" s="262">
        <f t="shared" si="2"/>
        <v>46000000</v>
      </c>
      <c r="E11" s="262">
        <f>SUM(E12)</f>
        <v>49000000</v>
      </c>
      <c r="F11" s="262">
        <f t="shared" ref="F11:I11" si="5">SUM(F12)</f>
        <v>0</v>
      </c>
      <c r="G11" s="262">
        <f t="shared" si="5"/>
        <v>49000000</v>
      </c>
      <c r="H11" s="599">
        <f t="shared" si="5"/>
        <v>38172599</v>
      </c>
      <c r="I11" s="599">
        <f t="shared" si="5"/>
        <v>45758637</v>
      </c>
      <c r="J11" s="599">
        <f>SUM(J12)</f>
        <v>45000000</v>
      </c>
      <c r="K11" s="599">
        <f t="shared" ref="K11:M11" si="6">SUM(K12)</f>
        <v>3151501</v>
      </c>
      <c r="L11" s="599">
        <f t="shared" si="6"/>
        <v>48151501</v>
      </c>
      <c r="M11" s="599">
        <f t="shared" si="6"/>
        <v>48151501</v>
      </c>
    </row>
    <row r="12" spans="1:13" x14ac:dyDescent="0.35">
      <c r="A12" s="1165" t="s">
        <v>394</v>
      </c>
      <c r="B12" s="1165"/>
      <c r="C12" s="262">
        <v>46000000</v>
      </c>
      <c r="D12" s="262">
        <f t="shared" si="2"/>
        <v>46000000</v>
      </c>
      <c r="E12" s="262">
        <v>49000000</v>
      </c>
      <c r="F12" s="1"/>
      <c r="G12" s="400">
        <f t="shared" si="3"/>
        <v>49000000</v>
      </c>
      <c r="H12" s="598">
        <v>38172599</v>
      </c>
      <c r="I12" s="598">
        <v>45758637</v>
      </c>
      <c r="J12" s="652">
        <v>45000000</v>
      </c>
      <c r="K12" s="400">
        <f>L12-J12</f>
        <v>3151501</v>
      </c>
      <c r="L12" s="591">
        <v>48151501</v>
      </c>
      <c r="M12" s="591">
        <v>48151501</v>
      </c>
    </row>
    <row r="13" spans="1:13" x14ac:dyDescent="0.35">
      <c r="A13" s="146" t="s">
        <v>395</v>
      </c>
      <c r="B13" s="147" t="s">
        <v>396</v>
      </c>
      <c r="C13" s="262">
        <v>8000000</v>
      </c>
      <c r="D13" s="262">
        <f t="shared" si="2"/>
        <v>8000000</v>
      </c>
      <c r="E13" s="262">
        <v>8000000</v>
      </c>
      <c r="F13" s="1"/>
      <c r="G13" s="400">
        <f t="shared" si="3"/>
        <v>8000000</v>
      </c>
      <c r="H13" s="598">
        <v>7758269</v>
      </c>
      <c r="I13" s="598">
        <v>8206297</v>
      </c>
      <c r="J13" s="652">
        <v>8000000</v>
      </c>
      <c r="K13" s="1">
        <f>L13-J13</f>
        <v>-8000000</v>
      </c>
      <c r="L13" s="1">
        <v>0</v>
      </c>
      <c r="M13" s="1">
        <v>0</v>
      </c>
    </row>
    <row r="14" spans="1:13" s="661" customFormat="1" x14ac:dyDescent="0.35">
      <c r="A14" s="146" t="s">
        <v>397</v>
      </c>
      <c r="B14" s="658" t="s">
        <v>444</v>
      </c>
      <c r="C14" s="657">
        <f>C15</f>
        <v>119700</v>
      </c>
      <c r="D14" s="657">
        <f t="shared" si="2"/>
        <v>119700</v>
      </c>
      <c r="E14" s="657">
        <f>SUM(E15)</f>
        <v>300000</v>
      </c>
      <c r="F14" s="659">
        <v>101700</v>
      </c>
      <c r="G14" s="660">
        <f t="shared" si="3"/>
        <v>401700</v>
      </c>
      <c r="H14" s="608">
        <v>401700</v>
      </c>
      <c r="I14" s="608">
        <v>466200</v>
      </c>
      <c r="J14" s="657">
        <f>SUM(J15)</f>
        <v>500000</v>
      </c>
      <c r="K14" s="657">
        <f t="shared" ref="K14:M14" si="7">SUM(K15)</f>
        <v>-393500</v>
      </c>
      <c r="L14" s="657">
        <f t="shared" si="7"/>
        <v>106500</v>
      </c>
      <c r="M14" s="657">
        <f t="shared" si="7"/>
        <v>106500</v>
      </c>
    </row>
    <row r="15" spans="1:13" x14ac:dyDescent="0.35">
      <c r="A15" s="1165" t="s">
        <v>652</v>
      </c>
      <c r="B15" s="1165"/>
      <c r="C15" s="262">
        <v>119700</v>
      </c>
      <c r="D15" s="262">
        <f t="shared" si="2"/>
        <v>119700</v>
      </c>
      <c r="E15" s="262">
        <v>300000</v>
      </c>
      <c r="F15" s="1">
        <v>101700</v>
      </c>
      <c r="G15" s="400">
        <f t="shared" si="3"/>
        <v>401700</v>
      </c>
      <c r="H15" s="598">
        <v>401700</v>
      </c>
      <c r="I15" s="598"/>
      <c r="J15" s="652">
        <v>500000</v>
      </c>
      <c r="K15" s="400">
        <f>L15-J15</f>
        <v>-393500</v>
      </c>
      <c r="L15" s="591">
        <v>106500</v>
      </c>
      <c r="M15" s="591">
        <v>106500</v>
      </c>
    </row>
    <row r="16" spans="1:13" x14ac:dyDescent="0.35">
      <c r="A16" s="148" t="s">
        <v>398</v>
      </c>
      <c r="B16" s="149" t="s">
        <v>399</v>
      </c>
      <c r="C16" s="265">
        <f>SUM(C11,C13,C14)</f>
        <v>54119700</v>
      </c>
      <c r="D16" s="262">
        <f t="shared" si="2"/>
        <v>54119700</v>
      </c>
      <c r="E16" s="265">
        <f>SUM(E11,E13,E14)</f>
        <v>57300000</v>
      </c>
      <c r="F16" s="265">
        <f t="shared" ref="F16:I16" si="8">SUM(F11,F13,F14)</f>
        <v>101700</v>
      </c>
      <c r="G16" s="265">
        <f t="shared" si="8"/>
        <v>57401700</v>
      </c>
      <c r="H16" s="600">
        <f t="shared" si="8"/>
        <v>46332568</v>
      </c>
      <c r="I16" s="600">
        <f t="shared" si="8"/>
        <v>54431134</v>
      </c>
      <c r="J16" s="600">
        <f>SUM(J11,J13,J14)</f>
        <v>53500000</v>
      </c>
      <c r="K16" s="600">
        <f t="shared" ref="K16:M16" si="9">SUM(K11,K13,K14)</f>
        <v>-5241999</v>
      </c>
      <c r="L16" s="600">
        <f t="shared" si="9"/>
        <v>48258001</v>
      </c>
      <c r="M16" s="600">
        <f t="shared" si="9"/>
        <v>48258001</v>
      </c>
    </row>
    <row r="17" spans="1:13" x14ac:dyDescent="0.35">
      <c r="A17" s="148" t="s">
        <v>400</v>
      </c>
      <c r="B17" s="149" t="s">
        <v>401</v>
      </c>
      <c r="C17" s="265">
        <f>SUM(C18:C20)</f>
        <v>100000</v>
      </c>
      <c r="D17" s="262">
        <f t="shared" si="2"/>
        <v>100000</v>
      </c>
      <c r="E17" s="265">
        <f>SUM(E18:E20)</f>
        <v>100000</v>
      </c>
      <c r="F17" s="265">
        <f t="shared" ref="F17:H17" si="10">SUM(F18:F20)</f>
        <v>129254</v>
      </c>
      <c r="G17" s="265">
        <f t="shared" si="10"/>
        <v>229254</v>
      </c>
      <c r="H17" s="600">
        <f t="shared" si="10"/>
        <v>222315</v>
      </c>
      <c r="I17" s="600">
        <v>362189</v>
      </c>
      <c r="J17" s="653">
        <f>SUM(J18:J20)</f>
        <v>400000</v>
      </c>
      <c r="K17" s="653">
        <f t="shared" ref="K17:M17" si="11">SUM(K18:K20)</f>
        <v>-65480</v>
      </c>
      <c r="L17" s="653">
        <f t="shared" si="11"/>
        <v>334520</v>
      </c>
      <c r="M17" s="653">
        <f t="shared" si="11"/>
        <v>334520</v>
      </c>
    </row>
    <row r="18" spans="1:13" x14ac:dyDescent="0.35">
      <c r="A18" s="1165" t="s">
        <v>402</v>
      </c>
      <c r="B18" s="1165"/>
      <c r="C18" s="262">
        <v>0</v>
      </c>
      <c r="D18" s="262">
        <f t="shared" si="2"/>
        <v>0</v>
      </c>
      <c r="E18" s="262"/>
      <c r="F18" s="1"/>
      <c r="G18" s="400">
        <f t="shared" si="3"/>
        <v>0</v>
      </c>
      <c r="H18" s="4"/>
      <c r="I18" s="4"/>
      <c r="J18" s="652"/>
      <c r="K18" s="1"/>
      <c r="L18" s="1"/>
      <c r="M18" s="1"/>
    </row>
    <row r="19" spans="1:13" x14ac:dyDescent="0.35">
      <c r="A19" s="1165" t="s">
        <v>404</v>
      </c>
      <c r="B19" s="1165"/>
      <c r="C19" s="262">
        <v>100000</v>
      </c>
      <c r="D19" s="262">
        <f t="shared" si="2"/>
        <v>100000</v>
      </c>
      <c r="E19" s="262">
        <v>100000</v>
      </c>
      <c r="F19" s="1"/>
      <c r="G19" s="400">
        <f t="shared" si="3"/>
        <v>100000</v>
      </c>
      <c r="H19" s="598">
        <v>93061</v>
      </c>
      <c r="I19" s="598"/>
      <c r="J19" s="652">
        <v>400000</v>
      </c>
      <c r="K19" s="400">
        <f>L19-J19</f>
        <v>-275000</v>
      </c>
      <c r="L19" s="591">
        <v>125000</v>
      </c>
      <c r="M19" s="591">
        <v>125000</v>
      </c>
    </row>
    <row r="20" spans="1:13" x14ac:dyDescent="0.35">
      <c r="A20" s="1165" t="s">
        <v>403</v>
      </c>
      <c r="B20" s="1165"/>
      <c r="C20" s="262"/>
      <c r="D20" s="262">
        <f t="shared" si="2"/>
        <v>0</v>
      </c>
      <c r="E20" s="262"/>
      <c r="F20" s="1">
        <v>129254</v>
      </c>
      <c r="G20" s="400">
        <f t="shared" si="3"/>
        <v>129254</v>
      </c>
      <c r="H20" s="4">
        <v>129254</v>
      </c>
      <c r="I20" s="4"/>
      <c r="J20" s="652"/>
      <c r="K20" s="400">
        <f>L20-J20</f>
        <v>209520</v>
      </c>
      <c r="L20" s="1">
        <v>209520</v>
      </c>
      <c r="M20" s="1">
        <v>209520</v>
      </c>
    </row>
    <row r="21" spans="1:13" x14ac:dyDescent="0.35">
      <c r="A21" s="148" t="s">
        <v>357</v>
      </c>
      <c r="B21" s="149" t="s">
        <v>358</v>
      </c>
      <c r="C21" s="262">
        <f>SUM(C7,C16,C17)</f>
        <v>61599700</v>
      </c>
      <c r="D21" s="262">
        <f t="shared" si="2"/>
        <v>61599700</v>
      </c>
      <c r="E21" s="262">
        <f>SUM(E7,E16,E17)</f>
        <v>65100000</v>
      </c>
      <c r="F21" s="262">
        <f t="shared" ref="F21:G21" si="12">SUM(F7,F16,F17)</f>
        <v>230954</v>
      </c>
      <c r="G21" s="262">
        <f t="shared" si="12"/>
        <v>65330954</v>
      </c>
      <c r="H21" s="599">
        <f>SUM(H7,H16,H17)</f>
        <v>52218721</v>
      </c>
      <c r="I21" s="599">
        <f>SUM(I7,I16,I17)</f>
        <v>60738645</v>
      </c>
      <c r="J21" s="599">
        <f>SUM(J7,J16,J17)</f>
        <v>60000000</v>
      </c>
      <c r="K21" s="599">
        <f t="shared" ref="K21:M21" si="13">SUM(K7,K16,K17)</f>
        <v>-3375973</v>
      </c>
      <c r="L21" s="599">
        <f t="shared" si="13"/>
        <v>56624027</v>
      </c>
      <c r="M21" s="599">
        <f t="shared" si="13"/>
        <v>56624027</v>
      </c>
    </row>
  </sheetData>
  <mergeCells count="9">
    <mergeCell ref="A3:J3"/>
    <mergeCell ref="A18:B18"/>
    <mergeCell ref="A19:B19"/>
    <mergeCell ref="A20:B20"/>
    <mergeCell ref="A8:B8"/>
    <mergeCell ref="A9:B9"/>
    <mergeCell ref="A10:B10"/>
    <mergeCell ref="A12:B12"/>
    <mergeCell ref="A15:B15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Q27"/>
  <sheetViews>
    <sheetView view="pageBreakPreview" zoomScale="120" zoomScaleNormal="100" zoomScaleSheetLayoutView="120" workbookViewId="0">
      <selection activeCell="M1" sqref="M1:M1048576"/>
    </sheetView>
  </sheetViews>
  <sheetFormatPr defaultRowHeight="14.5" x14ac:dyDescent="0.35"/>
  <cols>
    <col min="1" max="1" width="5.54296875" customWidth="1"/>
    <col min="3" max="3" width="15" customWidth="1"/>
    <col min="4" max="4" width="6" customWidth="1"/>
    <col min="5" max="5" width="12.1796875" hidden="1" customWidth="1"/>
    <col min="6" max="6" width="13.81640625" hidden="1" customWidth="1"/>
    <col min="7" max="7" width="18.1796875" style="36" hidden="1" customWidth="1"/>
    <col min="8" max="8" width="15.1796875" hidden="1" customWidth="1"/>
    <col min="9" max="9" width="18" hidden="1" customWidth="1"/>
    <col min="10" max="10" width="16.1796875" hidden="1" customWidth="1"/>
    <col min="11" max="11" width="16.1796875" style="532" hidden="1" customWidth="1"/>
    <col min="12" max="12" width="25.26953125" style="269" customWidth="1"/>
    <col min="13" max="13" width="15.26953125" hidden="1" customWidth="1"/>
    <col min="14" max="14" width="15.54296875" customWidth="1"/>
    <col min="15" max="15" width="14.81640625" customWidth="1"/>
    <col min="16" max="16" width="13.26953125" customWidth="1"/>
    <col min="17" max="17" width="13.1796875" bestFit="1" customWidth="1"/>
  </cols>
  <sheetData>
    <row r="1" spans="1:17" x14ac:dyDescent="0.35">
      <c r="A1" t="s">
        <v>451</v>
      </c>
    </row>
    <row r="2" spans="1:17" x14ac:dyDescent="0.35">
      <c r="A2" s="1173" t="s">
        <v>1014</v>
      </c>
      <c r="B2" s="1173"/>
      <c r="C2" s="1173"/>
      <c r="D2" s="1173"/>
      <c r="E2" s="1173"/>
      <c r="F2" s="1173"/>
      <c r="G2" s="1173"/>
      <c r="H2" s="1140"/>
      <c r="I2" s="1140"/>
      <c r="J2" s="1140"/>
      <c r="K2" s="1140"/>
      <c r="L2" s="1140"/>
    </row>
    <row r="3" spans="1:17" x14ac:dyDescent="0.35">
      <c r="A3" s="1174"/>
      <c r="B3" s="1174"/>
      <c r="C3" s="1174"/>
      <c r="D3" s="1174"/>
      <c r="E3" s="1174"/>
      <c r="F3" s="1174"/>
      <c r="G3" s="1174"/>
      <c r="H3" s="1175"/>
      <c r="I3" s="1175"/>
      <c r="J3" s="1175"/>
      <c r="K3" s="1175"/>
      <c r="L3" s="1175"/>
    </row>
    <row r="4" spans="1:17" ht="42" customHeight="1" x14ac:dyDescent="0.35">
      <c r="A4" s="1185" t="s">
        <v>386</v>
      </c>
      <c r="B4" s="1185"/>
      <c r="C4" s="1185"/>
      <c r="D4" s="138" t="s">
        <v>469</v>
      </c>
      <c r="E4" s="268" t="s">
        <v>828</v>
      </c>
      <c r="F4" s="268" t="s">
        <v>829</v>
      </c>
      <c r="G4" s="429" t="s">
        <v>728</v>
      </c>
      <c r="H4" s="201" t="s">
        <v>868</v>
      </c>
      <c r="I4" s="201" t="s">
        <v>869</v>
      </c>
      <c r="J4" s="201" t="s">
        <v>867</v>
      </c>
      <c r="K4" s="201" t="s">
        <v>936</v>
      </c>
      <c r="L4" s="201" t="s">
        <v>968</v>
      </c>
      <c r="M4" s="904" t="s">
        <v>1023</v>
      </c>
      <c r="N4" s="904" t="s">
        <v>679</v>
      </c>
      <c r="O4" s="905" t="s">
        <v>673</v>
      </c>
    </row>
    <row r="5" spans="1:17" x14ac:dyDescent="0.35">
      <c r="A5" s="1180" t="s">
        <v>456</v>
      </c>
      <c r="B5" s="1181"/>
      <c r="C5" s="1181"/>
      <c r="D5" s="270" t="s">
        <v>470</v>
      </c>
      <c r="E5" s="476">
        <v>0</v>
      </c>
      <c r="F5" s="476"/>
      <c r="G5" s="271">
        <v>0</v>
      </c>
      <c r="H5" s="1"/>
      <c r="I5" s="400">
        <f>G5+H5</f>
        <v>0</v>
      </c>
      <c r="J5" s="1"/>
      <c r="K5" s="1"/>
      <c r="L5" s="1">
        <f>J5/10*12</f>
        <v>0</v>
      </c>
      <c r="M5" s="1"/>
      <c r="N5" s="1"/>
      <c r="O5" s="1"/>
    </row>
    <row r="6" spans="1:17" s="530" customFormat="1" ht="27.75" customHeight="1" x14ac:dyDescent="0.35">
      <c r="A6" s="1182" t="s">
        <v>457</v>
      </c>
      <c r="B6" s="1182"/>
      <c r="C6" s="1182"/>
      <c r="D6" s="1170" t="s">
        <v>150</v>
      </c>
      <c r="E6" s="656">
        <v>5744434</v>
      </c>
      <c r="F6" s="656">
        <v>6604418</v>
      </c>
      <c r="G6" s="654">
        <f>SUM(G7:G13)</f>
        <v>6199160</v>
      </c>
      <c r="H6" s="654">
        <f t="shared" ref="H6:K6" si="0">SUM(H7:H13)</f>
        <v>80000</v>
      </c>
      <c r="I6" s="654">
        <f t="shared" si="0"/>
        <v>6279160</v>
      </c>
      <c r="J6" s="654">
        <f t="shared" si="0"/>
        <v>4602620</v>
      </c>
      <c r="K6" s="654">
        <f t="shared" si="0"/>
        <v>6049491</v>
      </c>
      <c r="L6" s="654">
        <f>SUM(L7:L13)</f>
        <v>5903964.8200000003</v>
      </c>
      <c r="M6" s="654">
        <f t="shared" ref="M6:O6" si="1">SUM(M7:M13)</f>
        <v>492153.17999999993</v>
      </c>
      <c r="N6" s="654">
        <f t="shared" si="1"/>
        <v>6396118</v>
      </c>
      <c r="O6" s="654">
        <f t="shared" si="1"/>
        <v>6396118</v>
      </c>
      <c r="P6" s="591">
        <v>6396118</v>
      </c>
      <c r="Q6" s="619">
        <f>N6-P6</f>
        <v>0</v>
      </c>
    </row>
    <row r="7" spans="1:17" ht="25.5" customHeight="1" x14ac:dyDescent="0.35">
      <c r="A7" s="1179" t="s">
        <v>684</v>
      </c>
      <c r="B7" s="1186" t="s">
        <v>460</v>
      </c>
      <c r="C7" s="1186"/>
      <c r="D7" s="1171"/>
      <c r="E7" s="477">
        <v>3488610</v>
      </c>
      <c r="F7" s="477">
        <v>3488610</v>
      </c>
      <c r="G7" s="271">
        <v>3593240</v>
      </c>
      <c r="H7" s="1"/>
      <c r="I7" s="400">
        <f t="shared" ref="I7:I23" si="2">G7+H7</f>
        <v>3593240</v>
      </c>
      <c r="J7" s="271">
        <v>2118594</v>
      </c>
      <c r="K7" s="271">
        <v>3309934</v>
      </c>
      <c r="L7" s="271">
        <f>K7*1.03</f>
        <v>3409232.02</v>
      </c>
      <c r="M7" s="447">
        <f>N7-L7</f>
        <v>549130.98</v>
      </c>
      <c r="N7" s="447">
        <v>3958363</v>
      </c>
      <c r="O7" s="447">
        <v>3958363</v>
      </c>
    </row>
    <row r="8" spans="1:17" x14ac:dyDescent="0.35">
      <c r="A8" s="1179"/>
      <c r="B8" s="1186" t="s">
        <v>461</v>
      </c>
      <c r="C8" s="1186"/>
      <c r="D8" s="1171"/>
      <c r="E8" s="477">
        <v>397824</v>
      </c>
      <c r="F8" s="477">
        <v>397824</v>
      </c>
      <c r="G8" s="271">
        <v>409920</v>
      </c>
      <c r="H8" s="1"/>
      <c r="I8" s="400">
        <f t="shared" si="2"/>
        <v>409920</v>
      </c>
      <c r="J8" s="271">
        <v>341600</v>
      </c>
      <c r="K8" s="271">
        <v>375760</v>
      </c>
      <c r="L8" s="271">
        <f t="shared" ref="L8:L11" si="3">K8*1.03</f>
        <v>387032.8</v>
      </c>
      <c r="M8" s="447">
        <f t="shared" ref="M8:M12" si="4">N8-L8</f>
        <v>48722.200000000012</v>
      </c>
      <c r="N8" s="447">
        <v>435755</v>
      </c>
      <c r="O8" s="447">
        <v>435755</v>
      </c>
    </row>
    <row r="9" spans="1:17" ht="25.5" customHeight="1" x14ac:dyDescent="0.35">
      <c r="A9" s="1179"/>
      <c r="B9" s="1186" t="s">
        <v>462</v>
      </c>
      <c r="C9" s="1186"/>
      <c r="D9" s="1171"/>
      <c r="E9" s="477">
        <v>768000</v>
      </c>
      <c r="F9" s="477">
        <v>1200000</v>
      </c>
      <c r="G9" s="277">
        <v>1200000</v>
      </c>
      <c r="H9" s="400"/>
      <c r="I9" s="400">
        <f t="shared" si="2"/>
        <v>1200000</v>
      </c>
      <c r="J9" s="271">
        <v>1200000</v>
      </c>
      <c r="K9" s="271">
        <v>1200000</v>
      </c>
      <c r="L9" s="271">
        <v>1200000</v>
      </c>
      <c r="M9" s="447">
        <f t="shared" si="4"/>
        <v>0</v>
      </c>
      <c r="N9" s="447">
        <v>1200000</v>
      </c>
      <c r="O9" s="447">
        <v>1200000</v>
      </c>
    </row>
    <row r="10" spans="1:17" ht="36.75" customHeight="1" x14ac:dyDescent="0.35">
      <c r="A10" s="1179"/>
      <c r="B10" s="1186" t="s">
        <v>523</v>
      </c>
      <c r="C10" s="1186"/>
      <c r="D10" s="1171"/>
      <c r="E10" s="477">
        <v>242000</v>
      </c>
      <c r="F10" s="477">
        <v>242000</v>
      </c>
      <c r="G10" s="271">
        <v>0</v>
      </c>
      <c r="H10" s="1"/>
      <c r="I10" s="400">
        <f t="shared" si="2"/>
        <v>0</v>
      </c>
      <c r="J10" s="271"/>
      <c r="K10" s="271"/>
      <c r="L10" s="271">
        <f t="shared" si="3"/>
        <v>0</v>
      </c>
      <c r="M10" s="447">
        <f t="shared" si="4"/>
        <v>0</v>
      </c>
      <c r="N10" s="447"/>
      <c r="O10" s="447"/>
    </row>
    <row r="11" spans="1:17" ht="15.75" customHeight="1" x14ac:dyDescent="0.35">
      <c r="A11" s="1179"/>
      <c r="B11" s="1186" t="s">
        <v>463</v>
      </c>
      <c r="C11" s="1186"/>
      <c r="D11" s="1171"/>
      <c r="E11" s="477">
        <v>828000</v>
      </c>
      <c r="F11" s="477">
        <v>828000</v>
      </c>
      <c r="G11" s="271">
        <v>720000</v>
      </c>
      <c r="H11" s="1">
        <v>80000</v>
      </c>
      <c r="I11" s="400">
        <f t="shared" si="2"/>
        <v>800000</v>
      </c>
      <c r="J11" s="271">
        <v>800000</v>
      </c>
      <c r="K11" s="271">
        <v>880000</v>
      </c>
      <c r="L11" s="271">
        <f t="shared" si="3"/>
        <v>906400</v>
      </c>
      <c r="M11" s="447">
        <f t="shared" si="4"/>
        <v>-104400</v>
      </c>
      <c r="N11" s="447">
        <v>802000</v>
      </c>
      <c r="O11" s="447">
        <v>802000</v>
      </c>
    </row>
    <row r="12" spans="1:17" ht="16.5" customHeight="1" x14ac:dyDescent="0.35">
      <c r="A12" s="1179"/>
      <c r="B12" s="1187" t="s">
        <v>894</v>
      </c>
      <c r="C12" s="1187"/>
      <c r="D12" s="1172"/>
      <c r="E12" s="477">
        <v>20000</v>
      </c>
      <c r="F12" s="477">
        <v>20000</v>
      </c>
      <c r="G12" s="271">
        <v>1000</v>
      </c>
      <c r="H12" s="1"/>
      <c r="I12" s="400">
        <f t="shared" si="2"/>
        <v>1000</v>
      </c>
      <c r="J12" s="271">
        <v>1300</v>
      </c>
      <c r="K12" s="271">
        <v>1300</v>
      </c>
      <c r="L12" s="271">
        <v>1300</v>
      </c>
      <c r="M12" s="447">
        <f t="shared" si="4"/>
        <v>-1300</v>
      </c>
      <c r="N12" s="447"/>
      <c r="O12" s="447"/>
    </row>
    <row r="13" spans="1:17" ht="24" customHeight="1" x14ac:dyDescent="0.35">
      <c r="A13" s="379">
        <v>0.27</v>
      </c>
      <c r="B13" s="1177" t="s">
        <v>683</v>
      </c>
      <c r="C13" s="1177"/>
      <c r="D13" s="272"/>
      <c r="E13" s="478"/>
      <c r="F13" s="478">
        <v>427984</v>
      </c>
      <c r="G13" s="271">
        <v>275000</v>
      </c>
      <c r="H13" s="1"/>
      <c r="I13" s="400">
        <f t="shared" si="2"/>
        <v>275000</v>
      </c>
      <c r="J13" s="271">
        <v>141126</v>
      </c>
      <c r="K13" s="271">
        <v>282497</v>
      </c>
      <c r="L13" s="271">
        <v>0</v>
      </c>
      <c r="M13" s="1"/>
      <c r="N13" s="1"/>
      <c r="O13" s="1"/>
    </row>
    <row r="14" spans="1:17" x14ac:dyDescent="0.35">
      <c r="A14" s="1180" t="s">
        <v>458</v>
      </c>
      <c r="B14" s="1181"/>
      <c r="C14" s="1181"/>
      <c r="D14" s="270" t="s">
        <v>471</v>
      </c>
      <c r="E14" s="476">
        <v>20000</v>
      </c>
      <c r="F14" s="476">
        <v>177859</v>
      </c>
      <c r="G14" s="277">
        <v>50000</v>
      </c>
      <c r="H14" s="400"/>
      <c r="I14" s="400">
        <f t="shared" si="2"/>
        <v>50000</v>
      </c>
      <c r="J14" s="271">
        <v>8547</v>
      </c>
      <c r="K14" s="271">
        <v>10774</v>
      </c>
      <c r="L14" s="271">
        <v>30000</v>
      </c>
      <c r="M14" s="1"/>
      <c r="N14" s="1">
        <v>9572</v>
      </c>
      <c r="O14" s="1">
        <v>9572</v>
      </c>
    </row>
    <row r="15" spans="1:17" s="530" customFormat="1" x14ac:dyDescent="0.35">
      <c r="A15" s="1183" t="s">
        <v>459</v>
      </c>
      <c r="B15" s="1184"/>
      <c r="C15" s="1184"/>
      <c r="D15" s="279" t="s">
        <v>472</v>
      </c>
      <c r="E15" s="480">
        <v>0</v>
      </c>
      <c r="F15" s="480">
        <v>10906255</v>
      </c>
      <c r="G15" s="654">
        <f>SUM(G16)</f>
        <v>5716788</v>
      </c>
      <c r="H15" s="622"/>
      <c r="I15" s="655">
        <f t="shared" si="2"/>
        <v>5716788</v>
      </c>
      <c r="J15" s="622">
        <v>5716788</v>
      </c>
      <c r="K15" s="654">
        <f t="shared" ref="K15:O15" si="5">SUM(K16)</f>
        <v>5716788</v>
      </c>
      <c r="L15" s="654">
        <f t="shared" si="5"/>
        <v>5716788</v>
      </c>
      <c r="M15" s="654">
        <f t="shared" si="5"/>
        <v>150320</v>
      </c>
      <c r="N15" s="654">
        <f t="shared" si="5"/>
        <v>5867108</v>
      </c>
      <c r="O15" s="654">
        <f t="shared" si="5"/>
        <v>5867108</v>
      </c>
    </row>
    <row r="16" spans="1:17" x14ac:dyDescent="0.35">
      <c r="A16" s="1176" t="s">
        <v>682</v>
      </c>
      <c r="B16" s="1177"/>
      <c r="C16" s="1178"/>
      <c r="D16" s="270"/>
      <c r="E16" s="476"/>
      <c r="F16" s="476">
        <v>10906255</v>
      </c>
      <c r="G16" s="271">
        <v>5716788</v>
      </c>
      <c r="H16" s="1"/>
      <c r="I16" s="400">
        <f t="shared" si="2"/>
        <v>5716788</v>
      </c>
      <c r="J16" s="1">
        <v>5716788</v>
      </c>
      <c r="K16" s="271">
        <v>5716788</v>
      </c>
      <c r="L16" s="271">
        <f>K16</f>
        <v>5716788</v>
      </c>
      <c r="M16" s="400">
        <f>N16-L16</f>
        <v>150320</v>
      </c>
      <c r="N16" s="1">
        <v>5867108</v>
      </c>
      <c r="O16" s="1">
        <v>5867108</v>
      </c>
    </row>
    <row r="17" spans="1:15" s="530" customFormat="1" x14ac:dyDescent="0.35">
      <c r="A17" s="1183" t="s">
        <v>464</v>
      </c>
      <c r="B17" s="1184"/>
      <c r="C17" s="1184"/>
      <c r="D17" s="279" t="s">
        <v>432</v>
      </c>
      <c r="E17" s="480">
        <v>5800000</v>
      </c>
      <c r="F17" s="480">
        <v>5800000</v>
      </c>
      <c r="G17" s="654">
        <f>G18</f>
        <v>5730000</v>
      </c>
      <c r="H17" s="622"/>
      <c r="I17" s="655">
        <f t="shared" si="2"/>
        <v>5730000</v>
      </c>
      <c r="J17" s="622">
        <f>J18</f>
        <v>4575797</v>
      </c>
      <c r="K17" s="622">
        <f t="shared" ref="K17:O17" si="6">K18</f>
        <v>5344880</v>
      </c>
      <c r="L17" s="654">
        <f t="shared" si="6"/>
        <v>8233130</v>
      </c>
      <c r="M17" s="654">
        <f t="shared" si="6"/>
        <v>-3195251</v>
      </c>
      <c r="N17" s="654">
        <f t="shared" si="6"/>
        <v>5037879</v>
      </c>
      <c r="O17" s="654">
        <f t="shared" si="6"/>
        <v>5037879</v>
      </c>
    </row>
    <row r="18" spans="1:15" ht="43.5" customHeight="1" x14ac:dyDescent="0.35">
      <c r="A18" s="273"/>
      <c r="B18" s="274"/>
      <c r="C18" s="275" t="s">
        <v>670</v>
      </c>
      <c r="D18" s="276"/>
      <c r="E18" s="479">
        <v>5800000</v>
      </c>
      <c r="F18" s="479">
        <v>5800000</v>
      </c>
      <c r="G18" s="277">
        <v>5730000</v>
      </c>
      <c r="H18" s="1"/>
      <c r="I18" s="400">
        <f t="shared" si="2"/>
        <v>5730000</v>
      </c>
      <c r="J18" s="1">
        <v>4575797</v>
      </c>
      <c r="K18" s="271">
        <v>5344880</v>
      </c>
      <c r="L18" s="271">
        <v>8233130</v>
      </c>
      <c r="M18" s="400">
        <f>N18-L18</f>
        <v>-3195251</v>
      </c>
      <c r="N18" s="1">
        <v>5037879</v>
      </c>
      <c r="O18" s="1">
        <v>5037879</v>
      </c>
    </row>
    <row r="19" spans="1:15" s="530" customFormat="1" x14ac:dyDescent="0.35">
      <c r="A19" s="1183" t="s">
        <v>465</v>
      </c>
      <c r="B19" s="1184"/>
      <c r="C19" s="1184"/>
      <c r="D19" s="279" t="s">
        <v>434</v>
      </c>
      <c r="E19" s="480">
        <v>1700000</v>
      </c>
      <c r="F19" s="480">
        <v>4199748</v>
      </c>
      <c r="G19" s="654">
        <f>SUM(G18,G16,G13,G14)*0.27</f>
        <v>3178382.7600000002</v>
      </c>
      <c r="H19" s="655"/>
      <c r="I19" s="655">
        <f t="shared" si="2"/>
        <v>3178382.7600000002</v>
      </c>
      <c r="J19" s="622">
        <v>2819414</v>
      </c>
      <c r="K19" s="654">
        <v>3065836</v>
      </c>
      <c r="L19" s="654">
        <f>SUM(L18,L16,L13,L14)*0.27</f>
        <v>3774577.8600000003</v>
      </c>
      <c r="M19" s="654">
        <f t="shared" ref="M19" si="7">SUM(M18,M16,M13,M14)*0.27</f>
        <v>-822131.37000000011</v>
      </c>
      <c r="N19" s="598">
        <v>3065136</v>
      </c>
      <c r="O19" s="598">
        <v>3065136</v>
      </c>
    </row>
    <row r="20" spans="1:15" x14ac:dyDescent="0.35">
      <c r="A20" s="1180" t="s">
        <v>466</v>
      </c>
      <c r="B20" s="1181"/>
      <c r="C20" s="1181"/>
      <c r="D20" s="270" t="s">
        <v>473</v>
      </c>
      <c r="E20" s="476">
        <v>0</v>
      </c>
      <c r="F20" s="476">
        <v>0</v>
      </c>
      <c r="G20" s="278">
        <v>0</v>
      </c>
      <c r="H20" s="1">
        <v>14952000</v>
      </c>
      <c r="I20" s="400">
        <f t="shared" si="2"/>
        <v>14952000</v>
      </c>
      <c r="J20" s="1">
        <v>14952000</v>
      </c>
      <c r="K20" s="271">
        <v>14952000</v>
      </c>
      <c r="L20" s="271"/>
      <c r="M20" s="400">
        <f>N20-L20</f>
        <v>889000</v>
      </c>
      <c r="N20" s="598">
        <v>889000</v>
      </c>
      <c r="O20" s="598">
        <v>889000</v>
      </c>
    </row>
    <row r="21" spans="1:15" x14ac:dyDescent="0.35">
      <c r="A21" s="1176" t="s">
        <v>860</v>
      </c>
      <c r="B21" s="1177"/>
      <c r="C21" s="1178"/>
      <c r="D21" s="270" t="s">
        <v>861</v>
      </c>
      <c r="E21" s="476"/>
      <c r="F21" s="476"/>
      <c r="G21" s="278"/>
      <c r="H21" s="1">
        <v>572883</v>
      </c>
      <c r="I21" s="400"/>
      <c r="J21" s="1">
        <v>572883</v>
      </c>
      <c r="K21" s="271">
        <v>572883</v>
      </c>
      <c r="L21" s="271">
        <v>100000</v>
      </c>
      <c r="M21" s="400">
        <f>N21-L21</f>
        <v>-89738</v>
      </c>
      <c r="N21" s="598">
        <v>10262</v>
      </c>
      <c r="O21" s="598">
        <v>10262</v>
      </c>
    </row>
    <row r="22" spans="1:15" x14ac:dyDescent="0.35">
      <c r="A22" s="1180" t="s">
        <v>685</v>
      </c>
      <c r="B22" s="1181"/>
      <c r="C22" s="1181"/>
      <c r="D22" s="270" t="s">
        <v>686</v>
      </c>
      <c r="E22" s="476">
        <v>0</v>
      </c>
      <c r="F22" s="476">
        <v>282440</v>
      </c>
      <c r="G22" s="278">
        <v>0</v>
      </c>
      <c r="H22" s="1">
        <v>25000</v>
      </c>
      <c r="I22" s="400">
        <f t="shared" si="2"/>
        <v>25000</v>
      </c>
      <c r="J22" s="1">
        <v>25000</v>
      </c>
      <c r="K22" s="271">
        <v>25000</v>
      </c>
      <c r="L22" s="271">
        <v>25000</v>
      </c>
      <c r="M22" s="400">
        <f t="shared" ref="M22:M23" si="8">N22-L22</f>
        <v>510399</v>
      </c>
      <c r="N22" s="598">
        <v>535399</v>
      </c>
      <c r="O22" s="598">
        <v>535399</v>
      </c>
    </row>
    <row r="23" spans="1:15" x14ac:dyDescent="0.35">
      <c r="A23" s="1180" t="s">
        <v>467</v>
      </c>
      <c r="B23" s="1181"/>
      <c r="C23" s="1181"/>
      <c r="D23" s="270" t="s">
        <v>474</v>
      </c>
      <c r="E23" s="476">
        <v>0</v>
      </c>
      <c r="F23" s="476">
        <v>102444</v>
      </c>
      <c r="G23" s="278">
        <v>0</v>
      </c>
      <c r="H23" s="1">
        <v>55062</v>
      </c>
      <c r="I23" s="400">
        <f t="shared" si="2"/>
        <v>55062</v>
      </c>
      <c r="J23" s="1">
        <v>55062</v>
      </c>
      <c r="K23" s="271">
        <v>55063</v>
      </c>
      <c r="L23" s="271">
        <v>50000</v>
      </c>
      <c r="M23" s="400">
        <f t="shared" si="8"/>
        <v>-46699</v>
      </c>
      <c r="N23" s="598">
        <v>3301</v>
      </c>
      <c r="O23" s="598">
        <v>3301</v>
      </c>
    </row>
    <row r="24" spans="1:15" x14ac:dyDescent="0.35">
      <c r="A24" s="1183" t="s">
        <v>468</v>
      </c>
      <c r="B24" s="1184"/>
      <c r="C24" s="1184"/>
      <c r="D24" s="279"/>
      <c r="E24" s="480">
        <v>13264434</v>
      </c>
      <c r="F24" s="480">
        <v>28073164</v>
      </c>
      <c r="G24" s="280">
        <f>SUM(G5,G6,G14,G15,G17,G19,G20,G22,G23)</f>
        <v>20874330.760000002</v>
      </c>
      <c r="H24" s="280">
        <f>SUM(H5,H6,H14,H15,H17,H19,H20,H22,H23,H21)</f>
        <v>15684945</v>
      </c>
      <c r="I24" s="280">
        <f>SUM(I5,I6,I14,I15,I17,I19,I20,I22,I23)</f>
        <v>35986392.760000005</v>
      </c>
      <c r="J24" s="280">
        <f>SUM(J5,J6,J14,J15,J17,J19,J20,J22,J23,J21)</f>
        <v>33328111</v>
      </c>
      <c r="K24" s="280">
        <f>SUM(K5,K6,K14,K15,K17,K19,K20,K22,K23,K21)</f>
        <v>35792715</v>
      </c>
      <c r="L24" s="280">
        <f>SUM(L5,L6,L14,L15,L17,L19,L20,L22,L23,L21)</f>
        <v>23833460.68</v>
      </c>
      <c r="M24" s="280">
        <f t="shared" ref="M24:O24" si="9">SUM(M5,M6,M14,M15,M17,M19,M20,M22,M23,M21)</f>
        <v>-2111947.1900000004</v>
      </c>
      <c r="N24" s="280">
        <f t="shared" si="9"/>
        <v>21813775</v>
      </c>
      <c r="O24" s="280">
        <f t="shared" si="9"/>
        <v>21813775</v>
      </c>
    </row>
    <row r="25" spans="1:15" x14ac:dyDescent="0.35">
      <c r="A25" s="1166" t="s">
        <v>1077</v>
      </c>
      <c r="B25" s="1166"/>
      <c r="C25" s="1166"/>
      <c r="D25" s="909" t="s">
        <v>1081</v>
      </c>
      <c r="E25" s="1"/>
      <c r="F25" s="1"/>
      <c r="G25" s="38"/>
      <c r="H25" s="1"/>
      <c r="I25" s="1"/>
      <c r="J25" s="1"/>
      <c r="K25" s="1"/>
      <c r="L25" s="910">
        <v>0</v>
      </c>
      <c r="M25" s="4">
        <f>N25-L25</f>
        <v>301275</v>
      </c>
      <c r="N25" s="598">
        <v>301275</v>
      </c>
      <c r="O25" s="598">
        <v>301275</v>
      </c>
    </row>
    <row r="26" spans="1:15" ht="28.5" customHeight="1" thickBot="1" x14ac:dyDescent="0.4">
      <c r="A26" s="1167" t="s">
        <v>1079</v>
      </c>
      <c r="B26" s="1167"/>
      <c r="C26" s="1167"/>
      <c r="D26" s="911" t="s">
        <v>1080</v>
      </c>
      <c r="E26" s="912"/>
      <c r="F26" s="912"/>
      <c r="G26" s="913"/>
      <c r="H26" s="912"/>
      <c r="I26" s="912"/>
      <c r="J26" s="912"/>
      <c r="K26" s="912"/>
      <c r="L26" s="914">
        <v>0</v>
      </c>
      <c r="M26" s="412">
        <f>N26-L26</f>
        <v>433071</v>
      </c>
      <c r="N26" s="915">
        <v>433071</v>
      </c>
      <c r="O26" s="915">
        <v>433071</v>
      </c>
    </row>
    <row r="27" spans="1:15" ht="40.5" customHeight="1" thickBot="1" x14ac:dyDescent="0.4">
      <c r="A27" s="1168" t="s">
        <v>1082</v>
      </c>
      <c r="B27" s="1169"/>
      <c r="C27" s="1169"/>
      <c r="D27" s="1169"/>
      <c r="E27" s="916"/>
      <c r="F27" s="916"/>
      <c r="G27" s="917"/>
      <c r="H27" s="916"/>
      <c r="I27" s="916"/>
      <c r="J27" s="916"/>
      <c r="K27" s="916"/>
      <c r="L27" s="918">
        <f>L25+L26</f>
        <v>0</v>
      </c>
      <c r="M27" s="918">
        <f t="shared" ref="M27:O27" si="10">M25+M26</f>
        <v>734346</v>
      </c>
      <c r="N27" s="918">
        <f t="shared" si="10"/>
        <v>734346</v>
      </c>
      <c r="O27" s="919">
        <f t="shared" si="10"/>
        <v>734346</v>
      </c>
    </row>
  </sheetData>
  <mergeCells count="26">
    <mergeCell ref="A22:C22"/>
    <mergeCell ref="A17:C17"/>
    <mergeCell ref="B13:C13"/>
    <mergeCell ref="B12:C12"/>
    <mergeCell ref="A15:C15"/>
    <mergeCell ref="B9:C9"/>
    <mergeCell ref="B10:C10"/>
    <mergeCell ref="B11:C11"/>
    <mergeCell ref="A19:C19"/>
    <mergeCell ref="A20:C20"/>
    <mergeCell ref="A25:C25"/>
    <mergeCell ref="A26:C26"/>
    <mergeCell ref="A27:D27"/>
    <mergeCell ref="D6:D12"/>
    <mergeCell ref="A2:L3"/>
    <mergeCell ref="A21:C21"/>
    <mergeCell ref="A16:C16"/>
    <mergeCell ref="A7:A12"/>
    <mergeCell ref="A5:C5"/>
    <mergeCell ref="A6:C6"/>
    <mergeCell ref="A23:C23"/>
    <mergeCell ref="A14:C14"/>
    <mergeCell ref="A24:C24"/>
    <mergeCell ref="A4:C4"/>
    <mergeCell ref="B7:C7"/>
    <mergeCell ref="B8:C8"/>
  </mergeCells>
  <phoneticPr fontId="115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A1:F42"/>
  <sheetViews>
    <sheetView view="pageBreakPreview" topLeftCell="A25" zoomScaleNormal="100" zoomScaleSheetLayoutView="100" workbookViewId="0">
      <selection activeCell="F42" sqref="F42"/>
    </sheetView>
  </sheetViews>
  <sheetFormatPr defaultRowHeight="14.5" x14ac:dyDescent="0.35"/>
  <cols>
    <col min="2" max="2" width="46" customWidth="1"/>
    <col min="3" max="3" width="23.54296875" bestFit="1" customWidth="1"/>
    <col min="4" max="5" width="15.26953125" style="436" customWidth="1"/>
    <col min="6" max="6" width="14.54296875" bestFit="1" customWidth="1"/>
  </cols>
  <sheetData>
    <row r="1" spans="1:6" x14ac:dyDescent="0.35">
      <c r="A1" s="532" t="s">
        <v>452</v>
      </c>
      <c r="B1" s="532"/>
      <c r="C1" s="532"/>
      <c r="F1" s="1089"/>
    </row>
    <row r="2" spans="1:6" x14ac:dyDescent="0.35">
      <c r="A2" s="532" t="s">
        <v>653</v>
      </c>
      <c r="B2" s="532"/>
      <c r="C2" s="532"/>
      <c r="F2" s="1089"/>
    </row>
    <row r="3" spans="1:6" ht="15" thickBot="1" x14ac:dyDescent="0.4">
      <c r="A3" s="532"/>
      <c r="B3" s="532"/>
      <c r="C3" s="532"/>
      <c r="F3" s="1089"/>
    </row>
    <row r="4" spans="1:6" ht="23.5" customHeight="1" x14ac:dyDescent="0.35">
      <c r="A4" s="1037" t="s">
        <v>733</v>
      </c>
      <c r="B4" s="1090" t="s">
        <v>386</v>
      </c>
      <c r="C4" s="1090" t="s">
        <v>734</v>
      </c>
      <c r="D4" s="1091" t="s">
        <v>949</v>
      </c>
      <c r="E4" s="1113" t="s">
        <v>1211</v>
      </c>
      <c r="F4" s="1092" t="s">
        <v>1133</v>
      </c>
    </row>
    <row r="5" spans="1:6" s="742" customFormat="1" ht="13" x14ac:dyDescent="0.3">
      <c r="A5" s="433">
        <v>1</v>
      </c>
      <c r="B5" s="741" t="s">
        <v>745</v>
      </c>
      <c r="C5" s="741" t="s">
        <v>746</v>
      </c>
      <c r="D5" s="1093">
        <v>1192750</v>
      </c>
      <c r="E5" s="1093">
        <f>F5-D5</f>
        <v>-143510</v>
      </c>
      <c r="F5" s="1094">
        <v>1049240</v>
      </c>
    </row>
    <row r="6" spans="1:6" s="742" customFormat="1" ht="13" x14ac:dyDescent="0.3">
      <c r="A6" s="433">
        <v>2</v>
      </c>
      <c r="B6" s="741" t="s">
        <v>737</v>
      </c>
      <c r="C6" s="741" t="s">
        <v>738</v>
      </c>
      <c r="D6" s="1093">
        <v>877547</v>
      </c>
      <c r="E6" s="1093">
        <f t="shared" ref="E6:E42" si="0">F6-D6</f>
        <v>-70330</v>
      </c>
      <c r="F6" s="1094">
        <v>807217</v>
      </c>
    </row>
    <row r="7" spans="1:6" s="742" customFormat="1" ht="13" x14ac:dyDescent="0.3">
      <c r="A7" s="433"/>
      <c r="B7" s="434"/>
      <c r="C7" s="434"/>
      <c r="D7" s="1095"/>
      <c r="E7" s="1093">
        <f t="shared" si="0"/>
        <v>0</v>
      </c>
      <c r="F7" s="1096"/>
    </row>
    <row r="8" spans="1:6" s="532" customFormat="1" x14ac:dyDescent="0.35">
      <c r="A8" s="433">
        <v>3</v>
      </c>
      <c r="B8" s="435" t="s">
        <v>735</v>
      </c>
      <c r="C8" s="435" t="s">
        <v>736</v>
      </c>
      <c r="D8" s="1097">
        <v>80303364</v>
      </c>
      <c r="E8" s="1093">
        <f t="shared" si="0"/>
        <v>-38153742</v>
      </c>
      <c r="F8" s="1096">
        <v>42149622</v>
      </c>
    </row>
    <row r="9" spans="1:6" x14ac:dyDescent="0.35">
      <c r="A9" s="433">
        <v>4</v>
      </c>
      <c r="B9" s="435" t="s">
        <v>743</v>
      </c>
      <c r="C9" s="435" t="s">
        <v>744</v>
      </c>
      <c r="D9" s="1097">
        <v>0</v>
      </c>
      <c r="E9" s="1093">
        <f t="shared" si="0"/>
        <v>0</v>
      </c>
      <c r="F9" s="1096">
        <v>0</v>
      </c>
    </row>
    <row r="10" spans="1:6" x14ac:dyDescent="0.35">
      <c r="A10" s="433">
        <v>5</v>
      </c>
      <c r="B10" s="435" t="s">
        <v>777</v>
      </c>
      <c r="C10" s="435" t="s">
        <v>778</v>
      </c>
      <c r="D10" s="1097">
        <v>3344221</v>
      </c>
      <c r="E10" s="1093">
        <f t="shared" si="0"/>
        <v>0</v>
      </c>
      <c r="F10" s="1096">
        <v>3344221</v>
      </c>
    </row>
    <row r="11" spans="1:6" x14ac:dyDescent="0.35">
      <c r="A11" s="433">
        <v>6</v>
      </c>
      <c r="B11" s="435" t="s">
        <v>747</v>
      </c>
      <c r="C11" s="435" t="s">
        <v>748</v>
      </c>
      <c r="D11" s="1097">
        <v>3379272</v>
      </c>
      <c r="E11" s="1093">
        <f t="shared" si="0"/>
        <v>-1251680</v>
      </c>
      <c r="F11" s="1096">
        <v>2127592</v>
      </c>
    </row>
    <row r="12" spans="1:6" x14ac:dyDescent="0.35">
      <c r="A12" s="433">
        <v>7</v>
      </c>
      <c r="B12" s="435" t="s">
        <v>749</v>
      </c>
      <c r="C12" s="435" t="s">
        <v>750</v>
      </c>
      <c r="D12" s="1097">
        <v>0</v>
      </c>
      <c r="E12" s="1093">
        <f t="shared" si="0"/>
        <v>15465</v>
      </c>
      <c r="F12" s="1096">
        <v>15465</v>
      </c>
    </row>
    <row r="13" spans="1:6" x14ac:dyDescent="0.35">
      <c r="A13" s="433">
        <v>8</v>
      </c>
      <c r="B13" s="435" t="s">
        <v>751</v>
      </c>
      <c r="C13" s="435" t="s">
        <v>752</v>
      </c>
      <c r="D13" s="1097">
        <v>0</v>
      </c>
      <c r="E13" s="1093">
        <f t="shared" si="0"/>
        <v>47700</v>
      </c>
      <c r="F13" s="1096">
        <v>47700</v>
      </c>
    </row>
    <row r="14" spans="1:6" x14ac:dyDescent="0.35">
      <c r="A14" s="433">
        <v>9</v>
      </c>
      <c r="B14" s="435" t="s">
        <v>753</v>
      </c>
      <c r="C14" s="435" t="s">
        <v>754</v>
      </c>
      <c r="D14" s="1097">
        <v>0</v>
      </c>
      <c r="E14" s="1093">
        <f t="shared" si="0"/>
        <v>0</v>
      </c>
      <c r="F14" s="1096">
        <v>0</v>
      </c>
    </row>
    <row r="15" spans="1:6" x14ac:dyDescent="0.35">
      <c r="A15" s="433">
        <v>10</v>
      </c>
      <c r="B15" s="435" t="s">
        <v>769</v>
      </c>
      <c r="C15" s="435" t="s">
        <v>770</v>
      </c>
      <c r="D15" s="1097">
        <v>0</v>
      </c>
      <c r="E15" s="1093">
        <f t="shared" si="0"/>
        <v>0</v>
      </c>
      <c r="F15" s="1096">
        <v>0</v>
      </c>
    </row>
    <row r="16" spans="1:6" x14ac:dyDescent="0.35">
      <c r="A16" s="433">
        <v>11</v>
      </c>
      <c r="B16" s="435" t="s">
        <v>775</v>
      </c>
      <c r="C16" s="435" t="s">
        <v>776</v>
      </c>
      <c r="D16" s="1097">
        <v>0</v>
      </c>
      <c r="E16" s="1093">
        <f t="shared" si="0"/>
        <v>0</v>
      </c>
      <c r="F16" s="1096">
        <v>0</v>
      </c>
    </row>
    <row r="17" spans="1:6" x14ac:dyDescent="0.35">
      <c r="A17" s="433">
        <v>12</v>
      </c>
      <c r="B17" s="435" t="s">
        <v>767</v>
      </c>
      <c r="C17" s="435" t="s">
        <v>768</v>
      </c>
      <c r="D17" s="1097">
        <v>0</v>
      </c>
      <c r="E17" s="1093">
        <f t="shared" si="0"/>
        <v>0</v>
      </c>
      <c r="F17" s="1096">
        <v>0</v>
      </c>
    </row>
    <row r="18" spans="1:6" x14ac:dyDescent="0.35">
      <c r="A18" s="433">
        <v>13</v>
      </c>
      <c r="B18" s="435" t="s">
        <v>757</v>
      </c>
      <c r="C18" s="435" t="s">
        <v>758</v>
      </c>
      <c r="D18" s="1097">
        <v>0</v>
      </c>
      <c r="E18" s="1093">
        <f t="shared" si="0"/>
        <v>0</v>
      </c>
      <c r="F18" s="1096">
        <v>0</v>
      </c>
    </row>
    <row r="19" spans="1:6" x14ac:dyDescent="0.35">
      <c r="A19" s="433">
        <v>14</v>
      </c>
      <c r="B19" s="435" t="s">
        <v>765</v>
      </c>
      <c r="C19" s="435" t="s">
        <v>766</v>
      </c>
      <c r="D19" s="1097">
        <v>0</v>
      </c>
      <c r="E19" s="1093">
        <f t="shared" si="0"/>
        <v>0</v>
      </c>
      <c r="F19" s="1096">
        <v>0</v>
      </c>
    </row>
    <row r="20" spans="1:6" x14ac:dyDescent="0.35">
      <c r="A20" s="433">
        <v>15</v>
      </c>
      <c r="B20" s="435" t="s">
        <v>761</v>
      </c>
      <c r="C20" s="435" t="s">
        <v>762</v>
      </c>
      <c r="D20" s="1097">
        <v>0</v>
      </c>
      <c r="E20" s="1093">
        <f t="shared" si="0"/>
        <v>0</v>
      </c>
      <c r="F20" s="1096">
        <v>0</v>
      </c>
    </row>
    <row r="21" spans="1:6" x14ac:dyDescent="0.35">
      <c r="A21" s="433">
        <v>16</v>
      </c>
      <c r="B21" s="435" t="s">
        <v>739</v>
      </c>
      <c r="C21" s="435" t="s">
        <v>740</v>
      </c>
      <c r="D21" s="1097">
        <v>0</v>
      </c>
      <c r="E21" s="1093">
        <f t="shared" si="0"/>
        <v>0</v>
      </c>
      <c r="F21" s="1096">
        <v>0</v>
      </c>
    </row>
    <row r="22" spans="1:6" x14ac:dyDescent="0.35">
      <c r="A22" s="433">
        <v>17</v>
      </c>
      <c r="B22" s="435" t="s">
        <v>951</v>
      </c>
      <c r="C22" s="435" t="s">
        <v>873</v>
      </c>
      <c r="D22" s="1097">
        <v>1747429</v>
      </c>
      <c r="E22" s="1093">
        <f t="shared" si="0"/>
        <v>175</v>
      </c>
      <c r="F22" s="1096">
        <v>1747604</v>
      </c>
    </row>
    <row r="23" spans="1:6" x14ac:dyDescent="0.35">
      <c r="A23" s="433">
        <v>18</v>
      </c>
      <c r="B23" s="435" t="s">
        <v>741</v>
      </c>
      <c r="C23" s="435" t="s">
        <v>742</v>
      </c>
      <c r="D23" s="1097">
        <v>0</v>
      </c>
      <c r="E23" s="1093">
        <f t="shared" si="0"/>
        <v>0</v>
      </c>
      <c r="F23" s="1096">
        <v>0</v>
      </c>
    </row>
    <row r="24" spans="1:6" x14ac:dyDescent="0.35">
      <c r="A24" s="433">
        <v>19</v>
      </c>
      <c r="B24" s="435" t="s">
        <v>755</v>
      </c>
      <c r="C24" s="435" t="s">
        <v>756</v>
      </c>
      <c r="D24" s="1097">
        <v>0</v>
      </c>
      <c r="E24" s="1093">
        <f t="shared" si="0"/>
        <v>0</v>
      </c>
      <c r="F24" s="1096">
        <v>0</v>
      </c>
    </row>
    <row r="25" spans="1:6" x14ac:dyDescent="0.35">
      <c r="A25" s="433">
        <v>20</v>
      </c>
      <c r="B25" s="435" t="s">
        <v>759</v>
      </c>
      <c r="C25" s="435" t="s">
        <v>760</v>
      </c>
      <c r="D25" s="1098">
        <v>0</v>
      </c>
      <c r="E25" s="1093">
        <f t="shared" si="0"/>
        <v>0</v>
      </c>
      <c r="F25" s="1096">
        <v>0</v>
      </c>
    </row>
    <row r="26" spans="1:6" x14ac:dyDescent="0.35">
      <c r="A26" s="433">
        <v>21</v>
      </c>
      <c r="B26" s="435" t="s">
        <v>763</v>
      </c>
      <c r="C26" s="435" t="s">
        <v>764</v>
      </c>
      <c r="D26" s="1098">
        <v>0</v>
      </c>
      <c r="E26" s="1093">
        <f t="shared" si="0"/>
        <v>0</v>
      </c>
      <c r="F26" s="1096">
        <v>0</v>
      </c>
    </row>
    <row r="27" spans="1:6" x14ac:dyDescent="0.35">
      <c r="A27" s="433">
        <v>22</v>
      </c>
      <c r="B27" s="435" t="s">
        <v>771</v>
      </c>
      <c r="C27" s="1099" t="s">
        <v>772</v>
      </c>
      <c r="D27" s="1098">
        <v>0</v>
      </c>
      <c r="E27" s="1093">
        <f t="shared" si="0"/>
        <v>0</v>
      </c>
      <c r="F27" s="1096">
        <v>0</v>
      </c>
    </row>
    <row r="28" spans="1:6" x14ac:dyDescent="0.35">
      <c r="A28" s="433">
        <v>23</v>
      </c>
      <c r="B28" s="435" t="s">
        <v>773</v>
      </c>
      <c r="C28" s="1099" t="s">
        <v>774</v>
      </c>
      <c r="D28" s="1098">
        <v>0</v>
      </c>
      <c r="E28" s="1093">
        <f t="shared" si="0"/>
        <v>0</v>
      </c>
      <c r="F28" s="1096">
        <v>0</v>
      </c>
    </row>
    <row r="29" spans="1:6" x14ac:dyDescent="0.35">
      <c r="A29" s="433">
        <v>24</v>
      </c>
      <c r="B29" s="435" t="s">
        <v>950</v>
      </c>
      <c r="C29" s="1099" t="s">
        <v>779</v>
      </c>
      <c r="D29" s="1098">
        <v>24945020</v>
      </c>
      <c r="E29" s="1093">
        <f t="shared" si="0"/>
        <v>-11749000</v>
      </c>
      <c r="F29" s="1096">
        <v>13196020</v>
      </c>
    </row>
    <row r="30" spans="1:6" x14ac:dyDescent="0.35">
      <c r="A30" s="433">
        <v>25</v>
      </c>
      <c r="B30" s="435" t="s">
        <v>780</v>
      </c>
      <c r="C30" s="1099" t="s">
        <v>781</v>
      </c>
      <c r="D30" s="1098">
        <v>0</v>
      </c>
      <c r="E30" s="1093">
        <f t="shared" si="0"/>
        <v>0</v>
      </c>
      <c r="F30" s="1096">
        <v>0</v>
      </c>
    </row>
    <row r="31" spans="1:6" x14ac:dyDescent="0.35">
      <c r="A31" s="433">
        <v>26</v>
      </c>
      <c r="B31" s="435" t="s">
        <v>782</v>
      </c>
      <c r="C31" s="1099" t="s">
        <v>783</v>
      </c>
      <c r="D31" s="1098">
        <v>0</v>
      </c>
      <c r="E31" s="1093">
        <f t="shared" si="0"/>
        <v>0</v>
      </c>
      <c r="F31" s="1096">
        <v>0</v>
      </c>
    </row>
    <row r="32" spans="1:6" x14ac:dyDescent="0.35">
      <c r="A32" s="433">
        <v>27</v>
      </c>
      <c r="B32" s="435" t="s">
        <v>786</v>
      </c>
      <c r="C32" s="1099" t="s">
        <v>787</v>
      </c>
      <c r="D32" s="1098">
        <v>36761</v>
      </c>
      <c r="E32" s="1093">
        <f t="shared" si="0"/>
        <v>29390800</v>
      </c>
      <c r="F32" s="1096">
        <v>29427561</v>
      </c>
    </row>
    <row r="33" spans="1:6" x14ac:dyDescent="0.35">
      <c r="A33" s="433">
        <v>28</v>
      </c>
      <c r="B33" s="435" t="s">
        <v>784</v>
      </c>
      <c r="C33" s="1100" t="s">
        <v>785</v>
      </c>
      <c r="D33" s="1098">
        <v>401732</v>
      </c>
      <c r="E33" s="1093">
        <f t="shared" si="0"/>
        <v>0</v>
      </c>
      <c r="F33" s="1096">
        <v>401732</v>
      </c>
    </row>
    <row r="34" spans="1:6" s="1105" customFormat="1" x14ac:dyDescent="0.35">
      <c r="A34" s="433">
        <v>29</v>
      </c>
      <c r="B34" s="435" t="s">
        <v>1378</v>
      </c>
      <c r="C34" s="1100" t="s">
        <v>1379</v>
      </c>
      <c r="D34" s="1098"/>
      <c r="E34" s="1093">
        <f t="shared" si="0"/>
        <v>2622498</v>
      </c>
      <c r="F34" s="1096">
        <v>2622498</v>
      </c>
    </row>
    <row r="35" spans="1:6" s="1105" customFormat="1" x14ac:dyDescent="0.35">
      <c r="A35" s="433">
        <v>30</v>
      </c>
      <c r="B35" s="435" t="s">
        <v>1380</v>
      </c>
      <c r="C35" s="1100" t="s">
        <v>1381</v>
      </c>
      <c r="D35" s="1098"/>
      <c r="E35" s="1093">
        <f t="shared" si="0"/>
        <v>137355393</v>
      </c>
      <c r="F35" s="1096">
        <v>137355393</v>
      </c>
    </row>
    <row r="36" spans="1:6" x14ac:dyDescent="0.35">
      <c r="A36" s="433">
        <v>31</v>
      </c>
      <c r="B36" s="435" t="s">
        <v>788</v>
      </c>
      <c r="C36" s="1099" t="s">
        <v>789</v>
      </c>
      <c r="D36" s="1098"/>
      <c r="E36" s="1093"/>
      <c r="F36" s="1096" t="s">
        <v>1134</v>
      </c>
    </row>
    <row r="37" spans="1:6" x14ac:dyDescent="0.35">
      <c r="A37" s="433">
        <v>32</v>
      </c>
      <c r="B37" s="435" t="s">
        <v>788</v>
      </c>
      <c r="C37" s="435" t="s">
        <v>790</v>
      </c>
      <c r="D37" s="1098"/>
      <c r="E37" s="1093"/>
      <c r="F37" s="1096" t="s">
        <v>1134</v>
      </c>
    </row>
    <row r="38" spans="1:6" x14ac:dyDescent="0.35">
      <c r="A38" s="433">
        <v>33</v>
      </c>
      <c r="B38" s="435" t="s">
        <v>788</v>
      </c>
      <c r="C38" s="435" t="s">
        <v>791</v>
      </c>
      <c r="D38" s="1098"/>
      <c r="E38" s="1093"/>
      <c r="F38" s="1096" t="s">
        <v>1134</v>
      </c>
    </row>
    <row r="39" spans="1:6" x14ac:dyDescent="0.35">
      <c r="A39" s="433">
        <v>34</v>
      </c>
      <c r="B39" s="435" t="s">
        <v>788</v>
      </c>
      <c r="C39" s="435" t="s">
        <v>792</v>
      </c>
      <c r="D39" s="1098"/>
      <c r="E39" s="1093"/>
      <c r="F39" s="1096" t="s">
        <v>1134</v>
      </c>
    </row>
    <row r="40" spans="1:6" x14ac:dyDescent="0.35">
      <c r="A40" s="433">
        <v>35</v>
      </c>
      <c r="B40" s="435" t="s">
        <v>788</v>
      </c>
      <c r="C40" s="435" t="s">
        <v>793</v>
      </c>
      <c r="D40" s="1098"/>
      <c r="E40" s="1093"/>
      <c r="F40" s="1096" t="s">
        <v>1134</v>
      </c>
    </row>
    <row r="41" spans="1:6" ht="15" thickBot="1" x14ac:dyDescent="0.4">
      <c r="A41" s="433">
        <v>36</v>
      </c>
      <c r="B41" s="1101" t="s">
        <v>952</v>
      </c>
      <c r="C41" s="1101" t="s">
        <v>794</v>
      </c>
      <c r="D41" s="1102">
        <v>10057543</v>
      </c>
      <c r="E41" s="1093">
        <f t="shared" si="0"/>
        <v>10087</v>
      </c>
      <c r="F41" s="1096">
        <v>10067630</v>
      </c>
    </row>
    <row r="42" spans="1:6" ht="15" thickBot="1" x14ac:dyDescent="0.4">
      <c r="A42" s="532"/>
      <c r="B42" s="532"/>
      <c r="C42" s="532"/>
      <c r="D42" s="1103">
        <f>SUM(D8:D41)</f>
        <v>124215342</v>
      </c>
      <c r="E42" s="1093">
        <f t="shared" si="0"/>
        <v>120144153</v>
      </c>
      <c r="F42" s="1104">
        <f>SUM(F5:F41)</f>
        <v>244359495</v>
      </c>
    </row>
  </sheetData>
  <pageMargins left="0.70866141732283472" right="0.70866141732283472" top="0.74803149606299213" bottom="0.74803149606299213" header="0.31496062992125984" footer="0.31496062992125984"/>
  <pageSetup paperSize="8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  <pageSetUpPr fitToPage="1"/>
  </sheetPr>
  <dimension ref="A1:O54"/>
  <sheetViews>
    <sheetView zoomScaleNormal="100" workbookViewId="0">
      <pane xSplit="2" ySplit="5" topLeftCell="C6" activePane="bottomRight" state="frozen"/>
      <selection activeCell="P20" sqref="P20"/>
      <selection pane="topRight" activeCell="P20" sqref="P20"/>
      <selection pane="bottomLeft" activeCell="P20" sqref="P20"/>
      <selection pane="bottomRight"/>
    </sheetView>
  </sheetViews>
  <sheetFormatPr defaultRowHeight="14.5" x14ac:dyDescent="0.35"/>
  <cols>
    <col min="1" max="1" width="32.453125" customWidth="1"/>
    <col min="2" max="2" width="32.453125" style="381" customWidth="1"/>
    <col min="3" max="5" width="15.453125" style="13" customWidth="1"/>
    <col min="6" max="6" width="13.453125" style="13" customWidth="1"/>
    <col min="7" max="7" width="13.81640625" style="13" customWidth="1"/>
    <col min="8" max="8" width="15.54296875" style="13" customWidth="1"/>
    <col min="9" max="9" width="13.26953125" style="13" customWidth="1"/>
    <col min="10" max="10" width="12.453125" style="869" customWidth="1"/>
    <col min="11" max="11" width="14.81640625" style="869" customWidth="1"/>
    <col min="12" max="12" width="16.26953125" style="869" customWidth="1"/>
    <col min="13" max="13" width="14" style="13" customWidth="1"/>
    <col min="14" max="15" width="14.54296875" bestFit="1" customWidth="1"/>
    <col min="16" max="16" width="21.54296875" customWidth="1"/>
    <col min="17" max="17" width="19.7265625" customWidth="1"/>
    <col min="18" max="18" width="18.7265625" customWidth="1"/>
  </cols>
  <sheetData>
    <row r="1" spans="1:15" x14ac:dyDescent="0.35">
      <c r="A1" s="532" t="s">
        <v>453</v>
      </c>
    </row>
    <row r="2" spans="1:15" x14ac:dyDescent="0.35">
      <c r="A2" s="1156" t="s">
        <v>712</v>
      </c>
      <c r="B2" s="1156"/>
      <c r="C2" s="1156"/>
      <c r="D2" s="1156"/>
      <c r="E2" s="1156"/>
      <c r="F2" s="1156"/>
      <c r="G2" s="1156"/>
      <c r="H2" s="1156"/>
      <c r="I2" s="1156"/>
      <c r="J2" s="1156"/>
      <c r="K2" s="1156"/>
      <c r="L2" s="1156"/>
      <c r="M2" s="1156"/>
      <c r="N2" s="1156"/>
    </row>
    <row r="3" spans="1:15" ht="15" thickBot="1" x14ac:dyDescent="0.4"/>
    <row r="4" spans="1:15" s="380" customFormat="1" ht="30" customHeight="1" x14ac:dyDescent="0.35">
      <c r="A4" s="1200" t="s">
        <v>705</v>
      </c>
      <c r="B4" s="1201"/>
      <c r="C4" s="1188" t="s">
        <v>707</v>
      </c>
      <c r="D4" s="1188" t="s">
        <v>708</v>
      </c>
      <c r="E4" s="1188" t="s">
        <v>330</v>
      </c>
      <c r="F4" s="1188" t="s">
        <v>709</v>
      </c>
      <c r="G4" s="1188" t="s">
        <v>710</v>
      </c>
      <c r="H4" s="1188" t="s">
        <v>331</v>
      </c>
      <c r="I4" s="1188" t="s">
        <v>332</v>
      </c>
      <c r="J4" s="1204" t="s">
        <v>713</v>
      </c>
      <c r="K4" s="1204" t="s">
        <v>714</v>
      </c>
      <c r="L4" s="1204" t="s">
        <v>715</v>
      </c>
      <c r="M4" s="1188" t="s">
        <v>964</v>
      </c>
      <c r="N4" s="1198" t="s">
        <v>4</v>
      </c>
      <c r="O4" s="1196" t="s">
        <v>824</v>
      </c>
    </row>
    <row r="5" spans="1:15" s="380" customFormat="1" ht="15" thickBot="1" x14ac:dyDescent="0.4">
      <c r="A5" s="1202"/>
      <c r="B5" s="1203"/>
      <c r="C5" s="1189"/>
      <c r="D5" s="1189"/>
      <c r="E5" s="1189"/>
      <c r="F5" s="1189"/>
      <c r="G5" s="1189"/>
      <c r="H5" s="1189"/>
      <c r="I5" s="1189"/>
      <c r="J5" s="1205"/>
      <c r="K5" s="1205"/>
      <c r="L5" s="1205"/>
      <c r="M5" s="1189"/>
      <c r="N5" s="1199"/>
      <c r="O5" s="1197"/>
    </row>
    <row r="6" spans="1:15" ht="15" thickBot="1" x14ac:dyDescent="0.4">
      <c r="A6" s="1193" t="s">
        <v>701</v>
      </c>
      <c r="B6" s="923" t="s">
        <v>968</v>
      </c>
      <c r="C6" s="410">
        <f>'Általános kiadások'!G19</f>
        <v>7780508</v>
      </c>
      <c r="D6" s="410">
        <f>'Általános kiadások'!G20</f>
        <v>1424488.9</v>
      </c>
      <c r="E6" s="410">
        <f>'Általános kiadások'!G67</f>
        <v>6040855</v>
      </c>
      <c r="F6" s="924"/>
      <c r="G6" s="924"/>
      <c r="H6" s="924"/>
      <c r="I6" s="924"/>
      <c r="J6" s="925"/>
      <c r="K6" s="925"/>
      <c r="L6" s="925"/>
      <c r="M6" s="924"/>
      <c r="N6" s="926">
        <f>SUM(C6:M6)</f>
        <v>15245851.9</v>
      </c>
      <c r="O6" s="927">
        <f>N6-'Általános kiadások'!G68</f>
        <v>0</v>
      </c>
    </row>
    <row r="7" spans="1:15" ht="15" hidden="1" thickBot="1" x14ac:dyDescent="0.4">
      <c r="A7" s="1194"/>
      <c r="B7" s="411" t="s">
        <v>1097</v>
      </c>
      <c r="C7" s="4">
        <f>'Általános kiadások'!K19</f>
        <v>587673</v>
      </c>
      <c r="D7" s="4">
        <f>'Általános kiadások'!K20</f>
        <v>-100133.89999999991</v>
      </c>
      <c r="E7" s="4">
        <f>'Általános kiadások'!K67</f>
        <v>4957790</v>
      </c>
      <c r="F7" s="4"/>
      <c r="G7" s="4"/>
      <c r="H7" s="4"/>
      <c r="I7" s="4"/>
      <c r="J7" s="870"/>
      <c r="K7" s="870"/>
      <c r="L7" s="870"/>
      <c r="M7" s="4"/>
      <c r="N7" s="926">
        <f t="shared" ref="N7:N9" si="0">SUM(C7:M7)</f>
        <v>5445329.0999999996</v>
      </c>
      <c r="O7" s="506">
        <f>N7-'Általános kiadások'!K68</f>
        <v>0</v>
      </c>
    </row>
    <row r="8" spans="1:15" ht="15" thickBot="1" x14ac:dyDescent="0.4">
      <c r="A8" s="1194"/>
      <c r="B8" s="411" t="s">
        <v>1098</v>
      </c>
      <c r="C8" s="4">
        <f>'Általános kiadások'!L19</f>
        <v>8368181</v>
      </c>
      <c r="D8" s="4">
        <f>'Általános kiadások'!L20</f>
        <v>1324355</v>
      </c>
      <c r="E8" s="4">
        <f>'Általános kiadások'!L67</f>
        <v>10998645</v>
      </c>
      <c r="F8" s="4"/>
      <c r="G8" s="4"/>
      <c r="H8" s="4"/>
      <c r="I8" s="4"/>
      <c r="J8" s="870"/>
      <c r="K8" s="870"/>
      <c r="L8" s="870"/>
      <c r="M8" s="4"/>
      <c r="N8" s="926">
        <f t="shared" si="0"/>
        <v>20691181</v>
      </c>
      <c r="O8" s="506">
        <f>N8-'Általános kiadások'!L68</f>
        <v>0</v>
      </c>
    </row>
    <row r="9" spans="1:15" ht="15" thickBot="1" x14ac:dyDescent="0.4">
      <c r="A9" s="1195"/>
      <c r="B9" s="635" t="s">
        <v>1099</v>
      </c>
      <c r="C9" s="928">
        <f>'Általános kiadások'!M19</f>
        <v>8368181</v>
      </c>
      <c r="D9" s="928">
        <f>'Általános kiadások'!M20</f>
        <v>1324355</v>
      </c>
      <c r="E9" s="928">
        <f>'Általános kiadások'!M67</f>
        <v>10998645</v>
      </c>
      <c r="F9" s="928"/>
      <c r="G9" s="928"/>
      <c r="H9" s="928"/>
      <c r="I9" s="928"/>
      <c r="J9" s="929"/>
      <c r="K9" s="929"/>
      <c r="L9" s="929"/>
      <c r="M9" s="928"/>
      <c r="N9" s="926">
        <f t="shared" si="0"/>
        <v>20691181</v>
      </c>
      <c r="O9" s="930">
        <f>N9-'Általános kiadások'!M68</f>
        <v>0</v>
      </c>
    </row>
    <row r="10" spans="1:15" x14ac:dyDescent="0.35">
      <c r="A10" s="1193" t="s">
        <v>711</v>
      </c>
      <c r="B10" s="923" t="s">
        <v>968</v>
      </c>
      <c r="C10" s="924">
        <f>'Település üzemeltetés'!AP8</f>
        <v>2726600</v>
      </c>
      <c r="D10" s="924">
        <f>'Település üzemeltetés'!AP9</f>
        <v>477154.99999999994</v>
      </c>
      <c r="E10" s="931">
        <f>'Település üzemeltetés'!AP58</f>
        <v>11454200</v>
      </c>
      <c r="F10" s="924"/>
      <c r="G10" s="924"/>
      <c r="H10" s="924"/>
      <c r="I10" s="924"/>
      <c r="J10" s="925"/>
      <c r="K10" s="925"/>
      <c r="L10" s="925"/>
      <c r="M10" s="924"/>
      <c r="N10" s="926">
        <f>SUM(C10:M10)</f>
        <v>14657955</v>
      </c>
      <c r="O10" s="927">
        <f>N10-'Település üzemeltetés'!AP59</f>
        <v>0</v>
      </c>
    </row>
    <row r="11" spans="1:15" hidden="1" x14ac:dyDescent="0.35">
      <c r="A11" s="1194"/>
      <c r="B11" s="411" t="s">
        <v>1097</v>
      </c>
      <c r="C11" s="4">
        <f>'Település üzemeltetés'!AQ8</f>
        <v>-29849</v>
      </c>
      <c r="D11" s="4">
        <f>'Település üzemeltetés'!AQ9</f>
        <v>-17081.999999999942</v>
      </c>
      <c r="E11" s="413">
        <f>'Település üzemeltetés'!AQ58</f>
        <v>3873590</v>
      </c>
      <c r="F11" s="4"/>
      <c r="G11" s="4"/>
      <c r="H11" s="4"/>
      <c r="I11" s="4"/>
      <c r="J11" s="870"/>
      <c r="K11" s="870"/>
      <c r="L11" s="870"/>
      <c r="M11" s="4"/>
      <c r="N11" s="634">
        <f t="shared" ref="N11:N13" si="1">SUM(C11:M11)</f>
        <v>3826659</v>
      </c>
      <c r="O11" s="506">
        <f>N11-'Település üzemeltetés'!AQ59</f>
        <v>0</v>
      </c>
    </row>
    <row r="12" spans="1:15" x14ac:dyDescent="0.35">
      <c r="A12" s="1194"/>
      <c r="B12" s="411" t="s">
        <v>1098</v>
      </c>
      <c r="C12" s="4">
        <f>'Település üzemeltetés'!AR8</f>
        <v>2696751</v>
      </c>
      <c r="D12" s="4">
        <f>'Település üzemeltetés'!AR9</f>
        <v>460073</v>
      </c>
      <c r="E12" s="413">
        <f>'Település üzemeltetés'!AR58</f>
        <v>15067290</v>
      </c>
      <c r="F12" s="4"/>
      <c r="G12" s="4"/>
      <c r="H12" s="4"/>
      <c r="I12" s="4"/>
      <c r="J12" s="870"/>
      <c r="K12" s="870"/>
      <c r="L12" s="870"/>
      <c r="M12" s="4"/>
      <c r="N12" s="634">
        <f t="shared" si="1"/>
        <v>18224114</v>
      </c>
      <c r="O12" s="506">
        <f>N12-'Település üzemeltetés'!AR59</f>
        <v>0</v>
      </c>
    </row>
    <row r="13" spans="1:15" s="532" customFormat="1" ht="15" thickBot="1" x14ac:dyDescent="0.4">
      <c r="A13" s="1195"/>
      <c r="B13" s="635" t="s">
        <v>1099</v>
      </c>
      <c r="C13" s="928">
        <f>'Település üzemeltetés'!AS8</f>
        <v>2696751</v>
      </c>
      <c r="D13" s="928">
        <f>'Település üzemeltetés'!AS9</f>
        <v>460073</v>
      </c>
      <c r="E13" s="932">
        <f>'Település üzemeltetés'!AS58</f>
        <v>14806790</v>
      </c>
      <c r="F13" s="928"/>
      <c r="G13" s="928"/>
      <c r="H13" s="928"/>
      <c r="I13" s="928"/>
      <c r="J13" s="929"/>
      <c r="K13" s="929"/>
      <c r="L13" s="929"/>
      <c r="M13" s="928"/>
      <c r="N13" s="636">
        <f t="shared" si="1"/>
        <v>17963614</v>
      </c>
      <c r="O13" s="930">
        <f>N13-'Település üzemeltetés'!AS59</f>
        <v>0</v>
      </c>
    </row>
    <row r="14" spans="1:15" x14ac:dyDescent="0.35">
      <c r="A14" s="1193" t="s">
        <v>726</v>
      </c>
      <c r="B14" s="923" t="s">
        <v>968</v>
      </c>
      <c r="C14" s="924"/>
      <c r="D14" s="924"/>
      <c r="E14" s="924">
        <f>'Étkeztetési feladatok'!U69</f>
        <v>32673343.799999997</v>
      </c>
      <c r="F14" s="924"/>
      <c r="G14" s="924"/>
      <c r="H14" s="924"/>
      <c r="I14" s="924"/>
      <c r="J14" s="925"/>
      <c r="K14" s="925"/>
      <c r="L14" s="925"/>
      <c r="M14" s="924"/>
      <c r="N14" s="926">
        <f>SUM(C14:M14)</f>
        <v>32673343.799999997</v>
      </c>
      <c r="O14" s="927">
        <f>N14-'Étkeztetési feladatok'!U69</f>
        <v>0</v>
      </c>
    </row>
    <row r="15" spans="1:15" hidden="1" x14ac:dyDescent="0.35">
      <c r="A15" s="1194"/>
      <c r="B15" s="411" t="s">
        <v>1097</v>
      </c>
      <c r="C15" s="4"/>
      <c r="D15" s="4"/>
      <c r="E15" s="4">
        <f>'Étkeztetési feladatok'!V69</f>
        <v>-10935473.799999999</v>
      </c>
      <c r="F15" s="4"/>
      <c r="G15" s="4"/>
      <c r="H15" s="4"/>
      <c r="I15" s="4"/>
      <c r="J15" s="870"/>
      <c r="K15" s="870"/>
      <c r="L15" s="870"/>
      <c r="M15" s="4"/>
      <c r="N15" s="634">
        <f t="shared" ref="N15:N45" si="2">SUM(C15:M15)</f>
        <v>-10935473.799999999</v>
      </c>
      <c r="O15" s="506">
        <f>N15-'Étkeztetési feladatok'!V69</f>
        <v>0</v>
      </c>
    </row>
    <row r="16" spans="1:15" x14ac:dyDescent="0.35">
      <c r="A16" s="1194"/>
      <c r="B16" s="411" t="s">
        <v>1098</v>
      </c>
      <c r="C16" s="4"/>
      <c r="D16" s="4"/>
      <c r="E16" s="4">
        <f>'Étkeztetési feladatok'!W69</f>
        <v>21737870</v>
      </c>
      <c r="F16" s="4"/>
      <c r="G16" s="4"/>
      <c r="H16" s="4"/>
      <c r="I16" s="4"/>
      <c r="J16" s="870"/>
      <c r="K16" s="870"/>
      <c r="L16" s="870"/>
      <c r="M16" s="4"/>
      <c r="N16" s="634">
        <f t="shared" si="2"/>
        <v>21737870</v>
      </c>
      <c r="O16" s="506">
        <f>N16-'Étkeztetési feladatok'!W69</f>
        <v>0</v>
      </c>
    </row>
    <row r="17" spans="1:15" s="532" customFormat="1" ht="15" thickBot="1" x14ac:dyDescent="0.4">
      <c r="A17" s="1195"/>
      <c r="B17" s="635" t="s">
        <v>1099</v>
      </c>
      <c r="C17" s="928"/>
      <c r="D17" s="928"/>
      <c r="E17" s="928">
        <f>'Étkeztetési feladatok'!X69</f>
        <v>21737870</v>
      </c>
      <c r="F17" s="928"/>
      <c r="G17" s="928"/>
      <c r="H17" s="928"/>
      <c r="I17" s="928"/>
      <c r="J17" s="929"/>
      <c r="K17" s="929"/>
      <c r="L17" s="929"/>
      <c r="M17" s="928"/>
      <c r="N17" s="636">
        <f t="shared" si="2"/>
        <v>21737870</v>
      </c>
      <c r="O17" s="930">
        <f>N17-'Étkeztetési feladatok'!X69</f>
        <v>0</v>
      </c>
    </row>
    <row r="18" spans="1:15" x14ac:dyDescent="0.35">
      <c r="A18" s="1193" t="s">
        <v>702</v>
      </c>
      <c r="B18" s="923" t="s">
        <v>968</v>
      </c>
      <c r="C18" s="924">
        <f>'Egészségügyi feladatok'!AA8+'Egészségügyi feladatok'!AA9+'Egészségügyi feladatok'!AA10+'Egészségügyi feladatok'!AA11+'Egészségügyi feladatok'!T12+'Egészségügyi feladatok'!AA12</f>
        <v>6126522</v>
      </c>
      <c r="D18" s="924">
        <f>'Egészségügyi feladatok'!AA14</f>
        <v>1135041.3500000001</v>
      </c>
      <c r="E18" s="924">
        <f>'Egészségügyi feladatok'!AA67</f>
        <v>4857040.24</v>
      </c>
      <c r="F18" s="924"/>
      <c r="G18" s="924"/>
      <c r="H18" s="924"/>
      <c r="I18" s="924"/>
      <c r="J18" s="925"/>
      <c r="K18" s="925"/>
      <c r="L18" s="925"/>
      <c r="M18" s="924"/>
      <c r="N18" s="926">
        <f>SUM(C18:M18)</f>
        <v>12118603.59</v>
      </c>
      <c r="O18" s="927">
        <f>N18-'Egészségügyi feladatok'!AA68</f>
        <v>0</v>
      </c>
    </row>
    <row r="19" spans="1:15" hidden="1" x14ac:dyDescent="0.35">
      <c r="A19" s="1194"/>
      <c r="B19" s="411" t="s">
        <v>1097</v>
      </c>
      <c r="C19" s="4">
        <f>'Egészségügyi feladatok'!AB13</f>
        <v>1326259</v>
      </c>
      <c r="D19" s="4">
        <f>'Egészségügyi feladatok'!AB14</f>
        <v>89339.649999999907</v>
      </c>
      <c r="E19" s="4">
        <f>'Egészségügyi feladatok'!AB67</f>
        <v>263329.76</v>
      </c>
      <c r="F19" s="4"/>
      <c r="G19" s="4"/>
      <c r="H19" s="4"/>
      <c r="I19" s="4"/>
      <c r="J19" s="870"/>
      <c r="K19" s="870"/>
      <c r="L19" s="870"/>
      <c r="M19" s="4"/>
      <c r="N19" s="634">
        <f t="shared" si="2"/>
        <v>1678928.41</v>
      </c>
      <c r="O19" s="506">
        <f>N19-'Egészségügyi feladatok'!AB68</f>
        <v>0</v>
      </c>
    </row>
    <row r="20" spans="1:15" x14ac:dyDescent="0.35">
      <c r="A20" s="1194"/>
      <c r="B20" s="411" t="s">
        <v>1098</v>
      </c>
      <c r="C20" s="4">
        <f>'Egészségügyi feladatok'!AC13</f>
        <v>7452781</v>
      </c>
      <c r="D20" s="4">
        <f>'Egészségügyi feladatok'!AC14</f>
        <v>1224381</v>
      </c>
      <c r="E20" s="4">
        <f>'Egészségügyi feladatok'!AC67</f>
        <v>5120370</v>
      </c>
      <c r="F20" s="4"/>
      <c r="G20" s="4"/>
      <c r="H20" s="4"/>
      <c r="I20" s="4"/>
      <c r="J20" s="870"/>
      <c r="K20" s="870"/>
      <c r="L20" s="870"/>
      <c r="M20" s="4"/>
      <c r="N20" s="634">
        <f t="shared" si="2"/>
        <v>13797532</v>
      </c>
      <c r="O20" s="506">
        <f>N20-'Egészségügyi feladatok'!AC68</f>
        <v>0</v>
      </c>
    </row>
    <row r="21" spans="1:15" s="532" customFormat="1" ht="15" thickBot="1" x14ac:dyDescent="0.4">
      <c r="A21" s="1195"/>
      <c r="B21" s="635" t="s">
        <v>1099</v>
      </c>
      <c r="C21" s="928">
        <f>'Egészségügyi feladatok'!AD13</f>
        <v>7452781</v>
      </c>
      <c r="D21" s="928">
        <f>'Egészségügyi feladatok'!AD14</f>
        <v>1224381</v>
      </c>
      <c r="E21" s="928">
        <f>'Egészségügyi feladatok'!AD67</f>
        <v>5120370</v>
      </c>
      <c r="F21" s="928"/>
      <c r="G21" s="928"/>
      <c r="H21" s="928"/>
      <c r="I21" s="928"/>
      <c r="J21" s="929"/>
      <c r="K21" s="929"/>
      <c r="L21" s="929"/>
      <c r="M21" s="928"/>
      <c r="N21" s="636">
        <f t="shared" si="2"/>
        <v>13797532</v>
      </c>
      <c r="O21" s="930">
        <f>N21-'Egészségügyi feladatok'!AD68</f>
        <v>0</v>
      </c>
    </row>
    <row r="22" spans="1:15" x14ac:dyDescent="0.35">
      <c r="A22" s="1193" t="s">
        <v>703</v>
      </c>
      <c r="B22" s="923" t="s">
        <v>968</v>
      </c>
      <c r="C22" s="924"/>
      <c r="D22" s="924"/>
      <c r="E22" s="931">
        <f>'Kulturális szolgáltatás'!W66</f>
        <v>9998260</v>
      </c>
      <c r="F22" s="924"/>
      <c r="G22" s="924"/>
      <c r="H22" s="924"/>
      <c r="I22" s="924"/>
      <c r="J22" s="925"/>
      <c r="K22" s="925"/>
      <c r="L22" s="925"/>
      <c r="M22" s="924"/>
      <c r="N22" s="926">
        <f>SUM(C22:M22)</f>
        <v>9998260</v>
      </c>
      <c r="O22" s="927">
        <f>N22-'Kulturális szolgáltatás'!W66</f>
        <v>0</v>
      </c>
    </row>
    <row r="23" spans="1:15" hidden="1" x14ac:dyDescent="0.35">
      <c r="A23" s="1194"/>
      <c r="B23" s="411" t="s">
        <v>1097</v>
      </c>
      <c r="C23" s="4"/>
      <c r="D23" s="4"/>
      <c r="E23" s="413">
        <f>'Kulturális szolgáltatás'!X66</f>
        <v>-3664093</v>
      </c>
      <c r="F23" s="4"/>
      <c r="G23" s="4"/>
      <c r="H23" s="4"/>
      <c r="I23" s="4"/>
      <c r="J23" s="870"/>
      <c r="K23" s="870"/>
      <c r="L23" s="870"/>
      <c r="M23" s="4"/>
      <c r="N23" s="634">
        <f t="shared" si="2"/>
        <v>-3664093</v>
      </c>
      <c r="O23" s="506">
        <f>N23-'Kulturális szolgáltatás'!X66</f>
        <v>0</v>
      </c>
    </row>
    <row r="24" spans="1:15" x14ac:dyDescent="0.35">
      <c r="A24" s="1194"/>
      <c r="B24" s="411" t="s">
        <v>1098</v>
      </c>
      <c r="C24" s="4"/>
      <c r="D24" s="4"/>
      <c r="E24" s="413">
        <f>'Kulturális szolgáltatás'!Y66</f>
        <v>6334167</v>
      </c>
      <c r="F24" s="4"/>
      <c r="G24" s="4"/>
      <c r="H24" s="4"/>
      <c r="I24" s="4"/>
      <c r="J24" s="870"/>
      <c r="K24" s="870"/>
      <c r="L24" s="870"/>
      <c r="M24" s="4"/>
      <c r="N24" s="634">
        <f t="shared" si="2"/>
        <v>6334167</v>
      </c>
      <c r="O24" s="506">
        <f>N24-'Kulturális szolgáltatás'!Y66</f>
        <v>0</v>
      </c>
    </row>
    <row r="25" spans="1:15" ht="15" thickBot="1" x14ac:dyDescent="0.4">
      <c r="A25" s="1195"/>
      <c r="B25" s="635" t="s">
        <v>1099</v>
      </c>
      <c r="C25" s="928"/>
      <c r="D25" s="928"/>
      <c r="E25" s="932">
        <f>'Kulturális szolgáltatás'!Z66</f>
        <v>6334167</v>
      </c>
      <c r="F25" s="928"/>
      <c r="G25" s="928"/>
      <c r="H25" s="928"/>
      <c r="I25" s="928"/>
      <c r="J25" s="929"/>
      <c r="K25" s="929"/>
      <c r="L25" s="929"/>
      <c r="M25" s="928"/>
      <c r="N25" s="636">
        <f t="shared" si="2"/>
        <v>6334167</v>
      </c>
      <c r="O25" s="930">
        <f>N25-'Kulturális szolgáltatás'!Z66</f>
        <v>0</v>
      </c>
    </row>
    <row r="26" spans="1:15" x14ac:dyDescent="0.35">
      <c r="A26" s="1193" t="s">
        <v>233</v>
      </c>
      <c r="B26" s="923" t="s">
        <v>968</v>
      </c>
      <c r="C26" s="924">
        <v>244590</v>
      </c>
      <c r="D26" s="924">
        <v>21401.625</v>
      </c>
      <c r="E26" s="924">
        <v>0</v>
      </c>
      <c r="F26" s="924"/>
      <c r="G26" s="924"/>
      <c r="H26" s="924"/>
      <c r="I26" s="924"/>
      <c r="J26" s="925"/>
      <c r="K26" s="925"/>
      <c r="L26" s="925"/>
      <c r="M26" s="924"/>
      <c r="N26" s="926">
        <v>265991.625</v>
      </c>
      <c r="O26" s="927">
        <f>N26-Közfoglalkoztatás!I16</f>
        <v>0</v>
      </c>
    </row>
    <row r="27" spans="1:15" hidden="1" x14ac:dyDescent="0.35">
      <c r="A27" s="1194"/>
      <c r="B27" s="411" t="s">
        <v>1097</v>
      </c>
      <c r="C27" s="4">
        <f>Közfoglalkoztatás!J13</f>
        <v>1141420</v>
      </c>
      <c r="D27" s="4">
        <f>Közfoglalkoztatás!J14</f>
        <v>91720.375</v>
      </c>
      <c r="E27" s="4">
        <f>Közfoglalkoztatás!J15</f>
        <v>42099</v>
      </c>
      <c r="F27" s="4"/>
      <c r="G27" s="4"/>
      <c r="H27" s="4"/>
      <c r="I27" s="4"/>
      <c r="J27" s="870"/>
      <c r="K27" s="870"/>
      <c r="L27" s="870"/>
      <c r="M27" s="4"/>
      <c r="N27" s="634">
        <f t="shared" si="2"/>
        <v>1275239.375</v>
      </c>
      <c r="O27" s="506">
        <f>N27-Közfoglalkoztatás!J16</f>
        <v>0</v>
      </c>
    </row>
    <row r="28" spans="1:15" x14ac:dyDescent="0.35">
      <c r="A28" s="1194"/>
      <c r="B28" s="411" t="s">
        <v>1098</v>
      </c>
      <c r="C28" s="4">
        <f>Közfoglalkoztatás!K13</f>
        <v>1386010</v>
      </c>
      <c r="D28" s="4">
        <f>Közfoglalkoztatás!K14</f>
        <v>113122</v>
      </c>
      <c r="E28" s="4">
        <f>Közfoglalkoztatás!K15</f>
        <v>42099</v>
      </c>
      <c r="F28" s="4"/>
      <c r="G28" s="4"/>
      <c r="H28" s="4"/>
      <c r="I28" s="4"/>
      <c r="J28" s="870"/>
      <c r="K28" s="870"/>
      <c r="L28" s="870"/>
      <c r="M28" s="4"/>
      <c r="N28" s="634">
        <f t="shared" si="2"/>
        <v>1541231</v>
      </c>
      <c r="O28" s="506">
        <f>N28-Közfoglalkoztatás!K16</f>
        <v>0</v>
      </c>
    </row>
    <row r="29" spans="1:15" ht="15" thickBot="1" x14ac:dyDescent="0.4">
      <c r="A29" s="1195"/>
      <c r="B29" s="635" t="s">
        <v>1099</v>
      </c>
      <c r="C29" s="928">
        <f>Közfoglalkoztatás!L13</f>
        <v>1386010</v>
      </c>
      <c r="D29" s="928">
        <f>Közfoglalkoztatás!L14</f>
        <v>113122</v>
      </c>
      <c r="E29" s="928">
        <f>Közfoglalkoztatás!L15</f>
        <v>42099</v>
      </c>
      <c r="F29" s="928"/>
      <c r="G29" s="928"/>
      <c r="H29" s="928"/>
      <c r="I29" s="928"/>
      <c r="J29" s="929"/>
      <c r="K29" s="929"/>
      <c r="L29" s="929"/>
      <c r="M29" s="928"/>
      <c r="N29" s="636">
        <f t="shared" si="2"/>
        <v>1541231</v>
      </c>
      <c r="O29" s="930">
        <f>N29-Közfoglalkoztatás!L16</f>
        <v>0</v>
      </c>
    </row>
    <row r="30" spans="1:15" x14ac:dyDescent="0.35">
      <c r="A30" s="1193" t="s">
        <v>704</v>
      </c>
      <c r="B30" s="923" t="s">
        <v>968</v>
      </c>
      <c r="C30" s="924"/>
      <c r="D30" s="924"/>
      <c r="E30" s="924"/>
      <c r="F30" s="924">
        <f>'Önkormányzat Települési támogat'!K26</f>
        <v>8220000</v>
      </c>
      <c r="G30" s="924"/>
      <c r="H30" s="924"/>
      <c r="I30" s="924"/>
      <c r="J30" s="925"/>
      <c r="K30" s="925"/>
      <c r="L30" s="925"/>
      <c r="M30" s="924"/>
      <c r="N30" s="926">
        <f t="shared" ref="N30" si="3">SUM(C30:M30)</f>
        <v>8220000</v>
      </c>
      <c r="O30" s="927">
        <f>N30-'Önkormányzat Települési támogat'!K26</f>
        <v>0</v>
      </c>
    </row>
    <row r="31" spans="1:15" hidden="1" x14ac:dyDescent="0.35">
      <c r="A31" s="1194"/>
      <c r="B31" s="411" t="s">
        <v>1097</v>
      </c>
      <c r="C31" s="4"/>
      <c r="D31" s="4"/>
      <c r="E31" s="4">
        <f>'Önkormányzat Települési támogat'!L28</f>
        <v>647500</v>
      </c>
      <c r="F31" s="4">
        <f>'Önkormányzat Települési támogat'!L26</f>
        <v>-1642900</v>
      </c>
      <c r="G31" s="4"/>
      <c r="H31" s="4"/>
      <c r="I31" s="4"/>
      <c r="J31" s="870"/>
      <c r="K31" s="870"/>
      <c r="L31" s="870"/>
      <c r="M31" s="4"/>
      <c r="N31" s="634">
        <f t="shared" si="2"/>
        <v>-995400</v>
      </c>
      <c r="O31" s="506">
        <f>N31-'Önkormányzat Települési támogat'!L26-'Önkormányzat Települési támogat'!L28</f>
        <v>0</v>
      </c>
    </row>
    <row r="32" spans="1:15" x14ac:dyDescent="0.35">
      <c r="A32" s="1194"/>
      <c r="B32" s="411" t="s">
        <v>1098</v>
      </c>
      <c r="C32" s="4"/>
      <c r="D32" s="4"/>
      <c r="E32" s="4">
        <f>'Önkormányzat Települési támogat'!M28</f>
        <v>647500</v>
      </c>
      <c r="F32" s="4">
        <f>'Önkormányzat Települési támogat'!M26</f>
        <v>6577100</v>
      </c>
      <c r="G32" s="4"/>
      <c r="H32" s="4"/>
      <c r="I32" s="4"/>
      <c r="J32" s="870"/>
      <c r="K32" s="870"/>
      <c r="L32" s="870"/>
      <c r="M32" s="4"/>
      <c r="N32" s="634">
        <f t="shared" si="2"/>
        <v>7224600</v>
      </c>
      <c r="O32" s="506">
        <f>N32-'Önkormányzat Települési támogat'!M26-'Önkormányzat Települési támogat'!M28</f>
        <v>0</v>
      </c>
    </row>
    <row r="33" spans="1:15" ht="15" thickBot="1" x14ac:dyDescent="0.4">
      <c r="A33" s="1195"/>
      <c r="B33" s="635" t="s">
        <v>1099</v>
      </c>
      <c r="C33" s="928"/>
      <c r="D33" s="928"/>
      <c r="E33" s="928">
        <f>'Önkormányzat Települési támogat'!N28</f>
        <v>647500</v>
      </c>
      <c r="F33" s="928">
        <f>'Önkormányzat Települési támogat'!N26</f>
        <v>6568092</v>
      </c>
      <c r="G33" s="928"/>
      <c r="H33" s="928"/>
      <c r="I33" s="928"/>
      <c r="J33" s="929"/>
      <c r="K33" s="929"/>
      <c r="L33" s="929"/>
      <c r="M33" s="928"/>
      <c r="N33" s="636">
        <f t="shared" si="2"/>
        <v>7215592</v>
      </c>
      <c r="O33" s="930">
        <f>N33-'Önkormányzat Települési támogat'!N26-'Önkormányzat Települési támogat'!N28</f>
        <v>0</v>
      </c>
    </row>
    <row r="34" spans="1:15" x14ac:dyDescent="0.35">
      <c r="A34" s="1193" t="s">
        <v>706</v>
      </c>
      <c r="B34" s="923" t="s">
        <v>968</v>
      </c>
      <c r="C34" s="924"/>
      <c r="D34" s="924"/>
      <c r="E34" s="924"/>
      <c r="F34" s="924"/>
      <c r="G34" s="924">
        <f>'Önkormányzat Átadott pénzeszköz'!J43</f>
        <v>25286774</v>
      </c>
      <c r="H34" s="924"/>
      <c r="I34" s="924"/>
      <c r="J34" s="925"/>
      <c r="K34" s="925"/>
      <c r="L34" s="925"/>
      <c r="M34" s="924"/>
      <c r="N34" s="926">
        <f>SUM(C34:M34)</f>
        <v>25286774</v>
      </c>
      <c r="O34" s="927">
        <f>N34-'Önkormányzat Átadott pénzeszköz'!J43</f>
        <v>0</v>
      </c>
    </row>
    <row r="35" spans="1:15" hidden="1" x14ac:dyDescent="0.35">
      <c r="A35" s="1194"/>
      <c r="B35" s="411" t="s">
        <v>1097</v>
      </c>
      <c r="C35" s="4"/>
      <c r="D35" s="4"/>
      <c r="E35" s="4"/>
      <c r="F35" s="4"/>
      <c r="G35" s="4">
        <f>'Önkormányzat Átadott pénzeszköz'!K43</f>
        <v>-4315239</v>
      </c>
      <c r="H35" s="4"/>
      <c r="I35" s="4"/>
      <c r="J35" s="870"/>
      <c r="K35" s="870"/>
      <c r="L35" s="870"/>
      <c r="M35" s="4"/>
      <c r="N35" s="634">
        <f t="shared" si="2"/>
        <v>-4315239</v>
      </c>
      <c r="O35" s="506"/>
    </row>
    <row r="36" spans="1:15" x14ac:dyDescent="0.35">
      <c r="A36" s="1194"/>
      <c r="B36" s="411" t="s">
        <v>1098</v>
      </c>
      <c r="C36" s="4"/>
      <c r="D36" s="4"/>
      <c r="E36" s="4"/>
      <c r="F36" s="4"/>
      <c r="G36" s="4">
        <f>'Önkormányzat Átadott pénzeszköz'!L43</f>
        <v>20971535</v>
      </c>
      <c r="H36" s="4"/>
      <c r="I36" s="4"/>
      <c r="J36" s="870"/>
      <c r="K36" s="870"/>
      <c r="L36" s="870"/>
      <c r="M36" s="4"/>
      <c r="N36" s="634">
        <f t="shared" si="2"/>
        <v>20971535</v>
      </c>
      <c r="O36" s="506"/>
    </row>
    <row r="37" spans="1:15" ht="15" thickBot="1" x14ac:dyDescent="0.4">
      <c r="A37" s="1195"/>
      <c r="B37" s="635" t="s">
        <v>1099</v>
      </c>
      <c r="C37" s="928"/>
      <c r="D37" s="928"/>
      <c r="E37" s="928"/>
      <c r="F37" s="928"/>
      <c r="G37" s="928">
        <f>'Önkormányzat Átadott pénzeszköz'!M43</f>
        <v>20971535</v>
      </c>
      <c r="H37" s="928"/>
      <c r="I37" s="928"/>
      <c r="J37" s="929"/>
      <c r="K37" s="929"/>
      <c r="L37" s="929"/>
      <c r="M37" s="928"/>
      <c r="N37" s="636">
        <f t="shared" si="2"/>
        <v>20971535</v>
      </c>
      <c r="O37" s="930"/>
    </row>
    <row r="38" spans="1:15" x14ac:dyDescent="0.35">
      <c r="A38" s="1193" t="s">
        <v>134</v>
      </c>
      <c r="B38" s="923" t="s">
        <v>968</v>
      </c>
      <c r="C38" s="924"/>
      <c r="D38" s="924"/>
      <c r="E38" s="924"/>
      <c r="F38" s="924"/>
      <c r="G38" s="924"/>
      <c r="H38" s="924">
        <f>'Önkormányzat Beruházás'!I44</f>
        <v>65647968</v>
      </c>
      <c r="I38" s="924"/>
      <c r="J38" s="925"/>
      <c r="K38" s="925"/>
      <c r="L38" s="925"/>
      <c r="M38" s="924"/>
      <c r="N38" s="926">
        <f>SUM(C38:M38)</f>
        <v>65647968</v>
      </c>
      <c r="O38" s="927">
        <f>N38-'Önkormányzat Beruházás'!I44</f>
        <v>0</v>
      </c>
    </row>
    <row r="39" spans="1:15" hidden="1" x14ac:dyDescent="0.35">
      <c r="A39" s="1194"/>
      <c r="B39" s="411" t="s">
        <v>1097</v>
      </c>
      <c r="C39" s="4"/>
      <c r="D39" s="4"/>
      <c r="E39" s="4"/>
      <c r="F39" s="4"/>
      <c r="G39" s="4"/>
      <c r="H39" s="4">
        <f>'Önkormányzat Beruházás'!J44</f>
        <v>-44388007</v>
      </c>
      <c r="I39" s="4"/>
      <c r="J39" s="870"/>
      <c r="K39" s="870"/>
      <c r="L39" s="870"/>
      <c r="M39" s="4"/>
      <c r="N39" s="634">
        <f t="shared" si="2"/>
        <v>-44388007</v>
      </c>
      <c r="O39" s="506"/>
    </row>
    <row r="40" spans="1:15" x14ac:dyDescent="0.35">
      <c r="A40" s="1194"/>
      <c r="B40" s="411" t="s">
        <v>1098</v>
      </c>
      <c r="C40" s="4"/>
      <c r="D40" s="4"/>
      <c r="E40" s="4"/>
      <c r="F40" s="4"/>
      <c r="G40" s="4"/>
      <c r="H40" s="4">
        <f>'Önkormányzat Beruházás'!K44</f>
        <v>21259961</v>
      </c>
      <c r="I40" s="4"/>
      <c r="J40" s="870"/>
      <c r="K40" s="870"/>
      <c r="L40" s="870"/>
      <c r="M40" s="4"/>
      <c r="N40" s="634">
        <f t="shared" si="2"/>
        <v>21259961</v>
      </c>
      <c r="O40" s="506"/>
    </row>
    <row r="41" spans="1:15" ht="15" thickBot="1" x14ac:dyDescent="0.4">
      <c r="A41" s="1195"/>
      <c r="B41" s="635" t="s">
        <v>1099</v>
      </c>
      <c r="C41" s="928"/>
      <c r="D41" s="928"/>
      <c r="E41" s="928"/>
      <c r="F41" s="928"/>
      <c r="G41" s="928"/>
      <c r="H41" s="928">
        <f>'Önkormányzat Beruházás'!L44</f>
        <v>21259961</v>
      </c>
      <c r="I41" s="928"/>
      <c r="J41" s="929"/>
      <c r="K41" s="929"/>
      <c r="L41" s="929"/>
      <c r="M41" s="928"/>
      <c r="N41" s="636">
        <f t="shared" si="2"/>
        <v>21259961</v>
      </c>
      <c r="O41" s="930"/>
    </row>
    <row r="42" spans="1:15" x14ac:dyDescent="0.35">
      <c r="A42" s="1193" t="s">
        <v>700</v>
      </c>
      <c r="B42" s="923" t="s">
        <v>968</v>
      </c>
      <c r="C42" s="924"/>
      <c r="D42" s="924"/>
      <c r="E42" s="924"/>
      <c r="F42" s="924"/>
      <c r="G42" s="924"/>
      <c r="H42" s="924"/>
      <c r="I42" s="924">
        <f>'Önkormányzat Beruházás'!I78</f>
        <v>36145294</v>
      </c>
      <c r="J42" s="925"/>
      <c r="K42" s="925"/>
      <c r="L42" s="925"/>
      <c r="M42" s="924"/>
      <c r="N42" s="926">
        <f>SUM(C42:M42)</f>
        <v>36145294</v>
      </c>
      <c r="O42" s="927">
        <f>N42-'Önkormányzat Beruházás'!I78</f>
        <v>0</v>
      </c>
    </row>
    <row r="43" spans="1:15" hidden="1" x14ac:dyDescent="0.35">
      <c r="A43" s="1194"/>
      <c r="B43" s="411" t="s">
        <v>1097</v>
      </c>
      <c r="C43" s="4"/>
      <c r="D43" s="4"/>
      <c r="E43" s="4"/>
      <c r="F43" s="4"/>
      <c r="G43" s="4"/>
      <c r="H43" s="4"/>
      <c r="I43" s="4">
        <f>'Önkormányzat Beruházás'!J78</f>
        <v>37558167</v>
      </c>
      <c r="J43" s="870"/>
      <c r="K43" s="870"/>
      <c r="L43" s="870"/>
      <c r="M43" s="4"/>
      <c r="N43" s="634">
        <f t="shared" si="2"/>
        <v>37558167</v>
      </c>
      <c r="O43" s="506"/>
    </row>
    <row r="44" spans="1:15" x14ac:dyDescent="0.35">
      <c r="A44" s="1194"/>
      <c r="B44" s="411" t="s">
        <v>1098</v>
      </c>
      <c r="C44" s="4"/>
      <c r="D44" s="4"/>
      <c r="E44" s="4"/>
      <c r="F44" s="4"/>
      <c r="G44" s="4"/>
      <c r="H44" s="4"/>
      <c r="I44" s="4">
        <f>'Önkormányzat Beruházás'!K78</f>
        <v>62654461</v>
      </c>
      <c r="J44" s="870"/>
      <c r="K44" s="870"/>
      <c r="L44" s="870"/>
      <c r="M44" s="4"/>
      <c r="N44" s="634">
        <f t="shared" si="2"/>
        <v>62654461</v>
      </c>
      <c r="O44" s="506"/>
    </row>
    <row r="45" spans="1:15" ht="15" thickBot="1" x14ac:dyDescent="0.4">
      <c r="A45" s="1195"/>
      <c r="B45" s="635" t="s">
        <v>1099</v>
      </c>
      <c r="C45" s="928"/>
      <c r="D45" s="928"/>
      <c r="E45" s="928"/>
      <c r="F45" s="928"/>
      <c r="G45" s="928"/>
      <c r="H45" s="928"/>
      <c r="I45" s="928">
        <f>'Önkormányzat Beruházás'!L78</f>
        <v>51605461</v>
      </c>
      <c r="J45" s="929"/>
      <c r="K45" s="929"/>
      <c r="L45" s="929"/>
      <c r="M45" s="928"/>
      <c r="N45" s="636">
        <f t="shared" si="2"/>
        <v>51605461</v>
      </c>
      <c r="O45" s="930"/>
    </row>
    <row r="46" spans="1:15" x14ac:dyDescent="0.35">
      <c r="A46" s="1190" t="s">
        <v>716</v>
      </c>
      <c r="B46" s="881" t="s">
        <v>968</v>
      </c>
      <c r="C46" s="920"/>
      <c r="D46" s="920"/>
      <c r="E46" s="920"/>
      <c r="F46" s="920"/>
      <c r="G46" s="920"/>
      <c r="H46" s="920"/>
      <c r="I46" s="920"/>
      <c r="J46" s="921"/>
      <c r="K46" s="591">
        <v>40736929</v>
      </c>
      <c r="L46" s="921">
        <v>4979202</v>
      </c>
      <c r="M46" s="920">
        <f>'Intézményi összesen'!AC18</f>
        <v>97768157.049999997</v>
      </c>
      <c r="N46" s="922">
        <f t="shared" ref="N46" si="4">SUM(C46:M46)</f>
        <v>143484288.05000001</v>
      </c>
      <c r="O46" s="933"/>
    </row>
    <row r="47" spans="1:15" hidden="1" x14ac:dyDescent="0.35">
      <c r="A47" s="1191"/>
      <c r="B47" s="411" t="s">
        <v>1097</v>
      </c>
      <c r="C47" s="4"/>
      <c r="D47" s="4"/>
      <c r="E47" s="4"/>
      <c r="F47" s="4"/>
      <c r="G47" s="4"/>
      <c r="H47" s="4"/>
      <c r="I47" s="4"/>
      <c r="J47" s="870"/>
      <c r="K47" s="870">
        <f>K48-K46</f>
        <v>170320002</v>
      </c>
      <c r="L47" s="870">
        <f>L48-L46</f>
        <v>0</v>
      </c>
      <c r="M47" s="4">
        <f>'Intézményi összesen'!AD18</f>
        <v>-299534.04999999702</v>
      </c>
      <c r="N47" s="634">
        <f t="shared" ref="N47:N49" si="5">SUM(C47:M47)</f>
        <v>170020467.94999999</v>
      </c>
      <c r="O47" s="506"/>
    </row>
    <row r="48" spans="1:15" x14ac:dyDescent="0.35">
      <c r="A48" s="1191"/>
      <c r="B48" s="411" t="s">
        <v>1098</v>
      </c>
      <c r="C48" s="4"/>
      <c r="D48" s="4"/>
      <c r="E48" s="4"/>
      <c r="F48" s="4"/>
      <c r="G48" s="4"/>
      <c r="H48" s="4"/>
      <c r="I48" s="4"/>
      <c r="J48" s="870"/>
      <c r="K48" s="591">
        <v>211056931</v>
      </c>
      <c r="L48" s="591">
        <v>4979202</v>
      </c>
      <c r="M48" s="4">
        <f>'Intézményi összesen'!AE18</f>
        <v>97468623</v>
      </c>
      <c r="N48" s="634">
        <f t="shared" si="5"/>
        <v>313504756</v>
      </c>
      <c r="O48" s="506"/>
    </row>
    <row r="49" spans="1:15" ht="15" thickBot="1" x14ac:dyDescent="0.4">
      <c r="A49" s="1191"/>
      <c r="B49" s="635" t="s">
        <v>1099</v>
      </c>
      <c r="C49" s="4"/>
      <c r="D49" s="4"/>
      <c r="E49" s="4"/>
      <c r="F49" s="4"/>
      <c r="G49" s="4"/>
      <c r="H49" s="4"/>
      <c r="I49" s="4"/>
      <c r="J49" s="870"/>
      <c r="K49" s="870"/>
      <c r="L49" s="591">
        <v>4979202</v>
      </c>
      <c r="M49" s="4">
        <f>'Intézményi összesen'!AF18</f>
        <v>97468623</v>
      </c>
      <c r="N49" s="634">
        <f t="shared" si="5"/>
        <v>102447825</v>
      </c>
      <c r="O49" s="506"/>
    </row>
    <row r="50" spans="1:15" ht="15" thickBot="1" x14ac:dyDescent="0.4">
      <c r="A50" s="1192" t="s">
        <v>4</v>
      </c>
      <c r="B50" s="881" t="s">
        <v>968</v>
      </c>
      <c r="C50" s="426">
        <f>SUM(C6,C10,C18,C22,C22,C26,C30,C34,C38,C42,C46)</f>
        <v>16878220</v>
      </c>
      <c r="D50" s="426">
        <f t="shared" ref="D50:O50" si="6">SUM(D6,D10,D18,D22,D22,D26,D30,D34,D38,D42,D46)</f>
        <v>3058086.875</v>
      </c>
      <c r="E50" s="426">
        <f>SUM(E6,E10,E18,E22,E26,E30,E34,E38,E42,E46,E14)</f>
        <v>65023699.039999999</v>
      </c>
      <c r="F50" s="426">
        <f t="shared" si="6"/>
        <v>8220000</v>
      </c>
      <c r="G50" s="426">
        <f t="shared" si="6"/>
        <v>25286774</v>
      </c>
      <c r="H50" s="426">
        <f t="shared" si="6"/>
        <v>65647968</v>
      </c>
      <c r="I50" s="426">
        <f t="shared" si="6"/>
        <v>36145294</v>
      </c>
      <c r="J50" s="426">
        <f t="shared" si="6"/>
        <v>0</v>
      </c>
      <c r="K50" s="426">
        <f t="shared" si="6"/>
        <v>40736929</v>
      </c>
      <c r="L50" s="426">
        <f t="shared" si="6"/>
        <v>4979202</v>
      </c>
      <c r="M50" s="426">
        <f t="shared" si="6"/>
        <v>97768157.049999997</v>
      </c>
      <c r="N50" s="426">
        <f t="shared" si="6"/>
        <v>341069246.16500002</v>
      </c>
      <c r="O50" s="426">
        <f t="shared" si="6"/>
        <v>0</v>
      </c>
    </row>
    <row r="51" spans="1:15" ht="15" hidden="1" thickBot="1" x14ac:dyDescent="0.4">
      <c r="A51" s="1192"/>
      <c r="B51" s="411" t="s">
        <v>1097</v>
      </c>
      <c r="C51" s="426">
        <f t="shared" ref="C51:O53" si="7">SUM(C7,C11,C19,C23,C23,C27,C31,C35,C39,C43,C47)</f>
        <v>3025503</v>
      </c>
      <c r="D51" s="426">
        <f t="shared" si="7"/>
        <v>63844.125000000058</v>
      </c>
      <c r="E51" s="426">
        <f>SUM(E7,E11,E19,E23,E27,E31,E35,E39,E43,E47,E15)</f>
        <v>-4815258.0399999991</v>
      </c>
      <c r="F51" s="426">
        <f t="shared" si="7"/>
        <v>-1642900</v>
      </c>
      <c r="G51" s="426">
        <f t="shared" si="7"/>
        <v>-4315239</v>
      </c>
      <c r="H51" s="426">
        <f t="shared" si="7"/>
        <v>-44388007</v>
      </c>
      <c r="I51" s="426">
        <f t="shared" si="7"/>
        <v>37558167</v>
      </c>
      <c r="J51" s="426">
        <f t="shared" si="7"/>
        <v>0</v>
      </c>
      <c r="K51" s="426">
        <f t="shared" si="7"/>
        <v>170320002</v>
      </c>
      <c r="L51" s="426">
        <f t="shared" si="7"/>
        <v>0</v>
      </c>
      <c r="M51" s="426">
        <f t="shared" si="7"/>
        <v>-299534.04999999702</v>
      </c>
      <c r="N51" s="426">
        <f t="shared" si="7"/>
        <v>162777958.83499998</v>
      </c>
      <c r="O51" s="426">
        <f t="shared" si="7"/>
        <v>0</v>
      </c>
    </row>
    <row r="52" spans="1:15" ht="15" thickBot="1" x14ac:dyDescent="0.4">
      <c r="A52" s="1192"/>
      <c r="B52" s="411" t="s">
        <v>1098</v>
      </c>
      <c r="C52" s="426">
        <f t="shared" si="7"/>
        <v>19903723</v>
      </c>
      <c r="D52" s="426">
        <f t="shared" si="7"/>
        <v>3121931</v>
      </c>
      <c r="E52" s="426">
        <f t="shared" ref="E52:E53" si="8">SUM(E8,E12,E20,E24,E28,E32,E36,E40,E44,E48,E16)</f>
        <v>59947941</v>
      </c>
      <c r="F52" s="426">
        <f t="shared" si="7"/>
        <v>6577100</v>
      </c>
      <c r="G52" s="426">
        <f t="shared" si="7"/>
        <v>20971535</v>
      </c>
      <c r="H52" s="426">
        <f t="shared" si="7"/>
        <v>21259961</v>
      </c>
      <c r="I52" s="426">
        <f t="shared" si="7"/>
        <v>62654461</v>
      </c>
      <c r="J52" s="426">
        <f t="shared" si="7"/>
        <v>0</v>
      </c>
      <c r="K52" s="426">
        <f t="shared" si="7"/>
        <v>211056931</v>
      </c>
      <c r="L52" s="426">
        <f t="shared" si="7"/>
        <v>4979202</v>
      </c>
      <c r="M52" s="426">
        <f t="shared" si="7"/>
        <v>97468623</v>
      </c>
      <c r="N52" s="426">
        <f t="shared" si="7"/>
        <v>492537705</v>
      </c>
      <c r="O52" s="426">
        <f t="shared" si="7"/>
        <v>0</v>
      </c>
    </row>
    <row r="53" spans="1:15" ht="15" thickBot="1" x14ac:dyDescent="0.4">
      <c r="A53" s="1192"/>
      <c r="B53" s="635" t="s">
        <v>1099</v>
      </c>
      <c r="C53" s="426">
        <f t="shared" si="7"/>
        <v>19903723</v>
      </c>
      <c r="D53" s="426">
        <f t="shared" si="7"/>
        <v>3121931</v>
      </c>
      <c r="E53" s="426">
        <f t="shared" si="8"/>
        <v>59687441</v>
      </c>
      <c r="F53" s="426">
        <f t="shared" si="7"/>
        <v>6568092</v>
      </c>
      <c r="G53" s="426">
        <f t="shared" si="7"/>
        <v>20971535</v>
      </c>
      <c r="H53" s="426">
        <f t="shared" si="7"/>
        <v>21259961</v>
      </c>
      <c r="I53" s="426">
        <f t="shared" si="7"/>
        <v>51605461</v>
      </c>
      <c r="J53" s="426">
        <f t="shared" si="7"/>
        <v>0</v>
      </c>
      <c r="K53" s="426">
        <f t="shared" si="7"/>
        <v>0</v>
      </c>
      <c r="L53" s="426">
        <f t="shared" si="7"/>
        <v>4979202</v>
      </c>
      <c r="M53" s="426">
        <f t="shared" si="7"/>
        <v>97468623</v>
      </c>
      <c r="N53" s="426">
        <f t="shared" si="7"/>
        <v>270162266</v>
      </c>
      <c r="O53" s="426">
        <f t="shared" si="7"/>
        <v>0</v>
      </c>
    </row>
    <row r="54" spans="1:15" x14ac:dyDescent="0.35">
      <c r="C54" s="1042">
        <v>19903723</v>
      </c>
      <c r="D54" s="1042">
        <v>3121931</v>
      </c>
      <c r="E54" s="1042">
        <v>59947941</v>
      </c>
      <c r="F54" s="592">
        <v>6568092</v>
      </c>
      <c r="G54" s="1042">
        <v>20971535</v>
      </c>
      <c r="H54" s="1042">
        <v>21259961</v>
      </c>
      <c r="I54" s="592">
        <v>51605461</v>
      </c>
      <c r="K54" s="1043"/>
      <c r="M54" s="591">
        <v>97468623</v>
      </c>
    </row>
  </sheetData>
  <mergeCells count="27">
    <mergeCell ref="E4:E5"/>
    <mergeCell ref="A6:A9"/>
    <mergeCell ref="A22:A25"/>
    <mergeCell ref="O4:O5"/>
    <mergeCell ref="A2:N2"/>
    <mergeCell ref="G4:G5"/>
    <mergeCell ref="H4:H5"/>
    <mergeCell ref="I4:I5"/>
    <mergeCell ref="N4:N5"/>
    <mergeCell ref="A4:B5"/>
    <mergeCell ref="F4:F5"/>
    <mergeCell ref="K4:K5"/>
    <mergeCell ref="M4:M5"/>
    <mergeCell ref="J4:J5"/>
    <mergeCell ref="L4:L5"/>
    <mergeCell ref="C4:C5"/>
    <mergeCell ref="D4:D5"/>
    <mergeCell ref="A46:A49"/>
    <mergeCell ref="A50:A53"/>
    <mergeCell ref="A10:A13"/>
    <mergeCell ref="A14:A17"/>
    <mergeCell ref="A18:A21"/>
    <mergeCell ref="A26:A29"/>
    <mergeCell ref="A30:A33"/>
    <mergeCell ref="A34:A37"/>
    <mergeCell ref="A38:A41"/>
    <mergeCell ref="A42:A45"/>
  </mergeCells>
  <pageMargins left="0.70866141732283472" right="0.70866141732283472" top="0.74803149606299213" bottom="0.74803149606299213" header="0.31496062992125984" footer="0.31496062992125984"/>
  <pageSetup paperSize="8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  <pageSetUpPr fitToPage="1"/>
  </sheetPr>
  <dimension ref="A1:N68"/>
  <sheetViews>
    <sheetView view="pageBreakPreview" zoomScaleNormal="100" zoomScaleSheetLayoutView="100" workbookViewId="0">
      <selection sqref="A1:F1"/>
    </sheetView>
  </sheetViews>
  <sheetFormatPr defaultRowHeight="14.5" x14ac:dyDescent="0.35"/>
  <cols>
    <col min="1" max="1" width="28.54296875" style="359" customWidth="1"/>
    <col min="2" max="2" width="28.54296875" style="359" hidden="1" customWidth="1"/>
    <col min="3" max="3" width="17" style="359" customWidth="1"/>
    <col min="4" max="5" width="16.453125" style="359" hidden="1" customWidth="1"/>
    <col min="6" max="6" width="15.453125" style="354" hidden="1" customWidth="1"/>
    <col min="7" max="7" width="21" style="354" customWidth="1"/>
    <col min="8" max="8" width="17.7265625" hidden="1" customWidth="1"/>
    <col min="9" max="9" width="12.453125" hidden="1" customWidth="1"/>
    <col min="10" max="10" width="17.7265625" style="456" hidden="1" customWidth="1"/>
    <col min="11" max="11" width="18" hidden="1" customWidth="1"/>
    <col min="12" max="12" width="17.1796875" customWidth="1"/>
    <col min="13" max="13" width="15.54296875" customWidth="1"/>
  </cols>
  <sheetData>
    <row r="1" spans="1:13" x14ac:dyDescent="0.35">
      <c r="A1" s="1206" t="s">
        <v>1382</v>
      </c>
      <c r="B1" s="1206"/>
      <c r="C1" s="1206"/>
      <c r="D1" s="1206"/>
      <c r="E1" s="1206"/>
      <c r="F1" s="1206"/>
      <c r="G1" s="645"/>
    </row>
    <row r="2" spans="1:13" x14ac:dyDescent="0.35">
      <c r="A2" s="1208" t="s">
        <v>659</v>
      </c>
      <c r="B2" s="1208"/>
      <c r="C2" s="1208"/>
      <c r="D2" s="1208"/>
      <c r="E2" s="1208"/>
      <c r="F2" s="1208"/>
      <c r="G2" s="646"/>
    </row>
    <row r="3" spans="1:13" x14ac:dyDescent="0.35">
      <c r="A3" s="355"/>
      <c r="B3" s="355"/>
      <c r="C3" s="355"/>
      <c r="D3" s="355"/>
      <c r="E3" s="355"/>
      <c r="F3" s="356"/>
      <c r="G3" s="356"/>
    </row>
    <row r="4" spans="1:13" ht="48.75" customHeight="1" x14ac:dyDescent="0.35">
      <c r="A4" s="1209" t="s">
        <v>2</v>
      </c>
      <c r="B4" s="647"/>
      <c r="C4" s="1210" t="s">
        <v>3</v>
      </c>
      <c r="D4" s="1209" t="s">
        <v>237</v>
      </c>
      <c r="E4" s="1209"/>
      <c r="F4" s="1209"/>
      <c r="G4" s="1209"/>
      <c r="H4" s="1209"/>
      <c r="I4" s="1209"/>
      <c r="J4" s="1209"/>
      <c r="K4" s="1209"/>
      <c r="L4" s="1209"/>
      <c r="M4" s="1209"/>
    </row>
    <row r="5" spans="1:13" ht="44.25" customHeight="1" x14ac:dyDescent="0.35">
      <c r="A5" s="1209"/>
      <c r="B5" s="647"/>
      <c r="C5" s="1210"/>
      <c r="D5" s="883" t="s">
        <v>828</v>
      </c>
      <c r="E5" s="883" t="s">
        <v>829</v>
      </c>
      <c r="F5" s="883" t="s">
        <v>821</v>
      </c>
      <c r="G5" s="883" t="s">
        <v>927</v>
      </c>
      <c r="H5" s="1"/>
      <c r="I5" s="1"/>
      <c r="J5" s="447"/>
      <c r="K5" s="906" t="s">
        <v>1023</v>
      </c>
      <c r="L5" s="906" t="s">
        <v>679</v>
      </c>
      <c r="M5" s="907" t="s">
        <v>673</v>
      </c>
    </row>
    <row r="6" spans="1:13" ht="26.5" x14ac:dyDescent="0.35">
      <c r="A6" s="603" t="s">
        <v>5</v>
      </c>
      <c r="B6" s="603"/>
      <c r="C6" s="127" t="s">
        <v>6</v>
      </c>
      <c r="D6" s="604"/>
      <c r="E6" s="604"/>
      <c r="F6" s="604"/>
      <c r="G6" s="604"/>
      <c r="H6" s="1">
        <v>712608</v>
      </c>
      <c r="I6" s="504">
        <f>F6+H6</f>
        <v>712608</v>
      </c>
      <c r="J6" s="447">
        <v>712608</v>
      </c>
      <c r="K6" s="504">
        <f>L6-G6</f>
        <v>0</v>
      </c>
      <c r="L6" s="1"/>
      <c r="M6" s="1"/>
    </row>
    <row r="7" spans="1:13" ht="26.5" hidden="1" x14ac:dyDescent="0.35">
      <c r="A7" s="603" t="s">
        <v>242</v>
      </c>
      <c r="B7" s="603"/>
      <c r="C7" s="127" t="s">
        <v>12</v>
      </c>
      <c r="D7" s="604"/>
      <c r="E7" s="604"/>
      <c r="F7" s="604"/>
      <c r="G7" s="604"/>
      <c r="H7" s="1"/>
      <c r="I7" s="504">
        <f t="shared" ref="I7:I65" si="0">F7+H7</f>
        <v>0</v>
      </c>
      <c r="J7" s="447"/>
      <c r="K7" s="504">
        <f t="shared" ref="K7:K68" si="1">L7-G7</f>
        <v>0</v>
      </c>
      <c r="L7" s="1"/>
      <c r="M7" s="1"/>
    </row>
    <row r="8" spans="1:13" hidden="1" x14ac:dyDescent="0.35">
      <c r="A8" s="603" t="s">
        <v>13</v>
      </c>
      <c r="B8" s="603"/>
      <c r="C8" s="127" t="s">
        <v>14</v>
      </c>
      <c r="D8" s="604"/>
      <c r="E8" s="604"/>
      <c r="F8" s="604"/>
      <c r="G8" s="604"/>
      <c r="H8" s="1"/>
      <c r="I8" s="504">
        <f t="shared" si="0"/>
        <v>0</v>
      </c>
      <c r="J8" s="447"/>
      <c r="K8" s="504">
        <f t="shared" si="1"/>
        <v>0</v>
      </c>
      <c r="L8" s="1"/>
      <c r="M8" s="1"/>
    </row>
    <row r="9" spans="1:13" hidden="1" x14ac:dyDescent="0.35">
      <c r="A9" s="603" t="s">
        <v>15</v>
      </c>
      <c r="B9" s="603"/>
      <c r="C9" s="127" t="s">
        <v>16</v>
      </c>
      <c r="D9" s="604"/>
      <c r="E9" s="604"/>
      <c r="F9" s="604"/>
      <c r="G9" s="604"/>
      <c r="H9" s="1"/>
      <c r="I9" s="504">
        <f t="shared" si="0"/>
        <v>0</v>
      </c>
      <c r="J9" s="447"/>
      <c r="K9" s="504">
        <f t="shared" si="1"/>
        <v>0</v>
      </c>
      <c r="L9" s="1"/>
      <c r="M9" s="1"/>
    </row>
    <row r="10" spans="1:13" x14ac:dyDescent="0.35">
      <c r="A10" s="603" t="s">
        <v>243</v>
      </c>
      <c r="B10" s="603" t="s">
        <v>967</v>
      </c>
      <c r="C10" s="127" t="s">
        <v>18</v>
      </c>
      <c r="D10" s="604">
        <v>200000</v>
      </c>
      <c r="E10" s="604">
        <v>200000</v>
      </c>
      <c r="F10" s="605">
        <f>'Önkormányzat személyi'!C12</f>
        <v>200000</v>
      </c>
      <c r="G10" s="605">
        <v>200000</v>
      </c>
      <c r="H10" s="1"/>
      <c r="I10" s="504">
        <f t="shared" si="0"/>
        <v>200000</v>
      </c>
      <c r="J10" s="447"/>
      <c r="K10" s="504">
        <f t="shared" si="1"/>
        <v>-200000</v>
      </c>
      <c r="L10" s="1"/>
      <c r="M10" s="1"/>
    </row>
    <row r="11" spans="1:13" hidden="1" x14ac:dyDescent="0.35">
      <c r="A11" s="603" t="s">
        <v>244</v>
      </c>
      <c r="B11" s="603"/>
      <c r="C11" s="127" t="s">
        <v>22</v>
      </c>
      <c r="D11" s="604"/>
      <c r="E11" s="604">
        <v>0</v>
      </c>
      <c r="F11" s="605"/>
      <c r="G11" s="605"/>
      <c r="H11" s="1"/>
      <c r="I11" s="504">
        <f t="shared" si="0"/>
        <v>0</v>
      </c>
      <c r="J11" s="447"/>
      <c r="K11" s="504">
        <f t="shared" si="1"/>
        <v>0</v>
      </c>
      <c r="L11" s="1"/>
      <c r="M11" s="1"/>
    </row>
    <row r="12" spans="1:13" x14ac:dyDescent="0.35">
      <c r="A12" s="603" t="s">
        <v>245</v>
      </c>
      <c r="B12" s="603" t="s">
        <v>966</v>
      </c>
      <c r="C12" s="127" t="s">
        <v>24</v>
      </c>
      <c r="D12" s="604">
        <v>12000</v>
      </c>
      <c r="E12" s="604">
        <v>12000</v>
      </c>
      <c r="F12" s="605">
        <f>'Önkormányzat személyi'!C14</f>
        <v>12000</v>
      </c>
      <c r="G12" s="605">
        <v>12000</v>
      </c>
      <c r="H12" s="1"/>
      <c r="I12" s="504">
        <f t="shared" si="0"/>
        <v>12000</v>
      </c>
      <c r="J12" s="447"/>
      <c r="K12" s="504">
        <f t="shared" si="1"/>
        <v>-12000</v>
      </c>
      <c r="L12" s="1"/>
      <c r="M12" s="1"/>
    </row>
    <row r="13" spans="1:13" x14ac:dyDescent="0.35">
      <c r="A13" s="603" t="s">
        <v>246</v>
      </c>
      <c r="B13" s="603"/>
      <c r="C13" s="127" t="s">
        <v>30</v>
      </c>
      <c r="D13" s="604"/>
      <c r="E13" s="604">
        <v>0</v>
      </c>
      <c r="F13" s="604"/>
      <c r="G13" s="604">
        <v>0</v>
      </c>
      <c r="H13" s="1">
        <v>22507</v>
      </c>
      <c r="I13" s="504">
        <f t="shared" si="0"/>
        <v>22507</v>
      </c>
      <c r="J13" s="447">
        <v>22507</v>
      </c>
      <c r="K13" s="504">
        <f t="shared" si="1"/>
        <v>0</v>
      </c>
      <c r="L13" s="1"/>
      <c r="M13" s="1"/>
    </row>
    <row r="14" spans="1:13" ht="26.5" x14ac:dyDescent="0.35">
      <c r="A14" s="606" t="s">
        <v>247</v>
      </c>
      <c r="B14" s="606"/>
      <c r="C14" s="358" t="s">
        <v>32</v>
      </c>
      <c r="D14" s="601">
        <v>212000</v>
      </c>
      <c r="E14" s="604">
        <v>212000</v>
      </c>
      <c r="F14" s="601">
        <f>SUM(F6:F13)</f>
        <v>212000</v>
      </c>
      <c r="G14" s="601">
        <f>SUM(G6:G13)</f>
        <v>212000</v>
      </c>
      <c r="H14" s="601">
        <f t="shared" ref="H14:M14" si="2">SUM(H6:H13)</f>
        <v>735115</v>
      </c>
      <c r="I14" s="601">
        <f t="shared" si="2"/>
        <v>947115</v>
      </c>
      <c r="J14" s="601">
        <f t="shared" si="2"/>
        <v>735115</v>
      </c>
      <c r="K14" s="504">
        <f t="shared" si="1"/>
        <v>-212000</v>
      </c>
      <c r="L14" s="601">
        <f t="shared" si="2"/>
        <v>0</v>
      </c>
      <c r="M14" s="601">
        <f t="shared" si="2"/>
        <v>0</v>
      </c>
    </row>
    <row r="15" spans="1:13" x14ac:dyDescent="0.35">
      <c r="A15" s="603" t="s">
        <v>248</v>
      </c>
      <c r="B15" s="603"/>
      <c r="C15" s="127" t="s">
        <v>33</v>
      </c>
      <c r="D15" s="604">
        <v>7568508</v>
      </c>
      <c r="E15" s="604">
        <v>7568508</v>
      </c>
      <c r="F15" s="607">
        <f>'Önkormányzat személyi'!C17</f>
        <v>7568508</v>
      </c>
      <c r="G15" s="607">
        <v>7568508</v>
      </c>
      <c r="H15" s="1"/>
      <c r="I15" s="504">
        <f t="shared" si="0"/>
        <v>7568508</v>
      </c>
      <c r="J15" s="447">
        <v>6424611</v>
      </c>
      <c r="K15" s="504">
        <f t="shared" si="1"/>
        <v>634899</v>
      </c>
      <c r="L15" s="591">
        <v>8203407</v>
      </c>
      <c r="M15" s="591">
        <v>8203407</v>
      </c>
    </row>
    <row r="16" spans="1:13" ht="63.75" customHeight="1" x14ac:dyDescent="0.35">
      <c r="A16" s="603" t="s">
        <v>249</v>
      </c>
      <c r="B16" s="603"/>
      <c r="C16" s="127" t="s">
        <v>34</v>
      </c>
      <c r="D16" s="604"/>
      <c r="E16" s="604">
        <v>533492</v>
      </c>
      <c r="F16" s="604"/>
      <c r="G16" s="604"/>
      <c r="H16" s="1">
        <v>85000</v>
      </c>
      <c r="I16" s="504">
        <f t="shared" si="0"/>
        <v>85000</v>
      </c>
      <c r="J16" s="447">
        <v>81274</v>
      </c>
      <c r="K16" s="504">
        <f t="shared" si="1"/>
        <v>129480</v>
      </c>
      <c r="L16" s="591">
        <v>129480</v>
      </c>
      <c r="M16" s="591">
        <v>129480</v>
      </c>
    </row>
    <row r="17" spans="1:13" ht="26.25" customHeight="1" x14ac:dyDescent="0.35">
      <c r="A17" s="603" t="s">
        <v>409</v>
      </c>
      <c r="B17" s="603"/>
      <c r="C17" s="127" t="s">
        <v>35</v>
      </c>
      <c r="D17" s="604"/>
      <c r="E17" s="604">
        <v>77900</v>
      </c>
      <c r="F17" s="604"/>
      <c r="G17" s="604"/>
      <c r="H17" s="1">
        <v>145000</v>
      </c>
      <c r="I17" s="504">
        <f t="shared" si="0"/>
        <v>145000</v>
      </c>
      <c r="J17" s="447">
        <v>143300</v>
      </c>
      <c r="K17" s="504">
        <f t="shared" si="1"/>
        <v>35294</v>
      </c>
      <c r="L17" s="1">
        <v>35294</v>
      </c>
      <c r="M17" s="1">
        <v>35294</v>
      </c>
    </row>
    <row r="18" spans="1:13" x14ac:dyDescent="0.35">
      <c r="A18" s="606" t="s">
        <v>251</v>
      </c>
      <c r="B18" s="606"/>
      <c r="C18" s="358" t="s">
        <v>37</v>
      </c>
      <c r="D18" s="601">
        <v>7568508</v>
      </c>
      <c r="E18" s="604">
        <v>7568508</v>
      </c>
      <c r="F18" s="601">
        <f>SUM(F15:F16)</f>
        <v>7568508</v>
      </c>
      <c r="G18" s="601">
        <f>SUM(G15:G17)</f>
        <v>7568508</v>
      </c>
      <c r="H18" s="601">
        <f t="shared" ref="H18:M18" si="3">SUM(H15:H17)</f>
        <v>230000</v>
      </c>
      <c r="I18" s="601">
        <f t="shared" si="3"/>
        <v>7798508</v>
      </c>
      <c r="J18" s="601">
        <f t="shared" si="3"/>
        <v>6649185</v>
      </c>
      <c r="K18" s="504">
        <f t="shared" si="1"/>
        <v>799673</v>
      </c>
      <c r="L18" s="601">
        <f t="shared" si="3"/>
        <v>8368181</v>
      </c>
      <c r="M18" s="601">
        <f t="shared" si="3"/>
        <v>8368181</v>
      </c>
    </row>
    <row r="19" spans="1:13" x14ac:dyDescent="0.35">
      <c r="A19" s="606" t="s">
        <v>252</v>
      </c>
      <c r="B19" s="606"/>
      <c r="C19" s="358" t="s">
        <v>39</v>
      </c>
      <c r="D19" s="601">
        <v>7780508</v>
      </c>
      <c r="E19" s="604">
        <v>7780508</v>
      </c>
      <c r="F19" s="601">
        <f>F18+F14</f>
        <v>7780508</v>
      </c>
      <c r="G19" s="601">
        <f>SUM(G18,G14)</f>
        <v>7780508</v>
      </c>
      <c r="H19" s="601">
        <f t="shared" ref="H19:M19" si="4">SUM(H18,H14)</f>
        <v>965115</v>
      </c>
      <c r="I19" s="601">
        <f t="shared" si="4"/>
        <v>8745623</v>
      </c>
      <c r="J19" s="601">
        <f t="shared" si="4"/>
        <v>7384300</v>
      </c>
      <c r="K19" s="504">
        <f t="shared" si="1"/>
        <v>587673</v>
      </c>
      <c r="L19" s="601">
        <f t="shared" si="4"/>
        <v>8368181</v>
      </c>
      <c r="M19" s="601">
        <f t="shared" si="4"/>
        <v>8368181</v>
      </c>
    </row>
    <row r="20" spans="1:13" s="530" customFormat="1" ht="26.5" x14ac:dyDescent="0.35">
      <c r="A20" s="606" t="s">
        <v>253</v>
      </c>
      <c r="B20" s="606"/>
      <c r="C20" s="358" t="s">
        <v>41</v>
      </c>
      <c r="D20" s="601">
        <v>1461760</v>
      </c>
      <c r="E20" s="601">
        <v>1461760</v>
      </c>
      <c r="F20" s="601">
        <f>'Önkormányzat személyi'!C22</f>
        <v>1461760</v>
      </c>
      <c r="G20" s="601">
        <f>SUM(G15,G6)*0.175+100000</f>
        <v>1424488.9</v>
      </c>
      <c r="H20" s="601">
        <f t="shared" ref="H20:J20" si="5">SUM(H15,H6)*0.175+100000</f>
        <v>224706.4</v>
      </c>
      <c r="I20" s="601">
        <f t="shared" si="5"/>
        <v>1549195.2999999998</v>
      </c>
      <c r="J20" s="601">
        <f t="shared" si="5"/>
        <v>1349013.325</v>
      </c>
      <c r="K20" s="504">
        <f t="shared" si="1"/>
        <v>-100133.89999999991</v>
      </c>
      <c r="L20" s="592">
        <v>1324355</v>
      </c>
      <c r="M20" s="592">
        <v>1324355</v>
      </c>
    </row>
    <row r="21" spans="1:13" s="708" customFormat="1" x14ac:dyDescent="0.35">
      <c r="A21" s="126" t="s">
        <v>268</v>
      </c>
      <c r="B21" s="126"/>
      <c r="C21" s="81" t="s">
        <v>44</v>
      </c>
      <c r="D21" s="760">
        <v>50000</v>
      </c>
      <c r="E21" s="760">
        <v>50000</v>
      </c>
      <c r="F21" s="760">
        <f>SUM(F22:F22)</f>
        <v>0</v>
      </c>
      <c r="G21" s="760"/>
      <c r="H21" s="722"/>
      <c r="I21" s="761">
        <f t="shared" si="0"/>
        <v>0</v>
      </c>
      <c r="J21" s="762"/>
      <c r="K21" s="504">
        <f t="shared" si="1"/>
        <v>23654</v>
      </c>
      <c r="L21" s="591">
        <v>23654</v>
      </c>
      <c r="M21" s="591">
        <v>23654</v>
      </c>
    </row>
    <row r="22" spans="1:13" s="708" customFormat="1" hidden="1" x14ac:dyDescent="0.35">
      <c r="A22" s="329" t="s">
        <v>272</v>
      </c>
      <c r="B22" s="329"/>
      <c r="C22" s="81"/>
      <c r="D22" s="604">
        <v>50000</v>
      </c>
      <c r="E22" s="604">
        <v>0</v>
      </c>
      <c r="F22" s="604">
        <v>0</v>
      </c>
      <c r="G22" s="604"/>
      <c r="H22" s="722"/>
      <c r="I22" s="761">
        <f t="shared" si="0"/>
        <v>0</v>
      </c>
      <c r="J22" s="762"/>
      <c r="K22" s="504">
        <f t="shared" si="1"/>
        <v>0</v>
      </c>
      <c r="L22" s="722"/>
      <c r="M22" s="722"/>
    </row>
    <row r="23" spans="1:13" s="708" customFormat="1" x14ac:dyDescent="0.35">
      <c r="A23" s="126" t="s">
        <v>273</v>
      </c>
      <c r="B23" s="126"/>
      <c r="C23" s="81" t="s">
        <v>50</v>
      </c>
      <c r="D23" s="760">
        <v>175000</v>
      </c>
      <c r="E23" s="604">
        <v>175000</v>
      </c>
      <c r="F23" s="760">
        <f>SUM(F24:F25)</f>
        <v>175000</v>
      </c>
      <c r="G23" s="760">
        <v>175000</v>
      </c>
      <c r="H23" s="722"/>
      <c r="I23" s="761">
        <f t="shared" si="0"/>
        <v>175000</v>
      </c>
      <c r="J23" s="762">
        <v>135816</v>
      </c>
      <c r="K23" s="504">
        <f t="shared" si="1"/>
        <v>108464</v>
      </c>
      <c r="L23" s="591">
        <v>283464</v>
      </c>
      <c r="M23" s="591">
        <v>283464</v>
      </c>
    </row>
    <row r="24" spans="1:13" s="708" customFormat="1" hidden="1" x14ac:dyDescent="0.35">
      <c r="A24" s="329" t="s">
        <v>274</v>
      </c>
      <c r="B24" s="329"/>
      <c r="C24" s="81"/>
      <c r="D24" s="604">
        <v>50000</v>
      </c>
      <c r="E24" s="604">
        <v>50000</v>
      </c>
      <c r="F24" s="604">
        <v>50000</v>
      </c>
      <c r="G24" s="604"/>
      <c r="H24" s="722"/>
      <c r="I24" s="761">
        <f t="shared" si="0"/>
        <v>50000</v>
      </c>
      <c r="J24" s="762"/>
      <c r="K24" s="504">
        <f t="shared" si="1"/>
        <v>0</v>
      </c>
      <c r="L24" s="722"/>
      <c r="M24" s="722"/>
    </row>
    <row r="25" spans="1:13" s="708" customFormat="1" hidden="1" x14ac:dyDescent="0.35">
      <c r="A25" s="329" t="s">
        <v>524</v>
      </c>
      <c r="B25" s="329"/>
      <c r="C25" s="81"/>
      <c r="D25" s="604">
        <v>125000</v>
      </c>
      <c r="E25" s="604">
        <v>125000</v>
      </c>
      <c r="F25" s="604">
        <v>125000</v>
      </c>
      <c r="G25" s="604"/>
      <c r="H25" s="722"/>
      <c r="I25" s="761">
        <f t="shared" si="0"/>
        <v>125000</v>
      </c>
      <c r="J25" s="762"/>
      <c r="K25" s="504">
        <f t="shared" si="1"/>
        <v>0</v>
      </c>
      <c r="L25" s="722"/>
      <c r="M25" s="722"/>
    </row>
    <row r="26" spans="1:13" s="708" customFormat="1" x14ac:dyDescent="0.35">
      <c r="A26" s="126" t="s">
        <v>279</v>
      </c>
      <c r="B26" s="126"/>
      <c r="C26" s="81" t="s">
        <v>280</v>
      </c>
      <c r="D26" s="604">
        <v>0</v>
      </c>
      <c r="E26" s="604">
        <v>0</v>
      </c>
      <c r="F26" s="604">
        <v>0</v>
      </c>
      <c r="G26" s="604"/>
      <c r="H26" s="722"/>
      <c r="I26" s="761">
        <f t="shared" si="0"/>
        <v>0</v>
      </c>
      <c r="J26" s="762"/>
      <c r="K26" s="504">
        <f t="shared" si="1"/>
        <v>0</v>
      </c>
      <c r="L26" s="722"/>
      <c r="M26" s="722"/>
    </row>
    <row r="27" spans="1:13" s="530" customFormat="1" x14ac:dyDescent="0.35">
      <c r="A27" s="333" t="s">
        <v>281</v>
      </c>
      <c r="B27" s="333"/>
      <c r="C27" s="117" t="s">
        <v>58</v>
      </c>
      <c r="D27" s="602">
        <v>225000</v>
      </c>
      <c r="E27" s="601">
        <v>225000</v>
      </c>
      <c r="F27" s="602">
        <f>SUM(F23,F21,F26)</f>
        <v>175000</v>
      </c>
      <c r="G27" s="602">
        <f>SUM(G21:G26)</f>
        <v>175000</v>
      </c>
      <c r="H27" s="602">
        <f t="shared" ref="H27:M27" si="6">SUM(H21:H26)</f>
        <v>0</v>
      </c>
      <c r="I27" s="602">
        <f t="shared" si="6"/>
        <v>350000</v>
      </c>
      <c r="J27" s="602">
        <f t="shared" si="6"/>
        <v>135816</v>
      </c>
      <c r="K27" s="504">
        <f t="shared" si="1"/>
        <v>132118</v>
      </c>
      <c r="L27" s="602">
        <f t="shared" si="6"/>
        <v>307118</v>
      </c>
      <c r="M27" s="602">
        <f t="shared" si="6"/>
        <v>307118</v>
      </c>
    </row>
    <row r="28" spans="1:13" s="708" customFormat="1" ht="26" x14ac:dyDescent="0.35">
      <c r="A28" s="126" t="s">
        <v>282</v>
      </c>
      <c r="B28" s="126"/>
      <c r="C28" s="81" t="s">
        <v>60</v>
      </c>
      <c r="D28" s="604">
        <v>240000</v>
      </c>
      <c r="E28" s="604">
        <v>240000</v>
      </c>
      <c r="F28" s="604">
        <f>SUM(F29:F30)</f>
        <v>810000</v>
      </c>
      <c r="G28" s="604">
        <v>50000</v>
      </c>
      <c r="H28" s="722"/>
      <c r="I28" s="761">
        <f t="shared" si="0"/>
        <v>810000</v>
      </c>
      <c r="J28" s="762">
        <v>40000</v>
      </c>
      <c r="K28" s="504">
        <f t="shared" si="1"/>
        <v>-35100</v>
      </c>
      <c r="L28" s="722">
        <v>14900</v>
      </c>
      <c r="M28" s="722">
        <v>14900</v>
      </c>
    </row>
    <row r="29" spans="1:13" s="708" customFormat="1" ht="39" hidden="1" x14ac:dyDescent="0.35">
      <c r="A29" s="329" t="s">
        <v>525</v>
      </c>
      <c r="B29" s="329"/>
      <c r="C29" s="81"/>
      <c r="D29" s="604">
        <v>240000</v>
      </c>
      <c r="E29" s="604">
        <v>240000</v>
      </c>
      <c r="F29" s="604">
        <v>360000</v>
      </c>
      <c r="G29" s="604"/>
      <c r="H29" s="722"/>
      <c r="I29" s="761">
        <f t="shared" si="0"/>
        <v>360000</v>
      </c>
      <c r="J29" s="762"/>
      <c r="K29" s="504">
        <f t="shared" si="1"/>
        <v>0</v>
      </c>
      <c r="L29" s="722"/>
      <c r="M29" s="722"/>
    </row>
    <row r="30" spans="1:13" s="708" customFormat="1" ht="26" hidden="1" x14ac:dyDescent="0.35">
      <c r="A30" s="329" t="s">
        <v>688</v>
      </c>
      <c r="B30" s="329"/>
      <c r="C30" s="81"/>
      <c r="D30" s="604"/>
      <c r="E30" s="604"/>
      <c r="F30" s="604">
        <v>450000</v>
      </c>
      <c r="G30" s="604"/>
      <c r="H30" s="722"/>
      <c r="I30" s="761">
        <f t="shared" si="0"/>
        <v>450000</v>
      </c>
      <c r="J30" s="762"/>
      <c r="K30" s="504">
        <f t="shared" si="1"/>
        <v>0</v>
      </c>
      <c r="L30" s="722"/>
      <c r="M30" s="722"/>
    </row>
    <row r="31" spans="1:13" s="708" customFormat="1" x14ac:dyDescent="0.35">
      <c r="A31" s="126" t="s">
        <v>287</v>
      </c>
      <c r="B31" s="126"/>
      <c r="C31" s="81" t="s">
        <v>64</v>
      </c>
      <c r="D31" s="760">
        <v>22000</v>
      </c>
      <c r="E31" s="604">
        <v>22000</v>
      </c>
      <c r="F31" s="760">
        <f>SUM(F32:F32)</f>
        <v>22000</v>
      </c>
      <c r="G31" s="760">
        <v>0</v>
      </c>
      <c r="H31" s="722"/>
      <c r="I31" s="761">
        <f t="shared" si="0"/>
        <v>22000</v>
      </c>
      <c r="J31" s="762"/>
      <c r="K31" s="504">
        <f t="shared" si="1"/>
        <v>8247</v>
      </c>
      <c r="L31" s="591">
        <v>8247</v>
      </c>
      <c r="M31" s="591">
        <v>8247</v>
      </c>
    </row>
    <row r="32" spans="1:13" ht="26" hidden="1" x14ac:dyDescent="0.35">
      <c r="A32" s="329" t="s">
        <v>526</v>
      </c>
      <c r="B32" s="329"/>
      <c r="C32" s="81"/>
      <c r="D32" s="604">
        <v>22000</v>
      </c>
      <c r="E32" s="604">
        <v>22000</v>
      </c>
      <c r="F32" s="604">
        <v>22000</v>
      </c>
      <c r="G32" s="604"/>
      <c r="H32" s="1"/>
      <c r="I32" s="504">
        <f t="shared" si="0"/>
        <v>22000</v>
      </c>
      <c r="J32" s="447"/>
      <c r="K32" s="504">
        <f t="shared" si="1"/>
        <v>0</v>
      </c>
      <c r="L32" s="1"/>
      <c r="M32" s="1"/>
    </row>
    <row r="33" spans="1:13" x14ac:dyDescent="0.35">
      <c r="A33" s="333" t="s">
        <v>68</v>
      </c>
      <c r="B33" s="333"/>
      <c r="C33" s="117" t="s">
        <v>69</v>
      </c>
      <c r="D33" s="602">
        <v>262000</v>
      </c>
      <c r="E33" s="604">
        <v>262000</v>
      </c>
      <c r="F33" s="602">
        <f>SUM(F28,F31)</f>
        <v>832000</v>
      </c>
      <c r="G33" s="602">
        <f>SUM(G28:G31)</f>
        <v>50000</v>
      </c>
      <c r="H33" s="602">
        <f t="shared" ref="H33:M33" si="7">SUM(H28:H31)</f>
        <v>0</v>
      </c>
      <c r="I33" s="602">
        <f t="shared" si="7"/>
        <v>1642000</v>
      </c>
      <c r="J33" s="602">
        <f t="shared" si="7"/>
        <v>40000</v>
      </c>
      <c r="K33" s="504">
        <f t="shared" si="1"/>
        <v>-26853</v>
      </c>
      <c r="L33" s="602">
        <f t="shared" si="7"/>
        <v>23147</v>
      </c>
      <c r="M33" s="602">
        <f t="shared" si="7"/>
        <v>23147</v>
      </c>
    </row>
    <row r="34" spans="1:13" s="708" customFormat="1" x14ac:dyDescent="0.35">
      <c r="A34" s="126" t="s">
        <v>290</v>
      </c>
      <c r="B34" s="126"/>
      <c r="C34" s="81" t="s">
        <v>71</v>
      </c>
      <c r="D34" s="760">
        <v>220000</v>
      </c>
      <c r="E34" s="604">
        <v>220000</v>
      </c>
      <c r="F34" s="760">
        <f t="shared" ref="F34" si="8">SUM(F35:F37)</f>
        <v>0</v>
      </c>
      <c r="G34" s="760"/>
      <c r="H34" s="722"/>
      <c r="I34" s="761">
        <f t="shared" si="0"/>
        <v>0</v>
      </c>
      <c r="J34" s="762">
        <v>81836</v>
      </c>
      <c r="K34" s="504">
        <f t="shared" si="1"/>
        <v>0</v>
      </c>
      <c r="L34" s="722">
        <v>0</v>
      </c>
      <c r="M34" s="722">
        <v>0</v>
      </c>
    </row>
    <row r="35" spans="1:13" s="708" customFormat="1" hidden="1" x14ac:dyDescent="0.35">
      <c r="A35" s="329" t="s">
        <v>291</v>
      </c>
      <c r="B35" s="329"/>
      <c r="C35" s="81"/>
      <c r="D35" s="604">
        <v>0</v>
      </c>
      <c r="E35" s="604">
        <v>0</v>
      </c>
      <c r="F35" s="604">
        <v>0</v>
      </c>
      <c r="G35" s="604"/>
      <c r="H35" s="722"/>
      <c r="I35" s="761">
        <f t="shared" si="0"/>
        <v>0</v>
      </c>
      <c r="J35" s="762"/>
      <c r="K35" s="504">
        <f t="shared" si="1"/>
        <v>0</v>
      </c>
      <c r="L35" s="722"/>
      <c r="M35" s="722"/>
    </row>
    <row r="36" spans="1:13" s="708" customFormat="1" hidden="1" x14ac:dyDescent="0.35">
      <c r="A36" s="329" t="s">
        <v>292</v>
      </c>
      <c r="B36" s="329"/>
      <c r="C36" s="81"/>
      <c r="D36" s="604">
        <v>220000</v>
      </c>
      <c r="E36" s="604">
        <v>220000</v>
      </c>
      <c r="F36" s="604">
        <v>0</v>
      </c>
      <c r="G36" s="604"/>
      <c r="H36" s="722"/>
      <c r="I36" s="761">
        <f t="shared" si="0"/>
        <v>0</v>
      </c>
      <c r="J36" s="762"/>
      <c r="K36" s="504">
        <f t="shared" si="1"/>
        <v>0</v>
      </c>
      <c r="L36" s="722"/>
      <c r="M36" s="722"/>
    </row>
    <row r="37" spans="1:13" s="708" customFormat="1" hidden="1" x14ac:dyDescent="0.35">
      <c r="A37" s="329" t="s">
        <v>293</v>
      </c>
      <c r="B37" s="329"/>
      <c r="C37" s="81"/>
      <c r="D37" s="604">
        <v>0</v>
      </c>
      <c r="E37" s="604">
        <v>0</v>
      </c>
      <c r="F37" s="604">
        <v>0</v>
      </c>
      <c r="G37" s="604"/>
      <c r="H37" s="722"/>
      <c r="I37" s="761">
        <f t="shared" si="0"/>
        <v>0</v>
      </c>
      <c r="J37" s="762"/>
      <c r="K37" s="504">
        <f t="shared" si="1"/>
        <v>0</v>
      </c>
      <c r="L37" s="722"/>
      <c r="M37" s="722"/>
    </row>
    <row r="38" spans="1:13" s="708" customFormat="1" hidden="1" x14ac:dyDescent="0.35">
      <c r="A38" s="126" t="s">
        <v>294</v>
      </c>
      <c r="B38" s="126"/>
      <c r="C38" s="81" t="s">
        <v>76</v>
      </c>
      <c r="D38" s="604"/>
      <c r="E38" s="604">
        <v>0</v>
      </c>
      <c r="F38" s="604"/>
      <c r="G38" s="604"/>
      <c r="H38" s="722"/>
      <c r="I38" s="761">
        <f t="shared" si="0"/>
        <v>0</v>
      </c>
      <c r="J38" s="762"/>
      <c r="K38" s="504">
        <f t="shared" si="1"/>
        <v>0</v>
      </c>
      <c r="L38" s="722"/>
      <c r="M38" s="722"/>
    </row>
    <row r="39" spans="1:13" s="708" customFormat="1" hidden="1" x14ac:dyDescent="0.35">
      <c r="A39" s="126" t="s">
        <v>295</v>
      </c>
      <c r="B39" s="126"/>
      <c r="C39" s="81" t="s">
        <v>79</v>
      </c>
      <c r="D39" s="604"/>
      <c r="E39" s="604">
        <v>0</v>
      </c>
      <c r="F39" s="604"/>
      <c r="G39" s="604"/>
      <c r="H39" s="722"/>
      <c r="I39" s="761">
        <f t="shared" si="0"/>
        <v>0</v>
      </c>
      <c r="J39" s="762"/>
      <c r="K39" s="504">
        <f t="shared" si="1"/>
        <v>0</v>
      </c>
      <c r="L39" s="722"/>
      <c r="M39" s="722"/>
    </row>
    <row r="40" spans="1:13" s="708" customFormat="1" ht="39" x14ac:dyDescent="0.35">
      <c r="A40" s="126" t="s">
        <v>527</v>
      </c>
      <c r="B40" s="126" t="s">
        <v>996</v>
      </c>
      <c r="C40" s="81" t="s">
        <v>80</v>
      </c>
      <c r="D40" s="604">
        <v>120000</v>
      </c>
      <c r="E40" s="604">
        <v>120000</v>
      </c>
      <c r="F40" s="604">
        <v>120000</v>
      </c>
      <c r="G40" s="604">
        <v>100000</v>
      </c>
      <c r="H40" s="722"/>
      <c r="I40" s="761">
        <f t="shared" si="0"/>
        <v>120000</v>
      </c>
      <c r="J40" s="762">
        <v>500000</v>
      </c>
      <c r="K40" s="504">
        <f t="shared" si="1"/>
        <v>-100000</v>
      </c>
      <c r="L40" s="722"/>
      <c r="M40" s="722"/>
    </row>
    <row r="41" spans="1:13" s="708" customFormat="1" x14ac:dyDescent="0.35">
      <c r="A41" s="126" t="s">
        <v>81</v>
      </c>
      <c r="B41" s="126"/>
      <c r="C41" s="81" t="s">
        <v>82</v>
      </c>
      <c r="D41" s="604"/>
      <c r="E41" s="604">
        <v>0</v>
      </c>
      <c r="F41" s="604"/>
      <c r="G41" s="604"/>
      <c r="H41" s="722"/>
      <c r="I41" s="761">
        <f t="shared" si="0"/>
        <v>0</v>
      </c>
      <c r="J41" s="762"/>
      <c r="K41" s="504">
        <f t="shared" si="1"/>
        <v>745</v>
      </c>
      <c r="L41" s="722">
        <v>745</v>
      </c>
      <c r="M41" s="722">
        <v>745</v>
      </c>
    </row>
    <row r="42" spans="1:13" s="708" customFormat="1" ht="52" x14ac:dyDescent="0.35">
      <c r="A42" s="126" t="s">
        <v>296</v>
      </c>
      <c r="B42" s="126" t="s">
        <v>1011</v>
      </c>
      <c r="C42" s="81" t="s">
        <v>84</v>
      </c>
      <c r="D42" s="760">
        <v>1100000</v>
      </c>
      <c r="E42" s="604">
        <v>1100000</v>
      </c>
      <c r="F42" s="760">
        <f>SUM(F43:F44)</f>
        <v>3650000</v>
      </c>
      <c r="G42" s="760">
        <f>3414000+460000</f>
        <v>3874000</v>
      </c>
      <c r="H42" s="722">
        <f>700000-150000</f>
        <v>550000</v>
      </c>
      <c r="I42" s="761">
        <f t="shared" si="0"/>
        <v>4200000</v>
      </c>
      <c r="J42" s="762">
        <v>4295471</v>
      </c>
      <c r="K42" s="504">
        <f t="shared" si="1"/>
        <v>736000</v>
      </c>
      <c r="L42" s="722">
        <v>4610000</v>
      </c>
      <c r="M42" s="591">
        <v>4610000</v>
      </c>
    </row>
    <row r="43" spans="1:13" s="708" customFormat="1" ht="26" hidden="1" x14ac:dyDescent="0.35">
      <c r="A43" s="329" t="s">
        <v>528</v>
      </c>
      <c r="B43" s="329"/>
      <c r="C43" s="81"/>
      <c r="D43" s="604">
        <v>450000</v>
      </c>
      <c r="E43" s="604">
        <v>450000</v>
      </c>
      <c r="F43" s="604">
        <v>3000000</v>
      </c>
      <c r="G43" s="604"/>
      <c r="H43" s="722"/>
      <c r="I43" s="761">
        <f t="shared" si="0"/>
        <v>3000000</v>
      </c>
      <c r="J43" s="762"/>
      <c r="K43" s="504">
        <f t="shared" si="1"/>
        <v>0</v>
      </c>
      <c r="L43" s="722"/>
      <c r="M43" s="722"/>
    </row>
    <row r="44" spans="1:13" s="708" customFormat="1" hidden="1" x14ac:dyDescent="0.35">
      <c r="A44" s="329" t="s">
        <v>560</v>
      </c>
      <c r="B44" s="329"/>
      <c r="C44" s="81"/>
      <c r="D44" s="604">
        <v>650000</v>
      </c>
      <c r="E44" s="604">
        <v>650000</v>
      </c>
      <c r="F44" s="604">
        <v>650000</v>
      </c>
      <c r="G44" s="604"/>
      <c r="H44" s="722"/>
      <c r="I44" s="761">
        <f t="shared" si="0"/>
        <v>650000</v>
      </c>
      <c r="J44" s="762"/>
      <c r="K44" s="504">
        <f t="shared" si="1"/>
        <v>0</v>
      </c>
      <c r="L44" s="722"/>
      <c r="M44" s="722"/>
    </row>
    <row r="45" spans="1:13" s="708" customFormat="1" ht="26" x14ac:dyDescent="0.35">
      <c r="A45" s="126" t="s">
        <v>298</v>
      </c>
      <c r="B45" s="126" t="s">
        <v>997</v>
      </c>
      <c r="C45" s="81" t="s">
        <v>88</v>
      </c>
      <c r="D45" s="760">
        <v>1640000</v>
      </c>
      <c r="E45" s="604">
        <v>1640000</v>
      </c>
      <c r="F45" s="760">
        <f>SUM(F46:F49)</f>
        <v>3204000</v>
      </c>
      <c r="G45" s="760">
        <v>1000000</v>
      </c>
      <c r="H45" s="722"/>
      <c r="I45" s="761">
        <f t="shared" si="0"/>
        <v>3204000</v>
      </c>
      <c r="J45" s="762">
        <f>1359435+641+200000+600000</f>
        <v>2160076</v>
      </c>
      <c r="K45" s="504">
        <f t="shared" si="1"/>
        <v>2463065</v>
      </c>
      <c r="L45" s="722">
        <v>3463065</v>
      </c>
      <c r="M45" s="591">
        <v>3463065</v>
      </c>
    </row>
    <row r="46" spans="1:13" ht="26" hidden="1" x14ac:dyDescent="0.35">
      <c r="A46" s="329" t="s">
        <v>529</v>
      </c>
      <c r="B46" s="329"/>
      <c r="C46" s="132"/>
      <c r="D46" s="604">
        <v>1200000</v>
      </c>
      <c r="E46" s="604">
        <v>1200000</v>
      </c>
      <c r="F46" s="604">
        <v>1800000</v>
      </c>
      <c r="G46" s="604"/>
      <c r="H46" s="1"/>
      <c r="I46" s="504">
        <f t="shared" si="0"/>
        <v>1800000</v>
      </c>
      <c r="J46" s="447"/>
      <c r="K46" s="504">
        <f t="shared" si="1"/>
        <v>0</v>
      </c>
      <c r="L46" s="1"/>
      <c r="M46" s="1"/>
    </row>
    <row r="47" spans="1:13" ht="26" hidden="1" x14ac:dyDescent="0.35">
      <c r="A47" s="329" t="s">
        <v>530</v>
      </c>
      <c r="B47" s="329"/>
      <c r="C47" s="132"/>
      <c r="D47" s="604">
        <v>40000</v>
      </c>
      <c r="E47" s="604">
        <v>40000</v>
      </c>
      <c r="F47" s="604">
        <v>144000</v>
      </c>
      <c r="G47" s="604"/>
      <c r="H47" s="1"/>
      <c r="I47" s="504">
        <f t="shared" si="0"/>
        <v>144000</v>
      </c>
      <c r="J47" s="447"/>
      <c r="K47" s="504">
        <f t="shared" si="1"/>
        <v>0</v>
      </c>
      <c r="L47" s="1"/>
      <c r="M47" s="1"/>
    </row>
    <row r="48" spans="1:13" hidden="1" x14ac:dyDescent="0.35">
      <c r="A48" s="329" t="s">
        <v>531</v>
      </c>
      <c r="B48" s="329"/>
      <c r="C48" s="132"/>
      <c r="D48" s="604">
        <v>400000</v>
      </c>
      <c r="E48" s="604">
        <v>400000</v>
      </c>
      <c r="F48" s="604">
        <v>400000</v>
      </c>
      <c r="G48" s="604"/>
      <c r="H48" s="1"/>
      <c r="I48" s="504">
        <f t="shared" si="0"/>
        <v>400000</v>
      </c>
      <c r="J48" s="447"/>
      <c r="K48" s="504">
        <f t="shared" si="1"/>
        <v>0</v>
      </c>
      <c r="L48" s="1"/>
      <c r="M48" s="1"/>
    </row>
    <row r="49" spans="1:13" ht="26" hidden="1" x14ac:dyDescent="0.35">
      <c r="A49" s="329" t="s">
        <v>813</v>
      </c>
      <c r="B49" s="329"/>
      <c r="C49" s="132"/>
      <c r="D49" s="604"/>
      <c r="E49" s="604">
        <v>50000</v>
      </c>
      <c r="F49" s="604">
        <v>860000</v>
      </c>
      <c r="G49" s="604"/>
      <c r="H49" s="1"/>
      <c r="I49" s="504">
        <f t="shared" si="0"/>
        <v>860000</v>
      </c>
      <c r="J49" s="447"/>
      <c r="K49" s="504">
        <f t="shared" si="1"/>
        <v>0</v>
      </c>
      <c r="L49" s="1"/>
      <c r="M49" s="1"/>
    </row>
    <row r="50" spans="1:13" x14ac:dyDescent="0.35">
      <c r="A50" s="333" t="s">
        <v>94</v>
      </c>
      <c r="B50" s="333"/>
      <c r="C50" s="117" t="s">
        <v>95</v>
      </c>
      <c r="D50" s="602">
        <v>3080000</v>
      </c>
      <c r="E50" s="604">
        <v>3080000</v>
      </c>
      <c r="F50" s="602">
        <f>SUM(F34,F38:F42,F45)</f>
        <v>6974000</v>
      </c>
      <c r="G50" s="602">
        <f>SUM(G42:G45,G40,G34)</f>
        <v>4974000</v>
      </c>
      <c r="H50" s="602">
        <f t="shared" ref="H50:J50" si="9">SUM(H42:H45,H40,H34)</f>
        <v>550000</v>
      </c>
      <c r="I50" s="602">
        <f t="shared" si="9"/>
        <v>11174000</v>
      </c>
      <c r="J50" s="602">
        <f t="shared" si="9"/>
        <v>7037383</v>
      </c>
      <c r="K50" s="504">
        <f t="shared" si="1"/>
        <v>3099810</v>
      </c>
      <c r="L50" s="602">
        <f>SUM(L42:L45,L40,L34,L41)</f>
        <v>8073810</v>
      </c>
      <c r="M50" s="602">
        <f>SUM(M42:M45,M40,M34,M41)</f>
        <v>8073810</v>
      </c>
    </row>
    <row r="51" spans="1:13" x14ac:dyDescent="0.35">
      <c r="A51" s="126" t="s">
        <v>305</v>
      </c>
      <c r="B51" s="126"/>
      <c r="C51" s="81" t="s">
        <v>97</v>
      </c>
      <c r="D51" s="604">
        <v>50000</v>
      </c>
      <c r="E51" s="604">
        <v>50000</v>
      </c>
      <c r="F51" s="604">
        <v>50000</v>
      </c>
      <c r="G51" s="604">
        <v>50000</v>
      </c>
      <c r="H51" s="1"/>
      <c r="I51" s="504">
        <f t="shared" si="0"/>
        <v>50000</v>
      </c>
      <c r="J51" s="447">
        <v>0</v>
      </c>
      <c r="K51" s="504">
        <f t="shared" si="1"/>
        <v>-50000</v>
      </c>
      <c r="L51" s="1"/>
      <c r="M51" s="1"/>
    </row>
    <row r="52" spans="1:13" x14ac:dyDescent="0.35">
      <c r="A52" s="126" t="s">
        <v>306</v>
      </c>
      <c r="B52" s="126"/>
      <c r="C52" s="81" t="s">
        <v>99</v>
      </c>
      <c r="D52" s="604">
        <v>20000</v>
      </c>
      <c r="E52" s="604">
        <v>20000</v>
      </c>
      <c r="F52" s="604">
        <v>20000</v>
      </c>
      <c r="G52" s="604">
        <v>20000</v>
      </c>
      <c r="H52" s="1">
        <v>30000</v>
      </c>
      <c r="I52" s="504">
        <f t="shared" si="0"/>
        <v>50000</v>
      </c>
      <c r="J52" s="447">
        <v>50000</v>
      </c>
      <c r="K52" s="504">
        <f t="shared" si="1"/>
        <v>-20000</v>
      </c>
      <c r="L52" s="1"/>
      <c r="M52" s="1"/>
    </row>
    <row r="53" spans="1:13" ht="26" x14ac:dyDescent="0.35">
      <c r="A53" s="333" t="s">
        <v>100</v>
      </c>
      <c r="B53" s="333"/>
      <c r="C53" s="117" t="s">
        <v>101</v>
      </c>
      <c r="D53" s="602">
        <v>70000</v>
      </c>
      <c r="E53" s="604">
        <v>70000</v>
      </c>
      <c r="F53" s="602">
        <f t="shared" ref="F53" si="10">SUM(F51:F52)</f>
        <v>70000</v>
      </c>
      <c r="G53" s="602">
        <f>SUM(G51:G52)</f>
        <v>70000</v>
      </c>
      <c r="H53" s="602">
        <f t="shared" ref="H53:M53" si="11">SUM(H51:H52)</f>
        <v>30000</v>
      </c>
      <c r="I53" s="602">
        <f t="shared" si="11"/>
        <v>100000</v>
      </c>
      <c r="J53" s="602">
        <f t="shared" si="11"/>
        <v>50000</v>
      </c>
      <c r="K53" s="504">
        <f t="shared" si="1"/>
        <v>-70000</v>
      </c>
      <c r="L53" s="602">
        <f t="shared" si="11"/>
        <v>0</v>
      </c>
      <c r="M53" s="602">
        <f t="shared" si="11"/>
        <v>0</v>
      </c>
    </row>
    <row r="54" spans="1:13" s="708" customFormat="1" ht="26" x14ac:dyDescent="0.35">
      <c r="A54" s="126" t="s">
        <v>307</v>
      </c>
      <c r="B54" s="126"/>
      <c r="C54" s="81" t="s">
        <v>103</v>
      </c>
      <c r="D54" s="760">
        <v>963090</v>
      </c>
      <c r="E54" s="604">
        <v>963090</v>
      </c>
      <c r="F54" s="760">
        <f>SUM(F55:F56)+90800</f>
        <v>1836890</v>
      </c>
      <c r="G54" s="760">
        <f>(SUM(G52,G40,G28)+660000+460000)*0.27</f>
        <v>348300</v>
      </c>
      <c r="H54" s="722"/>
      <c r="I54" s="761">
        <f t="shared" si="0"/>
        <v>1836890</v>
      </c>
      <c r="J54" s="762">
        <v>914438</v>
      </c>
      <c r="K54" s="504">
        <f t="shared" si="1"/>
        <v>580608</v>
      </c>
      <c r="L54" s="591">
        <v>928908</v>
      </c>
      <c r="M54" s="591">
        <v>928908</v>
      </c>
    </row>
    <row r="55" spans="1:13" s="708" customFormat="1" hidden="1" x14ac:dyDescent="0.35">
      <c r="A55" s="329" t="s">
        <v>308</v>
      </c>
      <c r="B55" s="329"/>
      <c r="C55" s="81"/>
      <c r="D55" s="604"/>
      <c r="E55" s="604">
        <v>0</v>
      </c>
      <c r="F55" s="604"/>
      <c r="G55" s="604"/>
      <c r="H55" s="722"/>
      <c r="I55" s="761">
        <f t="shared" si="0"/>
        <v>0</v>
      </c>
      <c r="J55" s="762"/>
      <c r="K55" s="504">
        <f t="shared" si="1"/>
        <v>0</v>
      </c>
      <c r="L55" s="722"/>
      <c r="M55" s="722"/>
    </row>
    <row r="56" spans="1:13" s="708" customFormat="1" hidden="1" x14ac:dyDescent="0.35">
      <c r="A56" s="329" t="s">
        <v>309</v>
      </c>
      <c r="B56" s="329"/>
      <c r="C56" s="81"/>
      <c r="D56" s="604">
        <v>963090</v>
      </c>
      <c r="E56" s="604">
        <v>963090</v>
      </c>
      <c r="F56" s="604">
        <f>(SUM(F53,F50,F33,F27)-1440000-144000)*0.27</f>
        <v>1746090</v>
      </c>
      <c r="G56" s="604"/>
      <c r="H56" s="722"/>
      <c r="I56" s="761">
        <f t="shared" si="0"/>
        <v>1746090</v>
      </c>
      <c r="J56" s="762"/>
      <c r="K56" s="504">
        <f t="shared" si="1"/>
        <v>0</v>
      </c>
      <c r="L56" s="722"/>
      <c r="M56" s="722"/>
    </row>
    <row r="57" spans="1:13" s="708" customFormat="1" x14ac:dyDescent="0.35">
      <c r="A57" s="126" t="s">
        <v>310</v>
      </c>
      <c r="B57" s="126"/>
      <c r="C57" s="81" t="s">
        <v>105</v>
      </c>
      <c r="D57" s="604">
        <v>0</v>
      </c>
      <c r="E57" s="604">
        <v>0</v>
      </c>
      <c r="F57" s="604">
        <v>0</v>
      </c>
      <c r="G57" s="604"/>
      <c r="H57" s="722"/>
      <c r="I57" s="761">
        <f t="shared" si="0"/>
        <v>0</v>
      </c>
      <c r="J57" s="762">
        <v>1436000</v>
      </c>
      <c r="K57" s="504">
        <f t="shared" si="1"/>
        <v>1020000</v>
      </c>
      <c r="L57" s="591">
        <v>1020000</v>
      </c>
      <c r="M57" s="591">
        <v>1020000</v>
      </c>
    </row>
    <row r="58" spans="1:13" s="708" customFormat="1" x14ac:dyDescent="0.35">
      <c r="A58" s="126" t="s">
        <v>106</v>
      </c>
      <c r="B58" s="126"/>
      <c r="C58" s="81" t="s">
        <v>107</v>
      </c>
      <c r="D58" s="604">
        <v>0</v>
      </c>
      <c r="E58" s="604">
        <v>0</v>
      </c>
      <c r="F58" s="604">
        <v>0</v>
      </c>
      <c r="G58" s="604"/>
      <c r="H58" s="722"/>
      <c r="I58" s="761">
        <f t="shared" si="0"/>
        <v>0</v>
      </c>
      <c r="J58" s="762"/>
      <c r="K58" s="504">
        <f t="shared" si="1"/>
        <v>135</v>
      </c>
      <c r="L58" s="722">
        <v>135</v>
      </c>
      <c r="M58" s="591">
        <v>135</v>
      </c>
    </row>
    <row r="59" spans="1:13" x14ac:dyDescent="0.35">
      <c r="A59" s="333" t="s">
        <v>311</v>
      </c>
      <c r="B59" s="333"/>
      <c r="C59" s="117" t="s">
        <v>111</v>
      </c>
      <c r="D59" s="602">
        <v>413945</v>
      </c>
      <c r="E59" s="604">
        <v>413945</v>
      </c>
      <c r="F59" s="602">
        <f>SUM(F60:F64)</f>
        <v>423555</v>
      </c>
      <c r="G59" s="602">
        <f>SUM(G60:G64)</f>
        <v>423555</v>
      </c>
      <c r="H59" s="602">
        <f t="shared" ref="H59:J59" si="12">SUM(H60:H64)</f>
        <v>0</v>
      </c>
      <c r="I59" s="602">
        <f t="shared" si="12"/>
        <v>423555</v>
      </c>
      <c r="J59" s="602">
        <f t="shared" si="12"/>
        <v>204325</v>
      </c>
      <c r="K59" s="504">
        <f t="shared" si="1"/>
        <v>221972</v>
      </c>
      <c r="L59" s="602">
        <f>SUM(L60:L65)</f>
        <v>645527</v>
      </c>
      <c r="M59" s="602">
        <f>SUM(M60:M65)</f>
        <v>645527</v>
      </c>
    </row>
    <row r="60" spans="1:13" x14ac:dyDescent="0.35">
      <c r="A60" s="329" t="s">
        <v>532</v>
      </c>
      <c r="B60" s="329"/>
      <c r="C60" s="81"/>
      <c r="D60" s="604">
        <v>41140</v>
      </c>
      <c r="E60" s="604">
        <v>41140</v>
      </c>
      <c r="F60" s="604">
        <v>50750</v>
      </c>
      <c r="G60" s="604">
        <v>50750</v>
      </c>
      <c r="H60" s="1"/>
      <c r="I60" s="504">
        <f t="shared" si="0"/>
        <v>50750</v>
      </c>
      <c r="J60" s="447">
        <v>51475</v>
      </c>
      <c r="K60" s="504">
        <f t="shared" si="1"/>
        <v>1375</v>
      </c>
      <c r="L60" s="1">
        <v>52125</v>
      </c>
      <c r="M60" s="1">
        <v>52125</v>
      </c>
    </row>
    <row r="61" spans="1:13" x14ac:dyDescent="0.35">
      <c r="A61" s="329" t="s">
        <v>533</v>
      </c>
      <c r="B61" s="329"/>
      <c r="C61" s="81"/>
      <c r="D61" s="604">
        <v>29310</v>
      </c>
      <c r="E61" s="604">
        <v>29310</v>
      </c>
      <c r="F61" s="604">
        <v>29310</v>
      </c>
      <c r="G61" s="604">
        <v>29310</v>
      </c>
      <c r="H61" s="1"/>
      <c r="I61" s="504">
        <f t="shared" si="0"/>
        <v>29310</v>
      </c>
      <c r="J61" s="447">
        <v>29310</v>
      </c>
      <c r="K61" s="504">
        <f t="shared" si="1"/>
        <v>0</v>
      </c>
      <c r="L61" s="1">
        <v>29310</v>
      </c>
      <c r="M61" s="1">
        <v>29310</v>
      </c>
    </row>
    <row r="62" spans="1:13" x14ac:dyDescent="0.35">
      <c r="A62" s="329" t="s">
        <v>534</v>
      </c>
      <c r="B62" s="329"/>
      <c r="C62" s="81"/>
      <c r="D62" s="604">
        <v>123420</v>
      </c>
      <c r="E62" s="604">
        <v>123420</v>
      </c>
      <c r="F62" s="604">
        <v>123420</v>
      </c>
      <c r="G62" s="604">
        <v>123420</v>
      </c>
      <c r="H62" s="1"/>
      <c r="I62" s="504">
        <f t="shared" si="0"/>
        <v>123420</v>
      </c>
      <c r="J62" s="447">
        <v>123540</v>
      </c>
      <c r="K62" s="504">
        <f t="shared" si="1"/>
        <v>2820</v>
      </c>
      <c r="L62" s="1">
        <v>126240</v>
      </c>
      <c r="M62" s="1">
        <v>126240</v>
      </c>
    </row>
    <row r="63" spans="1:13" x14ac:dyDescent="0.35">
      <c r="A63" s="329" t="s">
        <v>535</v>
      </c>
      <c r="B63" s="329"/>
      <c r="C63" s="81"/>
      <c r="D63" s="604">
        <v>205700</v>
      </c>
      <c r="E63" s="604">
        <v>205700</v>
      </c>
      <c r="F63" s="604">
        <v>205700</v>
      </c>
      <c r="G63" s="604">
        <v>205700</v>
      </c>
      <c r="H63" s="1"/>
      <c r="I63" s="504">
        <f t="shared" si="0"/>
        <v>205700</v>
      </c>
      <c r="J63" s="447"/>
      <c r="K63" s="504">
        <f t="shared" si="1"/>
        <v>-205700</v>
      </c>
      <c r="L63" s="1"/>
      <c r="M63" s="1"/>
    </row>
    <row r="64" spans="1:13" x14ac:dyDescent="0.35">
      <c r="A64" s="329" t="s">
        <v>536</v>
      </c>
      <c r="B64" s="329"/>
      <c r="C64" s="81"/>
      <c r="D64" s="604">
        <v>14375</v>
      </c>
      <c r="E64" s="604">
        <v>14375</v>
      </c>
      <c r="F64" s="604">
        <v>14375</v>
      </c>
      <c r="G64" s="604">
        <v>14375</v>
      </c>
      <c r="H64" s="1"/>
      <c r="I64" s="504">
        <f t="shared" si="0"/>
        <v>14375</v>
      </c>
      <c r="J64" s="447"/>
      <c r="K64" s="504">
        <f t="shared" si="1"/>
        <v>-14375</v>
      </c>
      <c r="L64" s="1"/>
      <c r="M64" s="1"/>
    </row>
    <row r="65" spans="1:14" ht="39" x14ac:dyDescent="0.35">
      <c r="A65" s="329" t="s">
        <v>1100</v>
      </c>
      <c r="B65" s="329"/>
      <c r="C65" s="81"/>
      <c r="D65" s="604"/>
      <c r="E65" s="604"/>
      <c r="F65" s="604"/>
      <c r="G65" s="604"/>
      <c r="H65" s="1">
        <f>590000+38438</f>
        <v>628438</v>
      </c>
      <c r="I65" s="504">
        <f t="shared" si="0"/>
        <v>628438</v>
      </c>
      <c r="J65" s="447">
        <v>583611</v>
      </c>
      <c r="K65" s="504">
        <f t="shared" si="1"/>
        <v>437852</v>
      </c>
      <c r="L65" s="1">
        <v>437852</v>
      </c>
      <c r="M65" s="1">
        <v>437852</v>
      </c>
    </row>
    <row r="66" spans="1:14" ht="26" x14ac:dyDescent="0.35">
      <c r="A66" s="333" t="s">
        <v>314</v>
      </c>
      <c r="B66" s="333"/>
      <c r="C66" s="117" t="s">
        <v>117</v>
      </c>
      <c r="D66" s="602">
        <v>1377035</v>
      </c>
      <c r="E66" s="604">
        <v>1377035</v>
      </c>
      <c r="F66" s="602">
        <f>SUM(F59,F54,F57,F58)</f>
        <v>2260445</v>
      </c>
      <c r="G66" s="602">
        <f>SUM(G59,G54,G57,G58)</f>
        <v>771855</v>
      </c>
      <c r="H66" s="602">
        <f t="shared" ref="H66:M66" si="13">SUM(H59,H54,H57,H58)</f>
        <v>0</v>
      </c>
      <c r="I66" s="602">
        <f t="shared" si="13"/>
        <v>2260445</v>
      </c>
      <c r="J66" s="602">
        <f t="shared" si="13"/>
        <v>2554763</v>
      </c>
      <c r="K66" s="504">
        <f t="shared" si="1"/>
        <v>1822715</v>
      </c>
      <c r="L66" s="602">
        <f t="shared" si="13"/>
        <v>2594570</v>
      </c>
      <c r="M66" s="602">
        <f t="shared" si="13"/>
        <v>2594570</v>
      </c>
      <c r="N66" s="1044"/>
    </row>
    <row r="67" spans="1:14" x14ac:dyDescent="0.35">
      <c r="A67" s="333" t="s">
        <v>315</v>
      </c>
      <c r="B67" s="333"/>
      <c r="C67" s="117" t="s">
        <v>119</v>
      </c>
      <c r="D67" s="602">
        <v>5014035</v>
      </c>
      <c r="E67" s="604">
        <v>5014035</v>
      </c>
      <c r="F67" s="602">
        <f>SUM(F66,F53,F50,F33,F27)</f>
        <v>10311445</v>
      </c>
      <c r="G67" s="602">
        <f>SUM(G66,G53,G50,G33,G27)</f>
        <v>6040855</v>
      </c>
      <c r="H67" s="602">
        <f t="shared" ref="H67:M67" si="14">SUM(H66,H53,H50,H33,H27)</f>
        <v>580000</v>
      </c>
      <c r="I67" s="602">
        <f t="shared" si="14"/>
        <v>15526445</v>
      </c>
      <c r="J67" s="602">
        <f t="shared" si="14"/>
        <v>9817962</v>
      </c>
      <c r="K67" s="504">
        <f t="shared" si="1"/>
        <v>4957790</v>
      </c>
      <c r="L67" s="602">
        <f t="shared" si="14"/>
        <v>10998645</v>
      </c>
      <c r="M67" s="602">
        <f t="shared" si="14"/>
        <v>10998645</v>
      </c>
    </row>
    <row r="68" spans="1:14" x14ac:dyDescent="0.35">
      <c r="A68" s="1207" t="s">
        <v>160</v>
      </c>
      <c r="B68" s="1207"/>
      <c r="C68" s="1207"/>
      <c r="D68" s="601">
        <v>14256303</v>
      </c>
      <c r="E68" s="604">
        <v>14256303</v>
      </c>
      <c r="F68" s="601">
        <f>SUM(F67,F20,F19)</f>
        <v>19553713</v>
      </c>
      <c r="G68" s="601">
        <f>SUM(G67,G20,G19)</f>
        <v>15245851.9</v>
      </c>
      <c r="H68" s="601">
        <f t="shared" ref="H68:M68" si="15">SUM(H67,H20,H19)</f>
        <v>1769821.4</v>
      </c>
      <c r="I68" s="601">
        <f t="shared" si="15"/>
        <v>25821263.300000001</v>
      </c>
      <c r="J68" s="601">
        <f t="shared" si="15"/>
        <v>18551275.324999999</v>
      </c>
      <c r="K68" s="504">
        <f t="shared" si="1"/>
        <v>5445329.0999999996</v>
      </c>
      <c r="L68" s="601">
        <f>SUM(L67,L20,L19)</f>
        <v>20691181</v>
      </c>
      <c r="M68" s="601">
        <f t="shared" si="15"/>
        <v>20691181</v>
      </c>
    </row>
  </sheetData>
  <mergeCells count="6">
    <mergeCell ref="A1:F1"/>
    <mergeCell ref="A68:C68"/>
    <mergeCell ref="A2:F2"/>
    <mergeCell ref="A4:A5"/>
    <mergeCell ref="C4:C5"/>
    <mergeCell ref="D4:M4"/>
  </mergeCells>
  <pageMargins left="0.70866141732283472" right="0.70866141732283472" top="0.74803149606299213" bottom="0.74803149606299213" header="0.31496062992125984" footer="0.31496062992125984"/>
  <pageSetup paperSize="8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19</vt:i4>
      </vt:variant>
    </vt:vector>
  </HeadingPairs>
  <TitlesOfParts>
    <vt:vector size="50" baseType="lpstr">
      <vt:lpstr>Mérleg szintű össz</vt:lpstr>
      <vt:lpstr>Mérleg szintű ÖK</vt:lpstr>
      <vt:lpstr>Normatíva 2020</vt:lpstr>
      <vt:lpstr>Normatíva elszámolás levezetése</vt:lpstr>
      <vt:lpstr>Közhatalmi bevétel</vt:lpstr>
      <vt:lpstr>Saját bevételek</vt:lpstr>
      <vt:lpstr>Záró pénzkészlet</vt:lpstr>
      <vt:lpstr>Kiadások összesen</vt:lpstr>
      <vt:lpstr>Általános kiadások</vt:lpstr>
      <vt:lpstr>Település üzemeltetés</vt:lpstr>
      <vt:lpstr>Étkeztetési feladatok</vt:lpstr>
      <vt:lpstr>Egészségügyi feladatok</vt:lpstr>
      <vt:lpstr>Kulturális szolgáltatás</vt:lpstr>
      <vt:lpstr>Közfoglalkoztatás</vt:lpstr>
      <vt:lpstr>Önkormányzat személyi</vt:lpstr>
      <vt:lpstr>Önkormányzat DOLOGI</vt:lpstr>
      <vt:lpstr>Önkormányzat Települési támogat</vt:lpstr>
      <vt:lpstr>Önkormányzat Átadott pénzeszköz</vt:lpstr>
      <vt:lpstr>Önkormányzat Beruházás</vt:lpstr>
      <vt:lpstr>Maradvány</vt:lpstr>
      <vt:lpstr>Intézményi összesen</vt:lpstr>
      <vt:lpstr>Hivatal</vt:lpstr>
      <vt:lpstr>Óvoda</vt:lpstr>
      <vt:lpstr>Likviditás-kiadást kell fgv</vt:lpstr>
      <vt:lpstr>Létszám</vt:lpstr>
      <vt:lpstr>Közvetett támogatás</vt:lpstr>
      <vt:lpstr>Adósságot keletkeztető ügyletek</vt:lpstr>
      <vt:lpstr>Áthúzódó kötváll</vt:lpstr>
      <vt:lpstr>Mérleg</vt:lpstr>
      <vt:lpstr>ER</vt:lpstr>
      <vt:lpstr>Vagyonkimutatás</vt:lpstr>
      <vt:lpstr>'Település üzemeltetés'!Nyomtatási_cím</vt:lpstr>
      <vt:lpstr>'Általános kiadások'!Nyomtatási_terület</vt:lpstr>
      <vt:lpstr>'Egészségügyi feladatok'!Nyomtatási_terület</vt:lpstr>
      <vt:lpstr>'Étkeztetési feladatok'!Nyomtatási_terület</vt:lpstr>
      <vt:lpstr>Hivatal!Nyomtatási_terület</vt:lpstr>
      <vt:lpstr>'Intézményi összesen'!Nyomtatási_terület</vt:lpstr>
      <vt:lpstr>Közfoglalkoztatás!Nyomtatási_terület</vt:lpstr>
      <vt:lpstr>'Közhatalmi bevétel'!Nyomtatási_terület</vt:lpstr>
      <vt:lpstr>'Kulturális szolgáltatás'!Nyomtatási_terület</vt:lpstr>
      <vt:lpstr>'Likviditás-kiadást kell fgv'!Nyomtatási_terület</vt:lpstr>
      <vt:lpstr>'Mérleg szintű ÖK'!Nyomtatási_terület</vt:lpstr>
      <vt:lpstr>'Mérleg szintű össz'!Nyomtatási_terület</vt:lpstr>
      <vt:lpstr>'Normatíva 2020'!Nyomtatási_terület</vt:lpstr>
      <vt:lpstr>Óvoda!Nyomtatási_terület</vt:lpstr>
      <vt:lpstr>'Önkormányzat Átadott pénzeszköz'!Nyomtatási_terület</vt:lpstr>
      <vt:lpstr>'Önkormányzat Beruházás'!Nyomtatási_terület</vt:lpstr>
      <vt:lpstr>'Önkormányzat Települési támogat'!Nyomtatási_terület</vt:lpstr>
      <vt:lpstr>'Saját bevételek'!Nyomtatási_terület</vt:lpstr>
      <vt:lpstr>'Település üzemeltetés'!Nyomtatási_terület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Bujtor Katalin</dc:creator>
  <cp:lastModifiedBy>kocsisg</cp:lastModifiedBy>
  <cp:lastPrinted>2020-02-19T13:50:02Z</cp:lastPrinted>
  <dcterms:created xsi:type="dcterms:W3CDTF">2018-01-04T12:31:00Z</dcterms:created>
  <dcterms:modified xsi:type="dcterms:W3CDTF">2021-05-31T10:09:26Z</dcterms:modified>
</cp:coreProperties>
</file>