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22ECFFA4-EA58-46CD-BEBA-9286EE03B80F}" xr6:coauthVersionLast="46" xr6:coauthVersionMax="46" xr10:uidLastSave="{00000000-0000-0000-0000-000000000000}"/>
  <bookViews>
    <workbookView xWindow="-108" yWindow="-108" windowWidth="23256" windowHeight="12576" xr2:uid="{BDF1807A-40E8-4B26-B151-D2479697C183}"/>
  </bookViews>
  <sheets>
    <sheet name="2.sz.melléklet Önk.bev." sheetId="3" r:id="rId1"/>
    <sheet name="2.sz.melléklet Önk.kiad." sheetId="4" r:id="rId2"/>
    <sheet name="2.sz.mell.Önk.felad.és létszám" sheetId="13" r:id="rId3"/>
    <sheet name="3.sz.melléklet felújítás" sheetId="19" state="hidden" r:id="rId4"/>
    <sheet name="4.sz.melléklet beruházás" sheetId="18" state="hidden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3" l="1"/>
  <c r="M10" i="13"/>
  <c r="M11" i="13"/>
  <c r="L9" i="13"/>
  <c r="L10" i="13"/>
  <c r="L11" i="13"/>
  <c r="M8" i="13"/>
  <c r="L8" i="13"/>
  <c r="K12" i="13"/>
  <c r="I12" i="13"/>
  <c r="G12" i="13"/>
  <c r="E12" i="13"/>
  <c r="E11" i="13"/>
  <c r="C12" i="13"/>
  <c r="D11" i="13"/>
  <c r="F18" i="13"/>
  <c r="E24" i="13"/>
  <c r="D24" i="13"/>
  <c r="C24" i="13"/>
  <c r="B24" i="13"/>
  <c r="M12" i="13" l="1"/>
  <c r="C34" i="4"/>
  <c r="E15" i="4"/>
  <c r="F24" i="13" l="1"/>
  <c r="F22" i="13"/>
  <c r="F21" i="13"/>
  <c r="J21" i="13" s="1"/>
  <c r="J18" i="13"/>
  <c r="B22" i="13"/>
  <c r="J22" i="13" s="1"/>
  <c r="B23" i="13"/>
  <c r="J23" i="13" s="1"/>
  <c r="K18" i="13"/>
  <c r="J19" i="13"/>
  <c r="K19" i="13"/>
  <c r="J20" i="13"/>
  <c r="K20" i="13"/>
  <c r="K21" i="13"/>
  <c r="K22" i="13"/>
  <c r="K23" i="13"/>
  <c r="J24" i="13"/>
  <c r="K24" i="13"/>
  <c r="K33" i="13" s="1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K17" i="13"/>
  <c r="J17" i="13"/>
  <c r="H33" i="13"/>
  <c r="I33" i="13"/>
  <c r="M33" i="13"/>
  <c r="J33" i="13" l="1"/>
  <c r="G33" i="13"/>
  <c r="E33" i="13"/>
  <c r="C33" i="13"/>
  <c r="D34" i="3" l="1"/>
  <c r="D32" i="3"/>
  <c r="E25" i="3" l="1"/>
  <c r="E11" i="3" l="1"/>
  <c r="E17" i="3"/>
  <c r="E23" i="3"/>
  <c r="E30" i="3"/>
  <c r="E39" i="3"/>
  <c r="E42" i="3"/>
  <c r="E44" i="3"/>
  <c r="D19" i="3"/>
  <c r="E13" i="4"/>
  <c r="E28" i="4"/>
  <c r="E16" i="4"/>
  <c r="D51" i="3"/>
  <c r="C50" i="3"/>
  <c r="C16" i="3"/>
  <c r="C15" i="3"/>
  <c r="C14" i="3"/>
  <c r="C13" i="3"/>
  <c r="C12" i="3"/>
  <c r="C33" i="4"/>
  <c r="C31" i="4"/>
  <c r="C36" i="4"/>
  <c r="C12" i="4"/>
  <c r="C11" i="4"/>
  <c r="C10" i="4"/>
  <c r="E10" i="3" l="1"/>
  <c r="E49" i="3" s="1"/>
  <c r="E53" i="3" s="1"/>
  <c r="E9" i="4"/>
  <c r="E38" i="4" s="1"/>
  <c r="B34" i="4" l="1"/>
  <c r="D21" i="3" l="1"/>
  <c r="D37" i="3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  <c r="D26" i="4"/>
  <c r="D14" i="4" l="1"/>
  <c r="D15" i="4"/>
  <c r="D17" i="4"/>
  <c r="D18" i="4"/>
  <c r="D19" i="4"/>
  <c r="D20" i="4"/>
  <c r="D21" i="4"/>
  <c r="D22" i="4"/>
  <c r="D23" i="4"/>
  <c r="D24" i="4"/>
  <c r="D25" i="4"/>
  <c r="D27" i="4"/>
  <c r="D29" i="4"/>
  <c r="D32" i="4"/>
  <c r="D33" i="4"/>
  <c r="D36" i="4"/>
  <c r="D37" i="4"/>
  <c r="D13" i="3"/>
  <c r="D15" i="3"/>
  <c r="D16" i="3"/>
  <c r="D18" i="3"/>
  <c r="D20" i="3"/>
  <c r="D22" i="3"/>
  <c r="D24" i="3"/>
  <c r="D25" i="3"/>
  <c r="D27" i="3"/>
  <c r="D28" i="3"/>
  <c r="D29" i="3"/>
  <c r="D36" i="3"/>
  <c r="D41" i="3"/>
  <c r="D45" i="3"/>
  <c r="D46" i="3"/>
  <c r="D48" i="3"/>
  <c r="D50" i="3"/>
  <c r="D52" i="3"/>
  <c r="C35" i="4"/>
  <c r="C28" i="4"/>
  <c r="C16" i="4"/>
  <c r="C13" i="4"/>
  <c r="C44" i="3"/>
  <c r="C42" i="3"/>
  <c r="C39" i="3"/>
  <c r="C30" i="3"/>
  <c r="C23" i="3"/>
  <c r="C17" i="3"/>
  <c r="C11" i="3"/>
  <c r="C9" i="4" l="1"/>
  <c r="C38" i="4" s="1"/>
  <c r="C10" i="3"/>
  <c r="C49" i="3" s="1"/>
  <c r="C53" i="3" s="1"/>
  <c r="H8" i="13"/>
  <c r="H12" i="13" s="1"/>
  <c r="B33" i="3" l="1"/>
  <c r="D33" i="3" s="1"/>
  <c r="D31" i="4"/>
  <c r="J8" i="13" l="1"/>
  <c r="B40" i="3" l="1"/>
  <c r="D40" i="3" s="1"/>
  <c r="D31" i="3" l="1"/>
  <c r="B16" i="4" l="1"/>
  <c r="D16" i="4" s="1"/>
  <c r="B38" i="3" l="1"/>
  <c r="D38" i="3" s="1"/>
  <c r="B35" i="3"/>
  <c r="D35" i="3" l="1"/>
  <c r="B43" i="3" l="1"/>
  <c r="D43" i="3" s="1"/>
  <c r="B14" i="3" l="1"/>
  <c r="D14" i="3" s="1"/>
  <c r="B12" i="3"/>
  <c r="D12" i="3" s="1"/>
  <c r="B26" i="3" l="1"/>
  <c r="D26" i="3" s="1"/>
  <c r="D30" i="4" l="1"/>
  <c r="D33" i="13"/>
  <c r="F33" i="13"/>
  <c r="B33" i="13"/>
  <c r="D12" i="13"/>
  <c r="F12" i="13"/>
  <c r="J12" i="13"/>
  <c r="B12" i="13"/>
  <c r="D12" i="4" l="1"/>
  <c r="D10" i="4"/>
  <c r="D11" i="4"/>
  <c r="L12" i="13"/>
  <c r="B35" i="4" l="1"/>
  <c r="D35" i="4" s="1"/>
  <c r="B28" i="4"/>
  <c r="D28" i="4" s="1"/>
  <c r="B13" i="4"/>
  <c r="B44" i="3"/>
  <c r="D44" i="3" s="1"/>
  <c r="B42" i="3"/>
  <c r="D42" i="3" s="1"/>
  <c r="B39" i="3"/>
  <c r="D39" i="3" s="1"/>
  <c r="B30" i="3"/>
  <c r="D30" i="3" s="1"/>
  <c r="B23" i="3"/>
  <c r="D23" i="3" s="1"/>
  <c r="B17" i="3"/>
  <c r="D17" i="3" s="1"/>
  <c r="B11" i="3"/>
  <c r="D11" i="3" s="1"/>
  <c r="D13" i="4" l="1"/>
  <c r="B9" i="4"/>
  <c r="D9" i="4" s="1"/>
  <c r="B10" i="3"/>
  <c r="B49" i="3" l="1"/>
  <c r="D10" i="3"/>
  <c r="B53" i="3" l="1"/>
  <c r="D53" i="3" s="1"/>
  <c r="D49" i="3"/>
  <c r="D34" i="4"/>
  <c r="B38" i="4" l="1"/>
  <c r="D38" i="4" s="1"/>
</calcChain>
</file>

<file path=xl/sharedStrings.xml><?xml version="1.0" encoding="utf-8"?>
<sst xmlns="http://schemas.openxmlformats.org/spreadsheetml/2006/main" count="179" uniqueCount="156">
  <si>
    <t>Bevételi jogcím</t>
  </si>
  <si>
    <t>Helyi önkormányzatok műk. általános támogatása</t>
  </si>
  <si>
    <t xml:space="preserve">Települési önk. köznevelési feladatok tám. </t>
  </si>
  <si>
    <t>Települési önk. szoc., gyermekjóléti, gyermekétkeztetési feladatainak támogatása</t>
  </si>
  <si>
    <t>Települési önk. Kulturális feladatainak támogatása</t>
  </si>
  <si>
    <t xml:space="preserve">Működési célú költségvetési támogazás és kiegészítő támogatás </t>
  </si>
  <si>
    <t>2. Egyéb működési célú támogatás áht-on belülről</t>
  </si>
  <si>
    <t>NEA-tól kapott műk. tám.</t>
  </si>
  <si>
    <t>Nemzeti Foglalkoztatási Alap-tól kapott műk.tám.</t>
  </si>
  <si>
    <t>Építményadó</t>
  </si>
  <si>
    <t>Magánszemélyek kommunális adója</t>
  </si>
  <si>
    <t>Helyi iparűzési adó</t>
  </si>
  <si>
    <t>Talajtehelési díj</t>
  </si>
  <si>
    <t>Gépjárműadó</t>
  </si>
  <si>
    <t>Egyéb közhatalmi bevételek</t>
  </si>
  <si>
    <t>Szolgáltatások ellenértéke</t>
  </si>
  <si>
    <t>Tulajdonosi bevételek</t>
  </si>
  <si>
    <t>Egyéb működési bevételek</t>
  </si>
  <si>
    <t>Kamatbevételek</t>
  </si>
  <si>
    <t>Ingatlan értékesítés</t>
  </si>
  <si>
    <t>Egyéb felhalmozási bevételek</t>
  </si>
  <si>
    <t>V. működési célú átvett pénzeszköz</t>
  </si>
  <si>
    <t>VI. Felhalmozási célú átvett pénzeszköz</t>
  </si>
  <si>
    <t>Egyéb felhalmozási célú átvett pénzeszközök</t>
  </si>
  <si>
    <t>Felhalmozási célú tám.áht-on belülről</t>
  </si>
  <si>
    <t>Költségvetési bevételek összesen</t>
  </si>
  <si>
    <t>Működési célú pénzmaradvány igénybevétel</t>
  </si>
  <si>
    <t>Felhalmozási célú pénzmaradvány igénybevétel</t>
  </si>
  <si>
    <t>Bevételek összesen</t>
  </si>
  <si>
    <t>Kiadási jogcímek</t>
  </si>
  <si>
    <t xml:space="preserve">  Személyi juttatások</t>
  </si>
  <si>
    <t xml:space="preserve">  Dologi kiadások</t>
  </si>
  <si>
    <t xml:space="preserve">  Egyéb működési célú kiadások</t>
  </si>
  <si>
    <t xml:space="preserve">  Ellátottak pénzbeli juttatásai</t>
  </si>
  <si>
    <t xml:space="preserve">  Ingatlan vásárlás</t>
  </si>
  <si>
    <t xml:space="preserve">  Intézményi beruházási kiadások</t>
  </si>
  <si>
    <t xml:space="preserve">  Államháztartáson belüli megelőlegezés</t>
  </si>
  <si>
    <t>Tartalék</t>
  </si>
  <si>
    <t xml:space="preserve">   Általános tartalék</t>
  </si>
  <si>
    <t xml:space="preserve">  Céltartalék</t>
  </si>
  <si>
    <t>Kiadások összesen</t>
  </si>
  <si>
    <t>Süttő Község Önkormányzata</t>
  </si>
  <si>
    <t>I. Működési célú támogatás államháztartáson belülről</t>
  </si>
  <si>
    <t>II.Önkormányzat közhatalmi bevételek</t>
  </si>
  <si>
    <t>III.Működési bevételek</t>
  </si>
  <si>
    <t>IV.Felhalmozási bevételek</t>
  </si>
  <si>
    <t>I.Működési költségvetési kiadások</t>
  </si>
  <si>
    <t>II.Felhalmozási költségvetési kiadások</t>
  </si>
  <si>
    <t>Süttő Község Önkormányzat</t>
  </si>
  <si>
    <t>Létszámkeret (fő)</t>
  </si>
  <si>
    <t>Mindösszesen:</t>
  </si>
  <si>
    <t>Szociális étkeztetés</t>
  </si>
  <si>
    <t xml:space="preserve">  Kisértékű tárgyieszköz beszerzés</t>
  </si>
  <si>
    <t>1. Önkormányzati működési támogatás</t>
  </si>
  <si>
    <t xml:space="preserve">  Munkaadókat terhelő járulékok és szoc.hozzájár.adó</t>
  </si>
  <si>
    <t>Süttő Község Önkormányzat működési költségvetése feladatonként és engedélyezett álláshelyek száma</t>
  </si>
  <si>
    <t>INTÉZMÉNY</t>
  </si>
  <si>
    <t>Önkormányzat</t>
  </si>
  <si>
    <t>Köztemető fennt. és működtetés</t>
  </si>
  <si>
    <t>Iskolai intézményi közétkeztetés</t>
  </si>
  <si>
    <t>Zöldterület kezelés</t>
  </si>
  <si>
    <t>Város és községgazd.szolg.</t>
  </si>
  <si>
    <t>Köztemető fennt.és működtetés</t>
  </si>
  <si>
    <t>Közvilágítás</t>
  </si>
  <si>
    <t>Család-és nővédelmi eü.ellátás</t>
  </si>
  <si>
    <t>Könyvtári állomány gyarapítása</t>
  </si>
  <si>
    <t>Hosszabb idejű közfoglalkoztatás</t>
  </si>
  <si>
    <t>Önkormányzati igazgatás</t>
  </si>
  <si>
    <t xml:space="preserve">Midösszesen: </t>
  </si>
  <si>
    <t>Önkormányzati igazgatás/Nyári diákmunka</t>
  </si>
  <si>
    <t>Lakóingatlan, egyéb ingatlan bérbeadása</t>
  </si>
  <si>
    <t>Működési célú visszatérítendő támogatás visszatérülése áht-on kívülről</t>
  </si>
  <si>
    <t>forintban</t>
  </si>
  <si>
    <t>BEVÉTEL (Ft)</t>
  </si>
  <si>
    <t>KIADÁS (Ft)</t>
  </si>
  <si>
    <t>2020. év</t>
  </si>
  <si>
    <t>Ellátási díjak/Térítési díjak</t>
  </si>
  <si>
    <t>EFOP 1.5.2 támogatás</t>
  </si>
  <si>
    <t>Munkaerő-piaci felnőttképzéshez kapcs.szakmai szolgáltatások</t>
  </si>
  <si>
    <t>III.Intézmény finanszírozás</t>
  </si>
  <si>
    <t>2020. évi költségvetési bevételei</t>
  </si>
  <si>
    <t>2020. évi költségvetési kiadásai</t>
  </si>
  <si>
    <t xml:space="preserve">  Felújítási kiadások (belter.utak önrész, PH felújítás)</t>
  </si>
  <si>
    <t>Működési bevétel</t>
  </si>
  <si>
    <t>Felhalmozási bevétel</t>
  </si>
  <si>
    <t xml:space="preserve">  Működési célú visszatérítendő támogatás államháztartáson kívülre</t>
  </si>
  <si>
    <t xml:space="preserve">     -áht-on belülre</t>
  </si>
  <si>
    <t xml:space="preserve">     -áht-on kívülre</t>
  </si>
  <si>
    <t xml:space="preserve">     Lakhatási támogatás</t>
  </si>
  <si>
    <t xml:space="preserve">     Gyógyszertámogatás</t>
  </si>
  <si>
    <t xml:space="preserve">     Rendkívüli települési támogatás</t>
  </si>
  <si>
    <t xml:space="preserve">     BURSA</t>
  </si>
  <si>
    <t xml:space="preserve">     Arany János ösztöndíj</t>
  </si>
  <si>
    <t xml:space="preserve">     Nyári gyermekétkeztetés</t>
  </si>
  <si>
    <t xml:space="preserve">     Köztemetés</t>
  </si>
  <si>
    <t xml:space="preserve">     Szociális tüzifa</t>
  </si>
  <si>
    <t xml:space="preserve">     2019. évi szociális tüzifa</t>
  </si>
  <si>
    <t>Eredeti ei.</t>
  </si>
  <si>
    <t>Módosítás</t>
  </si>
  <si>
    <t>Módosított ei.</t>
  </si>
  <si>
    <t xml:space="preserve">  Elvonások és befizetések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</si>
  <si>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</si>
  <si>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</si>
  <si>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</si>
  <si>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</si>
  <si>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</si>
  <si>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</si>
  <si>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</si>
  <si>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</si>
  <si>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</si>
  <si>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</si>
  <si>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</si>
  <si>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</si>
  <si>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</si>
  <si>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</si>
  <si>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</si>
  <si>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</si>
  <si>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</si>
  <si>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</si>
  <si>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</si>
  <si>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</si>
  <si>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Biztosító által fizetett kártérítés</t>
  </si>
  <si>
    <t>KEM Kormányhivatal 2020. évi nyári diákmunka</t>
  </si>
  <si>
    <t>Rendkívüli önkormányzati támogatás</t>
  </si>
  <si>
    <t>Teljesítés</t>
  </si>
  <si>
    <t>Államháztartáson belüli megelőlegezések</t>
  </si>
  <si>
    <t>Fejezeti kezelésű ei-tól EU-s program / Óvoda-bölcsőde építés</t>
  </si>
  <si>
    <t>Tárgyieszköz bérbeadás</t>
  </si>
  <si>
    <t>Közvetített szolgáltatás</t>
  </si>
  <si>
    <t xml:space="preserve">Felhalmozási célú pénzeszközátvétel háztartásoktól </t>
  </si>
  <si>
    <t>Összesen ei</t>
  </si>
  <si>
    <t>Összesen teljesítés</t>
  </si>
  <si>
    <t>Fertőző betegségek megelőzése, járványügyi ellátás</t>
  </si>
  <si>
    <t>Szem.jutt. Ei</t>
  </si>
  <si>
    <t>Szem.jutt. Teljesítés</t>
  </si>
  <si>
    <t>Madót terh.jár. Ei</t>
  </si>
  <si>
    <t>Madót terh.jár. Teljesítés</t>
  </si>
  <si>
    <t>Dologi kiadások ei</t>
  </si>
  <si>
    <t>Dologi kiadások teljesítés</t>
  </si>
  <si>
    <t>Önkormányzati vagyonnal való gazdálkodás</t>
  </si>
  <si>
    <t>Egyéb szociális pénzbeli és terészetbeni ellátások, támogatások</t>
  </si>
  <si>
    <t>Sport létesítmények működtetése</t>
  </si>
  <si>
    <t>Intézményi ellátás díja ei</t>
  </si>
  <si>
    <t>Intézményi ellátás díja teljesítés</t>
  </si>
  <si>
    <t>Szolgáltatások ellenértéke/Lakásbérlet ei</t>
  </si>
  <si>
    <t>Szolgáltatások ellenértéke/Lakásbérlet teljesítés</t>
  </si>
  <si>
    <t>Kamat  ei</t>
  </si>
  <si>
    <t>Kamat  teljesítés</t>
  </si>
  <si>
    <t>Tulajdonosi bevétel/Bérleti díj ei</t>
  </si>
  <si>
    <t>Tulajdonosi bevétel/Bérleti díj teljesítés</t>
  </si>
  <si>
    <t>Ingatlan értékesítés ei</t>
  </si>
  <si>
    <t>Ingatlan értékesítés teljesítés</t>
  </si>
  <si>
    <t>Kisértékű tárgyi eszköz ei</t>
  </si>
  <si>
    <t>Kisértékű tárgyi eszköz teljesítés</t>
  </si>
  <si>
    <t>2.melléklet az ../2021.(…...) önkormányzati rendelethez</t>
  </si>
  <si>
    <t>2.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</si>
</sst>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Font="1"/>
    <xf numFmtId="0" fontId="0" fillId="0" borderId="0" xfId="0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3" fontId="0" fillId="0" borderId="0" xfId="0" applyNumberFormat="1" applyFont="1" applyFill="1" applyBorder="1"/>
    <xf numFmtId="0" fontId="0" fillId="0" borderId="0" xfId="0" applyFont="1" applyFill="1" applyBorder="1"/>
    <xf numFmtId="3" fontId="2" fillId="0" borderId="0" xfId="0" applyNumberFormat="1" applyFont="1"/>
    <xf numFmtId="0" fontId="0" fillId="0" borderId="2" xfId="0" applyFont="1" applyBorder="1"/>
    <xf numFmtId="3" fontId="2" fillId="0" borderId="0" xfId="0" applyNumberFormat="1" applyFont="1" applyFill="1" applyBorder="1"/>
    <xf numFmtId="0" fontId="0" fillId="0" borderId="0" xfId="0" applyFont="1" applyBorder="1"/>
    <xf numFmtId="0" fontId="0" fillId="0" borderId="4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2" xfId="0" applyFont="1" applyBorder="1"/>
    <xf numFmtId="3" fontId="0" fillId="0" borderId="4" xfId="0" applyNumberFormat="1" applyFont="1" applyBorder="1"/>
    <xf numFmtId="0" fontId="1" fillId="0" borderId="8" xfId="0" applyFont="1" applyBorder="1"/>
    <xf numFmtId="3" fontId="1" fillId="0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3" fontId="1" fillId="0" borderId="4" xfId="0" applyNumberFormat="1" applyFont="1" applyFill="1" applyBorder="1"/>
    <xf numFmtId="3" fontId="3" fillId="0" borderId="0" xfId="0" applyNumberFormat="1" applyFont="1" applyFill="1" applyBorder="1"/>
    <xf numFmtId="0" fontId="0" fillId="0" borderId="2" xfId="0" applyFont="1" applyBorder="1" applyAlignment="1">
      <alignment wrapText="1"/>
    </xf>
    <xf numFmtId="3" fontId="1" fillId="0" borderId="9" xfId="0" applyNumberFormat="1" applyFont="1" applyFill="1" applyBorder="1"/>
    <xf numFmtId="3" fontId="0" fillId="0" borderId="0" xfId="0" applyNumberFormat="1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3" fontId="3" fillId="0" borderId="5" xfId="0" applyNumberFormat="1" applyFont="1" applyFill="1" applyBorder="1"/>
    <xf numFmtId="3" fontId="1" fillId="0" borderId="5" xfId="0" applyNumberFormat="1" applyFont="1" applyBorder="1"/>
    <xf numFmtId="0" fontId="0" fillId="0" borderId="16" xfId="0" applyFont="1" applyBorder="1"/>
    <xf numFmtId="3" fontId="2" fillId="0" borderId="16" xfId="0" applyNumberFormat="1" applyFont="1" applyFill="1" applyBorder="1"/>
    <xf numFmtId="0" fontId="2" fillId="0" borderId="16" xfId="0" applyFont="1" applyFill="1" applyBorder="1"/>
    <xf numFmtId="3" fontId="0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3" fillId="0" borderId="16" xfId="0" applyFont="1" applyFill="1" applyBorder="1" applyAlignment="1"/>
    <xf numFmtId="0" fontId="3" fillId="0" borderId="16" xfId="0" applyFont="1" applyFill="1" applyBorder="1"/>
    <xf numFmtId="0" fontId="1" fillId="0" borderId="16" xfId="0" applyFont="1" applyBorder="1"/>
    <xf numFmtId="3" fontId="2" fillId="0" borderId="16" xfId="0" applyNumberFormat="1" applyFont="1" applyFill="1" applyBorder="1" applyAlignment="1"/>
    <xf numFmtId="3" fontId="0" fillId="0" borderId="17" xfId="0" applyNumberFormat="1" applyFont="1" applyBorder="1"/>
    <xf numFmtId="3" fontId="0" fillId="0" borderId="17" xfId="0" applyNumberFormat="1" applyFont="1" applyFill="1" applyBorder="1"/>
    <xf numFmtId="0" fontId="0" fillId="0" borderId="18" xfId="0" applyFont="1" applyBorder="1"/>
    <xf numFmtId="0" fontId="0" fillId="0" borderId="19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/>
    <xf numFmtId="0" fontId="0" fillId="0" borderId="13" xfId="0" applyFont="1" applyBorder="1"/>
    <xf numFmtId="0" fontId="1" fillId="0" borderId="18" xfId="0" applyFont="1" applyBorder="1" applyAlignment="1"/>
    <xf numFmtId="0" fontId="0" fillId="0" borderId="18" xfId="0" applyFont="1" applyBorder="1" applyAlignment="1"/>
    <xf numFmtId="0" fontId="0" fillId="0" borderId="24" xfId="0" applyFont="1" applyBorder="1"/>
    <xf numFmtId="0" fontId="0" fillId="0" borderId="23" xfId="0" applyFont="1" applyBorder="1"/>
    <xf numFmtId="0" fontId="1" fillId="0" borderId="20" xfId="0" applyFont="1" applyBorder="1"/>
    <xf numFmtId="3" fontId="1" fillId="0" borderId="25" xfId="0" applyNumberFormat="1" applyFont="1" applyBorder="1"/>
    <xf numFmtId="0" fontId="1" fillId="0" borderId="26" xfId="0" applyFont="1" applyBorder="1"/>
    <xf numFmtId="0" fontId="0" fillId="0" borderId="2" xfId="0" applyFont="1" applyFill="1" applyBorder="1" applyAlignment="1"/>
    <xf numFmtId="0" fontId="0" fillId="0" borderId="0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3" xfId="0" applyFont="1" applyBorder="1"/>
    <xf numFmtId="3" fontId="3" fillId="0" borderId="4" xfId="0" applyNumberFormat="1" applyFont="1" applyFill="1" applyBorder="1"/>
    <xf numFmtId="0" fontId="0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7" xfId="0" applyFont="1" applyBorder="1"/>
    <xf numFmtId="3" fontId="0" fillId="0" borderId="16" xfId="0" applyNumberFormat="1" applyFont="1" applyFill="1" applyBorder="1"/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7" xfId="0" applyFont="1" applyBorder="1"/>
    <xf numFmtId="0" fontId="1" fillId="0" borderId="25" xfId="0" applyFont="1" applyBorder="1"/>
    <xf numFmtId="0" fontId="1" fillId="0" borderId="29" xfId="0" applyFont="1" applyBorder="1"/>
    <xf numFmtId="0" fontId="1" fillId="0" borderId="21" xfId="0" applyFont="1" applyBorder="1"/>
    <xf numFmtId="3" fontId="1" fillId="0" borderId="16" xfId="0" applyNumberFormat="1" applyFont="1" applyBorder="1"/>
    <xf numFmtId="3" fontId="2" fillId="0" borderId="28" xfId="0" applyNumberFormat="1" applyFont="1" applyFill="1" applyBorder="1"/>
    <xf numFmtId="3" fontId="2" fillId="0" borderId="29" xfId="0" applyNumberFormat="1" applyFont="1" applyFill="1" applyBorder="1"/>
    <xf numFmtId="0" fontId="2" fillId="0" borderId="29" xfId="0" applyFont="1" applyFill="1" applyBorder="1"/>
    <xf numFmtId="0" fontId="0" fillId="0" borderId="29" xfId="0" applyFont="1" applyBorder="1"/>
    <xf numFmtId="0" fontId="0" fillId="0" borderId="5" xfId="0" applyFont="1" applyBorder="1"/>
    <xf numFmtId="0" fontId="0" fillId="0" borderId="12" xfId="0" applyFont="1" applyBorder="1"/>
    <xf numFmtId="3" fontId="1" fillId="0" borderId="32" xfId="0" applyNumberFormat="1" applyFont="1" applyBorder="1"/>
    <xf numFmtId="3" fontId="1" fillId="0" borderId="25" xfId="0" applyNumberFormat="1" applyFont="1" applyFill="1" applyBorder="1"/>
    <xf numFmtId="3" fontId="1" fillId="0" borderId="5" xfId="0" applyNumberFormat="1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8A4A-B895-47D3-AB0A-B0AAFADDA830}">
  <dimension ref="A1:E53"/>
  <sheetViews>
    <sheetView tabSelected="1" workbookViewId="0">
      <selection sqref="A1:E1"/>
    </sheetView>
  </sheetViews>
  <sheetFormatPr defaultColWidth="9.109375" defaultRowHeight="14.4" x14ac:dyDescent="0.3"/>
  <cols>
    <col min="1" max="1" width="67.5546875" style="4" customWidth="1"/>
    <col min="2" max="2" width="13.6640625" style="10" bestFit="1" customWidth="1"/>
    <col min="3" max="3" width="10.88671875" style="4" bestFit="1" customWidth="1"/>
    <col min="4" max="4" width="13.5546875" style="4" bestFit="1" customWidth="1"/>
    <col min="5" max="5" width="10.88671875" style="4" bestFit="1" customWidth="1"/>
    <col min="6" max="16384" width="9.109375" style="4"/>
  </cols>
  <sheetData>
    <row r="1" spans="1:5" ht="15" thickBot="1" x14ac:dyDescent="0.35">
      <c r="A1" s="96" t="s">
        <v>155</v>
      </c>
      <c r="B1" s="96"/>
      <c r="C1" s="96"/>
      <c r="D1" s="96"/>
      <c r="E1" s="96"/>
    </row>
    <row r="2" spans="1:5" x14ac:dyDescent="0.3">
      <c r="A2" s="92" t="s">
        <v>41</v>
      </c>
      <c r="B2" s="93"/>
      <c r="C2" s="93"/>
      <c r="D2" s="93"/>
      <c r="E2" s="68"/>
    </row>
    <row r="3" spans="1:5" x14ac:dyDescent="0.3">
      <c r="A3" s="94" t="s">
        <v>80</v>
      </c>
      <c r="B3" s="95"/>
      <c r="C3" s="95"/>
      <c r="D3" s="95"/>
      <c r="E3" s="18"/>
    </row>
    <row r="4" spans="1:5" x14ac:dyDescent="0.3">
      <c r="A4" s="15"/>
      <c r="B4" s="13"/>
      <c r="C4" s="17"/>
      <c r="D4" s="17"/>
      <c r="E4" s="18"/>
    </row>
    <row r="5" spans="1:5" x14ac:dyDescent="0.3">
      <c r="A5" s="63"/>
      <c r="B5" s="64"/>
      <c r="C5" s="64"/>
      <c r="D5" s="64"/>
      <c r="E5" s="18" t="s">
        <v>72</v>
      </c>
    </row>
    <row r="6" spans="1:5" x14ac:dyDescent="0.3">
      <c r="A6" s="15"/>
      <c r="B6" s="13"/>
      <c r="C6" s="17"/>
      <c r="D6" s="17"/>
      <c r="E6" s="18"/>
    </row>
    <row r="7" spans="1:5" x14ac:dyDescent="0.3">
      <c r="A7" s="65" t="s">
        <v>0</v>
      </c>
      <c r="B7" s="13"/>
      <c r="C7" s="17"/>
      <c r="D7" s="17"/>
      <c r="E7" s="18"/>
    </row>
    <row r="8" spans="1:5" x14ac:dyDescent="0.3">
      <c r="A8" s="29"/>
      <c r="B8" s="30"/>
      <c r="C8" s="17"/>
      <c r="D8" s="17"/>
      <c r="E8" s="18"/>
    </row>
    <row r="9" spans="1:5" x14ac:dyDescent="0.3">
      <c r="A9" s="15"/>
      <c r="B9" s="23" t="s">
        <v>97</v>
      </c>
      <c r="C9" s="66" t="s">
        <v>98</v>
      </c>
      <c r="D9" s="66" t="s">
        <v>99</v>
      </c>
      <c r="E9" s="67" t="s">
        <v>124</v>
      </c>
    </row>
    <row r="10" spans="1:5" x14ac:dyDescent="0.3">
      <c r="A10" s="25" t="s">
        <v>42</v>
      </c>
      <c r="B10" s="24">
        <f>B11+B17</f>
        <v>200467750</v>
      </c>
      <c r="C10" s="24">
        <f t="shared" ref="C10" si="0">C11+C17</f>
        <v>33496759</v>
      </c>
      <c r="D10" s="24">
        <f>B10+C10</f>
        <v>233964509</v>
      </c>
      <c r="E10" s="31">
        <f>E11+E17</f>
        <v>234724838</v>
      </c>
    </row>
    <row r="11" spans="1:5" x14ac:dyDescent="0.3">
      <c r="A11" s="25" t="s">
        <v>53</v>
      </c>
      <c r="B11" s="32">
        <f>SUM(B12:B16)</f>
        <v>186498911</v>
      </c>
      <c r="C11" s="32">
        <f t="shared" ref="C11" si="1">SUM(C12:C16)</f>
        <v>28382276</v>
      </c>
      <c r="D11" s="24">
        <f t="shared" ref="D11:D53" si="2">B11+C11</f>
        <v>214881187</v>
      </c>
      <c r="E11" s="31">
        <f>SUM(E12:E16)</f>
        <v>214881187</v>
      </c>
    </row>
    <row r="12" spans="1:5" x14ac:dyDescent="0.3">
      <c r="A12" s="15" t="s">
        <v>1</v>
      </c>
      <c r="B12" s="16">
        <f>28121200+13187657+48838+840800</f>
        <v>42198495</v>
      </c>
      <c r="C12" s="35">
        <f>152750+5608761</f>
        <v>5761511</v>
      </c>
      <c r="D12" s="24">
        <f t="shared" si="2"/>
        <v>47960006</v>
      </c>
      <c r="E12" s="26">
        <v>47960006</v>
      </c>
    </row>
    <row r="13" spans="1:5" x14ac:dyDescent="0.3">
      <c r="A13" s="15" t="s">
        <v>2</v>
      </c>
      <c r="B13" s="16">
        <v>46659200</v>
      </c>
      <c r="C13" s="35">
        <f>3351950+286720</f>
        <v>3638670</v>
      </c>
      <c r="D13" s="24">
        <f t="shared" si="2"/>
        <v>50297870</v>
      </c>
      <c r="E13" s="26">
        <v>50297870</v>
      </c>
    </row>
    <row r="14" spans="1:5" ht="14.4" customHeight="1" x14ac:dyDescent="0.3">
      <c r="A14" s="33" t="s">
        <v>3</v>
      </c>
      <c r="B14" s="16">
        <f>6212523+4600800+11538000+57870600+14801000+44986</f>
        <v>95067909</v>
      </c>
      <c r="C14" s="35">
        <f>7001500+596640+8153724</f>
        <v>15751864</v>
      </c>
      <c r="D14" s="24">
        <f t="shared" si="2"/>
        <v>110819773</v>
      </c>
      <c r="E14" s="26">
        <v>110819773</v>
      </c>
    </row>
    <row r="15" spans="1:5" x14ac:dyDescent="0.3">
      <c r="A15" s="15" t="s">
        <v>4</v>
      </c>
      <c r="B15" s="16">
        <v>2573307</v>
      </c>
      <c r="C15" s="35">
        <f>1079922+62192</f>
        <v>1142114</v>
      </c>
      <c r="D15" s="24">
        <f t="shared" si="2"/>
        <v>3715421</v>
      </c>
      <c r="E15" s="26">
        <v>3715421</v>
      </c>
    </row>
    <row r="16" spans="1:5" x14ac:dyDescent="0.3">
      <c r="A16" s="33" t="s">
        <v>5</v>
      </c>
      <c r="B16" s="16">
        <v>0</v>
      </c>
      <c r="C16" s="12">
        <f>7266417-5178300</f>
        <v>2088117</v>
      </c>
      <c r="D16" s="24">
        <f t="shared" si="2"/>
        <v>2088117</v>
      </c>
      <c r="E16" s="26">
        <v>2088117</v>
      </c>
    </row>
    <row r="17" spans="1:5" x14ac:dyDescent="0.3">
      <c r="A17" s="25" t="s">
        <v>6</v>
      </c>
      <c r="B17" s="24">
        <f>SUM(B18:B22)</f>
        <v>13968839</v>
      </c>
      <c r="C17" s="24">
        <f>SUM(C18:C22)</f>
        <v>5114483</v>
      </c>
      <c r="D17" s="24">
        <f t="shared" si="2"/>
        <v>19083322</v>
      </c>
      <c r="E17" s="31">
        <f>SUM(E18:E22)</f>
        <v>19843651</v>
      </c>
    </row>
    <row r="18" spans="1:5" x14ac:dyDescent="0.3">
      <c r="A18" s="15" t="s">
        <v>7</v>
      </c>
      <c r="B18" s="16">
        <v>4861800</v>
      </c>
      <c r="C18" s="35">
        <v>0</v>
      </c>
      <c r="D18" s="24">
        <f t="shared" si="2"/>
        <v>4861800</v>
      </c>
      <c r="E18" s="26">
        <v>7120100</v>
      </c>
    </row>
    <row r="19" spans="1:5" x14ac:dyDescent="0.3">
      <c r="A19" s="15" t="s">
        <v>122</v>
      </c>
      <c r="B19" s="16">
        <v>0</v>
      </c>
      <c r="C19" s="35">
        <v>1440860</v>
      </c>
      <c r="D19" s="24">
        <f t="shared" si="2"/>
        <v>1440860</v>
      </c>
      <c r="E19" s="26">
        <v>1440860</v>
      </c>
    </row>
    <row r="20" spans="1:5" x14ac:dyDescent="0.3">
      <c r="A20" s="15" t="s">
        <v>8</v>
      </c>
      <c r="B20" s="16">
        <v>5107039</v>
      </c>
      <c r="C20" s="35">
        <v>0</v>
      </c>
      <c r="D20" s="24">
        <f t="shared" si="2"/>
        <v>5107039</v>
      </c>
      <c r="E20" s="26">
        <v>3908685</v>
      </c>
    </row>
    <row r="21" spans="1:5" x14ac:dyDescent="0.3">
      <c r="A21" s="15" t="s">
        <v>77</v>
      </c>
      <c r="B21" s="16">
        <v>4000000</v>
      </c>
      <c r="C21" s="35">
        <v>2061756</v>
      </c>
      <c r="D21" s="24">
        <f t="shared" si="2"/>
        <v>6061756</v>
      </c>
      <c r="E21" s="26">
        <v>7374006</v>
      </c>
    </row>
    <row r="22" spans="1:5" x14ac:dyDescent="0.3">
      <c r="A22" s="15" t="s">
        <v>123</v>
      </c>
      <c r="B22" s="16">
        <v>0</v>
      </c>
      <c r="C22" s="35">
        <v>1611867</v>
      </c>
      <c r="D22" s="24">
        <f t="shared" si="2"/>
        <v>1611867</v>
      </c>
      <c r="E22" s="26">
        <v>0</v>
      </c>
    </row>
    <row r="23" spans="1:5" x14ac:dyDescent="0.3">
      <c r="A23" s="25" t="s">
        <v>43</v>
      </c>
      <c r="B23" s="32">
        <f>SUM(B24:B29)</f>
        <v>82300000</v>
      </c>
      <c r="C23" s="32">
        <f t="shared" ref="C23" si="3">SUM(C24:C29)</f>
        <v>0</v>
      </c>
      <c r="D23" s="24">
        <f t="shared" si="2"/>
        <v>82300000</v>
      </c>
      <c r="E23" s="31">
        <f>SUM(E24:E29)</f>
        <v>80631285</v>
      </c>
    </row>
    <row r="24" spans="1:5" x14ac:dyDescent="0.3">
      <c r="A24" s="15" t="s">
        <v>9</v>
      </c>
      <c r="B24" s="16">
        <v>20000000</v>
      </c>
      <c r="C24" s="12">
        <v>0</v>
      </c>
      <c r="D24" s="24">
        <f t="shared" si="2"/>
        <v>20000000</v>
      </c>
      <c r="E24" s="26">
        <v>11249518</v>
      </c>
    </row>
    <row r="25" spans="1:5" x14ac:dyDescent="0.3">
      <c r="A25" s="15" t="s">
        <v>10</v>
      </c>
      <c r="B25" s="16">
        <v>4500000</v>
      </c>
      <c r="C25" s="12">
        <v>0</v>
      </c>
      <c r="D25" s="24">
        <f t="shared" si="2"/>
        <v>4500000</v>
      </c>
      <c r="E25" s="26">
        <f>698866+3667825</f>
        <v>4366691</v>
      </c>
    </row>
    <row r="26" spans="1:5" x14ac:dyDescent="0.3">
      <c r="A26" s="15" t="s">
        <v>11</v>
      </c>
      <c r="B26" s="16">
        <f>41000000+10000000</f>
        <v>51000000</v>
      </c>
      <c r="C26" s="12">
        <v>0</v>
      </c>
      <c r="D26" s="24">
        <f t="shared" si="2"/>
        <v>51000000</v>
      </c>
      <c r="E26" s="26">
        <v>64686328</v>
      </c>
    </row>
    <row r="27" spans="1:5" x14ac:dyDescent="0.3">
      <c r="A27" s="15" t="s">
        <v>12</v>
      </c>
      <c r="B27" s="16">
        <v>100000</v>
      </c>
      <c r="C27" s="12">
        <v>0</v>
      </c>
      <c r="D27" s="24">
        <f t="shared" si="2"/>
        <v>100000</v>
      </c>
      <c r="E27" s="26">
        <v>0</v>
      </c>
    </row>
    <row r="28" spans="1:5" x14ac:dyDescent="0.3">
      <c r="A28" s="15" t="s">
        <v>13</v>
      </c>
      <c r="B28" s="16">
        <v>6500000</v>
      </c>
      <c r="C28" s="12">
        <v>0</v>
      </c>
      <c r="D28" s="24">
        <f t="shared" si="2"/>
        <v>6500000</v>
      </c>
      <c r="E28" s="26">
        <v>0</v>
      </c>
    </row>
    <row r="29" spans="1:5" x14ac:dyDescent="0.3">
      <c r="A29" s="15" t="s">
        <v>14</v>
      </c>
      <c r="B29" s="16">
        <v>200000</v>
      </c>
      <c r="C29" s="12">
        <v>0</v>
      </c>
      <c r="D29" s="24">
        <f t="shared" si="2"/>
        <v>200000</v>
      </c>
      <c r="E29" s="26">
        <v>328748</v>
      </c>
    </row>
    <row r="30" spans="1:5" x14ac:dyDescent="0.3">
      <c r="A30" s="25" t="s">
        <v>44</v>
      </c>
      <c r="B30" s="32">
        <f>SUM(B31:B38)</f>
        <v>14014799</v>
      </c>
      <c r="C30" s="32">
        <f>SUM(C31:C38)</f>
        <v>24367767</v>
      </c>
      <c r="D30" s="24">
        <f t="shared" si="2"/>
        <v>38382566</v>
      </c>
      <c r="E30" s="31">
        <f>SUM(E31:E38)</f>
        <v>15960088</v>
      </c>
    </row>
    <row r="31" spans="1:5" x14ac:dyDescent="0.3">
      <c r="A31" s="15" t="s">
        <v>15</v>
      </c>
      <c r="B31" s="16">
        <v>1184700</v>
      </c>
      <c r="C31" s="35">
        <v>568275</v>
      </c>
      <c r="D31" s="24">
        <f t="shared" si="2"/>
        <v>1752975</v>
      </c>
      <c r="E31" s="26">
        <v>1096246</v>
      </c>
    </row>
    <row r="32" spans="1:5" x14ac:dyDescent="0.3">
      <c r="A32" s="15" t="s">
        <v>127</v>
      </c>
      <c r="B32" s="16">
        <v>0</v>
      </c>
      <c r="C32" s="35">
        <v>0</v>
      </c>
      <c r="D32" s="24">
        <f t="shared" si="2"/>
        <v>0</v>
      </c>
      <c r="E32" s="26">
        <v>9205545</v>
      </c>
    </row>
    <row r="33" spans="1:5" x14ac:dyDescent="0.3">
      <c r="A33" s="15" t="s">
        <v>16</v>
      </c>
      <c r="B33" s="16">
        <f>'2.sz.mell.Önk.felad.és létszám'!H8</f>
        <v>584262</v>
      </c>
      <c r="C33" s="35">
        <v>0</v>
      </c>
      <c r="D33" s="24">
        <f t="shared" si="2"/>
        <v>584262</v>
      </c>
      <c r="E33" s="26">
        <v>563462</v>
      </c>
    </row>
    <row r="34" spans="1:5" x14ac:dyDescent="0.3">
      <c r="A34" s="15" t="s">
        <v>128</v>
      </c>
      <c r="B34" s="16">
        <v>0</v>
      </c>
      <c r="C34" s="35">
        <v>0</v>
      </c>
      <c r="D34" s="24">
        <f t="shared" si="2"/>
        <v>0</v>
      </c>
      <c r="E34" s="26">
        <v>220610</v>
      </c>
    </row>
    <row r="35" spans="1:5" x14ac:dyDescent="0.3">
      <c r="A35" s="15" t="s">
        <v>76</v>
      </c>
      <c r="B35" s="16">
        <f>'2.sz.mell.Önk.felad.és létszám'!B10</f>
        <v>3645837</v>
      </c>
      <c r="C35" s="35">
        <v>0</v>
      </c>
      <c r="D35" s="24">
        <f t="shared" si="2"/>
        <v>3645837</v>
      </c>
      <c r="E35" s="26">
        <v>1965466</v>
      </c>
    </row>
    <row r="36" spans="1:5" x14ac:dyDescent="0.3">
      <c r="A36" s="15" t="s">
        <v>17</v>
      </c>
      <c r="B36" s="16">
        <v>8500000</v>
      </c>
      <c r="C36" s="35">
        <v>23462034</v>
      </c>
      <c r="D36" s="24">
        <f t="shared" si="2"/>
        <v>31962034</v>
      </c>
      <c r="E36" s="26">
        <v>2568479</v>
      </c>
    </row>
    <row r="37" spans="1:5" x14ac:dyDescent="0.3">
      <c r="A37" s="15" t="s">
        <v>121</v>
      </c>
      <c r="B37" s="16">
        <v>0</v>
      </c>
      <c r="C37" s="35">
        <v>337458</v>
      </c>
      <c r="D37" s="24">
        <f t="shared" si="2"/>
        <v>337458</v>
      </c>
      <c r="E37" s="26">
        <v>337458</v>
      </c>
    </row>
    <row r="38" spans="1:5" x14ac:dyDescent="0.3">
      <c r="A38" s="15" t="s">
        <v>18</v>
      </c>
      <c r="B38" s="16">
        <f>'2.sz.mell.Önk.felad.és létszám'!F8</f>
        <v>100000</v>
      </c>
      <c r="C38" s="35">
        <v>0</v>
      </c>
      <c r="D38" s="24">
        <f t="shared" si="2"/>
        <v>100000</v>
      </c>
      <c r="E38" s="26">
        <v>2822</v>
      </c>
    </row>
    <row r="39" spans="1:5" x14ac:dyDescent="0.3">
      <c r="A39" s="25" t="s">
        <v>45</v>
      </c>
      <c r="B39" s="32">
        <f>SUM(B40:B41)</f>
        <v>5483297</v>
      </c>
      <c r="C39" s="32">
        <f t="shared" ref="C39" si="4">SUM(C40:C41)</f>
        <v>0</v>
      </c>
      <c r="D39" s="24">
        <f t="shared" si="2"/>
        <v>5483297</v>
      </c>
      <c r="E39" s="31">
        <f>SUM(E40:E41)</f>
        <v>845250</v>
      </c>
    </row>
    <row r="40" spans="1:5" x14ac:dyDescent="0.3">
      <c r="A40" s="15" t="s">
        <v>19</v>
      </c>
      <c r="B40" s="16">
        <f>'2.sz.mell.Önk.felad.és létszám'!J8</f>
        <v>5483297</v>
      </c>
      <c r="C40" s="12">
        <v>0</v>
      </c>
      <c r="D40" s="24">
        <f t="shared" si="2"/>
        <v>5483297</v>
      </c>
      <c r="E40" s="26">
        <v>845250</v>
      </c>
    </row>
    <row r="41" spans="1:5" x14ac:dyDescent="0.3">
      <c r="A41" s="15" t="s">
        <v>20</v>
      </c>
      <c r="B41" s="16">
        <v>0</v>
      </c>
      <c r="C41" s="12">
        <v>0</v>
      </c>
      <c r="D41" s="24">
        <f t="shared" si="2"/>
        <v>0</v>
      </c>
      <c r="E41" s="26">
        <v>0</v>
      </c>
    </row>
    <row r="42" spans="1:5" x14ac:dyDescent="0.3">
      <c r="A42" s="25" t="s">
        <v>21</v>
      </c>
      <c r="B42" s="32">
        <f>SUM(B43)</f>
        <v>6618165</v>
      </c>
      <c r="C42" s="32">
        <f t="shared" ref="C42" si="5">SUM(C43)</f>
        <v>0</v>
      </c>
      <c r="D42" s="24">
        <f t="shared" si="2"/>
        <v>6618165</v>
      </c>
      <c r="E42" s="31">
        <f>SUM(E43)</f>
        <v>0</v>
      </c>
    </row>
    <row r="43" spans="1:5" x14ac:dyDescent="0.3">
      <c r="A43" s="15" t="s">
        <v>71</v>
      </c>
      <c r="B43" s="16">
        <f>3150000+3468165</f>
        <v>6618165</v>
      </c>
      <c r="C43" s="12">
        <v>0</v>
      </c>
      <c r="D43" s="12">
        <f t="shared" si="2"/>
        <v>6618165</v>
      </c>
      <c r="E43" s="26">
        <v>0</v>
      </c>
    </row>
    <row r="44" spans="1:5" x14ac:dyDescent="0.3">
      <c r="A44" s="25" t="s">
        <v>22</v>
      </c>
      <c r="B44" s="24">
        <f>SUM(B45:B48)</f>
        <v>0</v>
      </c>
      <c r="C44" s="24">
        <f t="shared" ref="C44" si="6">SUM(C45:C48)</f>
        <v>2408750</v>
      </c>
      <c r="D44" s="24">
        <f t="shared" si="2"/>
        <v>2408750</v>
      </c>
      <c r="E44" s="31">
        <f>SUM(E45:E48)</f>
        <v>80708750</v>
      </c>
    </row>
    <row r="45" spans="1:5" x14ac:dyDescent="0.3">
      <c r="A45" s="15" t="s">
        <v>129</v>
      </c>
      <c r="B45" s="12">
        <v>0</v>
      </c>
      <c r="C45" s="35">
        <v>0</v>
      </c>
      <c r="D45" s="24">
        <f t="shared" si="2"/>
        <v>0</v>
      </c>
      <c r="E45" s="26">
        <v>5300000</v>
      </c>
    </row>
    <row r="46" spans="1:5" x14ac:dyDescent="0.3">
      <c r="A46" s="15" t="s">
        <v>23</v>
      </c>
      <c r="B46" s="12">
        <v>0</v>
      </c>
      <c r="C46" s="35">
        <v>158750</v>
      </c>
      <c r="D46" s="24">
        <f t="shared" si="2"/>
        <v>158750</v>
      </c>
      <c r="E46" s="26">
        <v>158750</v>
      </c>
    </row>
    <row r="47" spans="1:5" x14ac:dyDescent="0.3">
      <c r="A47" s="15" t="s">
        <v>126</v>
      </c>
      <c r="B47" s="12">
        <v>0</v>
      </c>
      <c r="C47" s="35">
        <v>0</v>
      </c>
      <c r="D47" s="24">
        <v>0</v>
      </c>
      <c r="E47" s="26">
        <v>72250000</v>
      </c>
    </row>
    <row r="48" spans="1:5" x14ac:dyDescent="0.3">
      <c r="A48" s="15" t="s">
        <v>24</v>
      </c>
      <c r="B48" s="12">
        <v>0</v>
      </c>
      <c r="C48" s="35">
        <v>2250000</v>
      </c>
      <c r="D48" s="24">
        <f t="shared" si="2"/>
        <v>2250000</v>
      </c>
      <c r="E48" s="26">
        <v>3000000</v>
      </c>
    </row>
    <row r="49" spans="1:5" x14ac:dyDescent="0.3">
      <c r="A49" s="25" t="s">
        <v>25</v>
      </c>
      <c r="B49" s="24">
        <f>B10+B23+B30+B39+B42+B44</f>
        <v>308884011</v>
      </c>
      <c r="C49" s="24">
        <f>C10+C23+C30+C39+C42+C44</f>
        <v>60273276</v>
      </c>
      <c r="D49" s="24">
        <f t="shared" si="2"/>
        <v>369157287</v>
      </c>
      <c r="E49" s="31">
        <f>E10+E23+E30+E39+E42+E44</f>
        <v>412870211</v>
      </c>
    </row>
    <row r="50" spans="1:5" x14ac:dyDescent="0.3">
      <c r="A50" s="15" t="s">
        <v>26</v>
      </c>
      <c r="B50" s="12">
        <v>0</v>
      </c>
      <c r="C50" s="12">
        <f>62832878-23462034</f>
        <v>39370844</v>
      </c>
      <c r="D50" s="24">
        <f t="shared" si="2"/>
        <v>39370844</v>
      </c>
      <c r="E50" s="26">
        <v>39370844</v>
      </c>
    </row>
    <row r="51" spans="1:5" x14ac:dyDescent="0.3">
      <c r="A51" s="15" t="s">
        <v>27</v>
      </c>
      <c r="B51" s="12">
        <v>0</v>
      </c>
      <c r="C51" s="12">
        <v>0</v>
      </c>
      <c r="D51" s="24">
        <f t="shared" ref="D51" si="7">B51+C51</f>
        <v>0</v>
      </c>
      <c r="E51" s="26">
        <v>0</v>
      </c>
    </row>
    <row r="52" spans="1:5" x14ac:dyDescent="0.3">
      <c r="A52" s="15" t="s">
        <v>125</v>
      </c>
      <c r="B52" s="12">
        <v>0</v>
      </c>
      <c r="C52" s="12">
        <v>8341317</v>
      </c>
      <c r="D52" s="24">
        <f t="shared" si="2"/>
        <v>8341317</v>
      </c>
      <c r="E52" s="26">
        <v>8341317</v>
      </c>
    </row>
    <row r="53" spans="1:5" ht="15" thickBot="1" x14ac:dyDescent="0.35">
      <c r="A53" s="27" t="s">
        <v>28</v>
      </c>
      <c r="B53" s="28">
        <f>B49+B50+B52</f>
        <v>308884011</v>
      </c>
      <c r="C53" s="28">
        <f t="shared" ref="C53" si="8">C49+C50+C52</f>
        <v>107985437</v>
      </c>
      <c r="D53" s="28">
        <f t="shared" si="2"/>
        <v>416869448</v>
      </c>
      <c r="E53" s="34">
        <f>E49+E50+E52</f>
        <v>460582372</v>
      </c>
    </row>
  </sheetData>
  <mergeCells count="3">
    <mergeCell ref="A2:D2"/>
    <mergeCell ref="A3:D3"/>
    <mergeCell ref="A1:E1"/>
  </mergeCells>
  <printOptions gridLines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AE21-7D3F-4FA9-911D-672A758459B9}">
  <dimension ref="A1:E39"/>
  <sheetViews>
    <sheetView workbookViewId="0">
      <selection activeCell="A2" sqref="A2:D2"/>
    </sheetView>
  </sheetViews>
  <sheetFormatPr defaultColWidth="9.109375" defaultRowHeight="14.4" x14ac:dyDescent="0.3"/>
  <cols>
    <col min="1" max="1" width="56" style="4" customWidth="1"/>
    <col min="2" max="2" width="10.88671875" style="10" bestFit="1" customWidth="1"/>
    <col min="3" max="3" width="10.88671875" style="4" bestFit="1" customWidth="1"/>
    <col min="4" max="4" width="12.88671875" style="4" bestFit="1" customWidth="1"/>
    <col min="5" max="5" width="10.88671875" style="4" bestFit="1" customWidth="1"/>
    <col min="6" max="16384" width="9.109375" style="4"/>
  </cols>
  <sheetData>
    <row r="1" spans="1:5" ht="15" thickBot="1" x14ac:dyDescent="0.35">
      <c r="A1" s="97" t="s">
        <v>154</v>
      </c>
      <c r="B1" s="97"/>
      <c r="C1" s="97"/>
      <c r="D1" s="97"/>
      <c r="E1" s="97"/>
    </row>
    <row r="2" spans="1:5" x14ac:dyDescent="0.3">
      <c r="A2" s="92" t="s">
        <v>41</v>
      </c>
      <c r="B2" s="93"/>
      <c r="C2" s="93"/>
      <c r="D2" s="93"/>
      <c r="E2" s="68"/>
    </row>
    <row r="3" spans="1:5" x14ac:dyDescent="0.3">
      <c r="A3" s="94" t="s">
        <v>81</v>
      </c>
      <c r="B3" s="95"/>
      <c r="C3" s="95"/>
      <c r="D3" s="95"/>
      <c r="E3" s="18"/>
    </row>
    <row r="4" spans="1:5" x14ac:dyDescent="0.3">
      <c r="A4" s="15"/>
      <c r="B4" s="13"/>
      <c r="C4" s="17"/>
      <c r="D4" s="17"/>
      <c r="E4" s="18"/>
    </row>
    <row r="5" spans="1:5" x14ac:dyDescent="0.3">
      <c r="A5" s="63"/>
      <c r="B5" s="64"/>
      <c r="C5" s="64"/>
      <c r="D5" s="64"/>
      <c r="E5" s="18" t="s">
        <v>72</v>
      </c>
    </row>
    <row r="6" spans="1:5" x14ac:dyDescent="0.3">
      <c r="A6" s="15"/>
      <c r="B6" s="13"/>
      <c r="C6" s="17"/>
      <c r="D6" s="17"/>
      <c r="E6" s="18"/>
    </row>
    <row r="7" spans="1:5" x14ac:dyDescent="0.3">
      <c r="A7" s="65" t="s">
        <v>29</v>
      </c>
      <c r="B7" s="13"/>
      <c r="C7" s="17"/>
      <c r="D7" s="17"/>
      <c r="E7" s="18"/>
    </row>
    <row r="8" spans="1:5" x14ac:dyDescent="0.3">
      <c r="A8" s="29"/>
      <c r="B8" s="23" t="s">
        <v>97</v>
      </c>
      <c r="C8" s="66" t="s">
        <v>98</v>
      </c>
      <c r="D8" s="66" t="s">
        <v>99</v>
      </c>
      <c r="E8" s="36" t="s">
        <v>124</v>
      </c>
    </row>
    <row r="9" spans="1:5" x14ac:dyDescent="0.3">
      <c r="A9" s="25" t="s">
        <v>46</v>
      </c>
      <c r="B9" s="24">
        <f>B10+B11+B12+B13+B16+B26+B27</f>
        <v>86164834</v>
      </c>
      <c r="C9" s="24">
        <f>C10+C11+C12+C13+C16+C26+C27</f>
        <v>40926064</v>
      </c>
      <c r="D9" s="24">
        <f>B9+C9</f>
        <v>127090898</v>
      </c>
      <c r="E9" s="31">
        <f>E10+E11+E12+E13+E16+E26+E27</f>
        <v>109131386</v>
      </c>
    </row>
    <row r="10" spans="1:5" x14ac:dyDescent="0.3">
      <c r="A10" s="15" t="s">
        <v>30</v>
      </c>
      <c r="B10" s="16">
        <v>33197481</v>
      </c>
      <c r="C10" s="35">
        <f>6055+4261963-2454198</f>
        <v>1813820</v>
      </c>
      <c r="D10" s="32">
        <f t="shared" ref="D10:D38" si="0">B10+C10</f>
        <v>35011301</v>
      </c>
      <c r="E10" s="26">
        <v>34908666</v>
      </c>
    </row>
    <row r="11" spans="1:5" x14ac:dyDescent="0.3">
      <c r="A11" s="15" t="s">
        <v>54</v>
      </c>
      <c r="B11" s="16">
        <v>5389199</v>
      </c>
      <c r="C11" s="35">
        <f>632361+565553</f>
        <v>1197914</v>
      </c>
      <c r="D11" s="32">
        <f t="shared" si="0"/>
        <v>6587113</v>
      </c>
      <c r="E11" s="26">
        <v>6559482</v>
      </c>
    </row>
    <row r="12" spans="1:5" x14ac:dyDescent="0.3">
      <c r="A12" s="15" t="s">
        <v>31</v>
      </c>
      <c r="B12" s="16">
        <v>33962387</v>
      </c>
      <c r="C12" s="35">
        <f>6031055+10456684+13997699</f>
        <v>30485438</v>
      </c>
      <c r="D12" s="32">
        <f t="shared" si="0"/>
        <v>64447825</v>
      </c>
      <c r="E12" s="26">
        <v>55203420</v>
      </c>
    </row>
    <row r="13" spans="1:5" x14ac:dyDescent="0.3">
      <c r="A13" s="15" t="s">
        <v>32</v>
      </c>
      <c r="B13" s="32">
        <f>SUM(B14:B15)</f>
        <v>9859267</v>
      </c>
      <c r="C13" s="32">
        <f t="shared" ref="C13" si="1">SUM(C14:C15)</f>
        <v>385000</v>
      </c>
      <c r="D13" s="32">
        <f t="shared" si="0"/>
        <v>10244267</v>
      </c>
      <c r="E13" s="69">
        <f>SUM(E14:E15)</f>
        <v>3756168</v>
      </c>
    </row>
    <row r="14" spans="1:5" x14ac:dyDescent="0.3">
      <c r="A14" s="15" t="s">
        <v>86</v>
      </c>
      <c r="B14" s="16">
        <v>1859267</v>
      </c>
      <c r="C14" s="35">
        <v>325000</v>
      </c>
      <c r="D14" s="32">
        <f t="shared" si="0"/>
        <v>2184267</v>
      </c>
      <c r="E14" s="26">
        <v>262500</v>
      </c>
    </row>
    <row r="15" spans="1:5" x14ac:dyDescent="0.3">
      <c r="A15" s="15" t="s">
        <v>87</v>
      </c>
      <c r="B15" s="16">
        <v>8000000</v>
      </c>
      <c r="C15" s="35">
        <v>60000</v>
      </c>
      <c r="D15" s="32">
        <f t="shared" si="0"/>
        <v>8060000</v>
      </c>
      <c r="E15" s="26">
        <f>498892+2934776+60000</f>
        <v>3493668</v>
      </c>
    </row>
    <row r="16" spans="1:5" x14ac:dyDescent="0.3">
      <c r="A16" s="25" t="s">
        <v>33</v>
      </c>
      <c r="B16" s="32">
        <f>SUM(B17:B25)</f>
        <v>3756500</v>
      </c>
      <c r="C16" s="32">
        <f t="shared" ref="C16" si="2">SUM(C17:C25)</f>
        <v>-385000</v>
      </c>
      <c r="D16" s="32">
        <f t="shared" si="0"/>
        <v>3371500</v>
      </c>
      <c r="E16" s="69">
        <f>SUM(E17:E25)</f>
        <v>1855418</v>
      </c>
    </row>
    <row r="17" spans="1:5" x14ac:dyDescent="0.3">
      <c r="A17" s="15" t="s">
        <v>88</v>
      </c>
      <c r="B17" s="16">
        <v>1000000</v>
      </c>
      <c r="C17" s="17">
        <v>0</v>
      </c>
      <c r="D17" s="32">
        <f t="shared" si="0"/>
        <v>1000000</v>
      </c>
      <c r="E17" s="26">
        <v>1855418</v>
      </c>
    </row>
    <row r="18" spans="1:5" x14ac:dyDescent="0.3">
      <c r="A18" s="15" t="s">
        <v>89</v>
      </c>
      <c r="B18" s="16">
        <v>300000</v>
      </c>
      <c r="C18" s="17">
        <v>0</v>
      </c>
      <c r="D18" s="32">
        <f t="shared" si="0"/>
        <v>300000</v>
      </c>
      <c r="E18" s="26">
        <v>0</v>
      </c>
    </row>
    <row r="19" spans="1:5" x14ac:dyDescent="0.3">
      <c r="A19" s="15" t="s">
        <v>90</v>
      </c>
      <c r="B19" s="16">
        <v>1100000</v>
      </c>
      <c r="C19" s="17">
        <v>0</v>
      </c>
      <c r="D19" s="32">
        <f t="shared" si="0"/>
        <v>1100000</v>
      </c>
      <c r="E19" s="26">
        <v>0</v>
      </c>
    </row>
    <row r="20" spans="1:5" x14ac:dyDescent="0.3">
      <c r="A20" s="15" t="s">
        <v>91</v>
      </c>
      <c r="B20" s="16">
        <v>325000</v>
      </c>
      <c r="C20" s="17">
        <v>-325000</v>
      </c>
      <c r="D20" s="32">
        <f t="shared" si="0"/>
        <v>0</v>
      </c>
      <c r="E20" s="26">
        <v>0</v>
      </c>
    </row>
    <row r="21" spans="1:5" x14ac:dyDescent="0.3">
      <c r="A21" s="15" t="s">
        <v>92</v>
      </c>
      <c r="B21" s="16">
        <v>60000</v>
      </c>
      <c r="C21" s="17">
        <v>-60000</v>
      </c>
      <c r="D21" s="32">
        <f t="shared" si="0"/>
        <v>0</v>
      </c>
      <c r="E21" s="26">
        <v>0</v>
      </c>
    </row>
    <row r="22" spans="1:5" x14ac:dyDescent="0.3">
      <c r="A22" s="15" t="s">
        <v>93</v>
      </c>
      <c r="B22" s="16">
        <v>0</v>
      </c>
      <c r="C22" s="13">
        <v>0</v>
      </c>
      <c r="D22" s="32">
        <f t="shared" si="0"/>
        <v>0</v>
      </c>
      <c r="E22" s="26">
        <v>0</v>
      </c>
    </row>
    <row r="23" spans="1:5" x14ac:dyDescent="0.3">
      <c r="A23" s="15" t="s">
        <v>94</v>
      </c>
      <c r="B23" s="16">
        <v>400000</v>
      </c>
      <c r="C23" s="13">
        <v>0</v>
      </c>
      <c r="D23" s="32">
        <f t="shared" si="0"/>
        <v>400000</v>
      </c>
      <c r="E23" s="26">
        <v>0</v>
      </c>
    </row>
    <row r="24" spans="1:5" x14ac:dyDescent="0.3">
      <c r="A24" s="15" t="s">
        <v>95</v>
      </c>
      <c r="B24" s="16">
        <v>0</v>
      </c>
      <c r="C24" s="13">
        <v>0</v>
      </c>
      <c r="D24" s="32">
        <f t="shared" si="0"/>
        <v>0</v>
      </c>
      <c r="E24" s="26">
        <v>0</v>
      </c>
    </row>
    <row r="25" spans="1:5" x14ac:dyDescent="0.3">
      <c r="A25" s="15" t="s">
        <v>96</v>
      </c>
      <c r="B25" s="16">
        <v>571500</v>
      </c>
      <c r="C25" s="13">
        <v>0</v>
      </c>
      <c r="D25" s="32">
        <f t="shared" si="0"/>
        <v>571500</v>
      </c>
      <c r="E25" s="26">
        <v>0</v>
      </c>
    </row>
    <row r="26" spans="1:5" x14ac:dyDescent="0.3">
      <c r="A26" s="15" t="s">
        <v>85</v>
      </c>
      <c r="B26" s="16">
        <v>0</v>
      </c>
      <c r="C26" s="35">
        <v>498892</v>
      </c>
      <c r="D26" s="32">
        <f t="shared" ref="D26" si="3">B26+C26</f>
        <v>498892</v>
      </c>
      <c r="E26" s="26">
        <v>0</v>
      </c>
    </row>
    <row r="27" spans="1:5" x14ac:dyDescent="0.3">
      <c r="A27" s="15" t="s">
        <v>100</v>
      </c>
      <c r="B27" s="16">
        <v>0</v>
      </c>
      <c r="C27" s="35">
        <v>6930000</v>
      </c>
      <c r="D27" s="32">
        <f t="shared" si="0"/>
        <v>6930000</v>
      </c>
      <c r="E27" s="26">
        <v>6848232</v>
      </c>
    </row>
    <row r="28" spans="1:5" x14ac:dyDescent="0.3">
      <c r="A28" s="25" t="s">
        <v>47</v>
      </c>
      <c r="B28" s="32">
        <f>SUM(B29:B32)</f>
        <v>12110493</v>
      </c>
      <c r="C28" s="32">
        <f t="shared" ref="C28" si="4">SUM(C29:C32)</f>
        <v>44390292</v>
      </c>
      <c r="D28" s="32">
        <f t="shared" si="0"/>
        <v>56500785</v>
      </c>
      <c r="E28" s="69">
        <f>SUM(E29:E32)</f>
        <v>26435496</v>
      </c>
    </row>
    <row r="29" spans="1:5" x14ac:dyDescent="0.3">
      <c r="A29" s="15" t="s">
        <v>34</v>
      </c>
      <c r="B29" s="12">
        <v>0</v>
      </c>
      <c r="C29" s="35">
        <v>2300000</v>
      </c>
      <c r="D29" s="32">
        <f t="shared" si="0"/>
        <v>2300000</v>
      </c>
      <c r="E29" s="26">
        <v>2300000</v>
      </c>
    </row>
    <row r="30" spans="1:5" x14ac:dyDescent="0.3">
      <c r="A30" s="15" t="s">
        <v>35</v>
      </c>
      <c r="B30" s="12">
        <v>5754000</v>
      </c>
      <c r="C30" s="12">
        <v>795946</v>
      </c>
      <c r="D30" s="32">
        <f t="shared" si="0"/>
        <v>6549946</v>
      </c>
      <c r="E30" s="26">
        <v>6084207</v>
      </c>
    </row>
    <row r="31" spans="1:5" x14ac:dyDescent="0.3">
      <c r="A31" s="15" t="s">
        <v>82</v>
      </c>
      <c r="B31" s="12">
        <v>6356493</v>
      </c>
      <c r="C31" s="35">
        <f>26244346+2250000+12800000</f>
        <v>41294346</v>
      </c>
      <c r="D31" s="32">
        <f t="shared" si="0"/>
        <v>47650839</v>
      </c>
      <c r="E31" s="26">
        <v>18051289</v>
      </c>
    </row>
    <row r="32" spans="1:5" x14ac:dyDescent="0.3">
      <c r="A32" s="15" t="s">
        <v>52</v>
      </c>
      <c r="B32" s="12">
        <v>0</v>
      </c>
      <c r="C32" s="17">
        <v>0</v>
      </c>
      <c r="D32" s="32">
        <f t="shared" si="0"/>
        <v>0</v>
      </c>
      <c r="E32" s="26">
        <v>0</v>
      </c>
    </row>
    <row r="33" spans="1:5" x14ac:dyDescent="0.3">
      <c r="A33" s="25" t="s">
        <v>36</v>
      </c>
      <c r="B33" s="24">
        <v>0</v>
      </c>
      <c r="C33" s="24">
        <f>7459956+124531</f>
        <v>7584487</v>
      </c>
      <c r="D33" s="32">
        <f t="shared" si="0"/>
        <v>7584487</v>
      </c>
      <c r="E33" s="26">
        <v>7584487</v>
      </c>
    </row>
    <row r="34" spans="1:5" x14ac:dyDescent="0.3">
      <c r="A34" s="25" t="s">
        <v>79</v>
      </c>
      <c r="B34" s="24" t="e">
        <f>#REF!+#REF!+#REF!</f>
        <v>#REF!</v>
      </c>
      <c r="C34" s="24">
        <f>16281140+5463561</f>
        <v>21744701</v>
      </c>
      <c r="D34" s="32" t="e">
        <f t="shared" si="0"/>
        <v>#REF!</v>
      </c>
      <c r="E34" s="26">
        <v>205705536</v>
      </c>
    </row>
    <row r="35" spans="1:5" x14ac:dyDescent="0.3">
      <c r="A35" s="25" t="s">
        <v>37</v>
      </c>
      <c r="B35" s="24">
        <f>SUM(B36:B37)</f>
        <v>9449223</v>
      </c>
      <c r="C35" s="24">
        <f t="shared" ref="C35" si="5">SUM(C36:C37)</f>
        <v>-6660107</v>
      </c>
      <c r="D35" s="32">
        <f t="shared" si="0"/>
        <v>2789116</v>
      </c>
      <c r="E35" s="26">
        <v>0</v>
      </c>
    </row>
    <row r="36" spans="1:5" x14ac:dyDescent="0.3">
      <c r="A36" s="15" t="s">
        <v>38</v>
      </c>
      <c r="B36" s="12">
        <v>9449223</v>
      </c>
      <c r="C36" s="35">
        <f>9738571-16398678</f>
        <v>-6660107</v>
      </c>
      <c r="D36" s="32">
        <f t="shared" si="0"/>
        <v>2789116</v>
      </c>
      <c r="E36" s="26">
        <v>0</v>
      </c>
    </row>
    <row r="37" spans="1:5" x14ac:dyDescent="0.3">
      <c r="A37" s="15" t="s">
        <v>39</v>
      </c>
      <c r="B37" s="12">
        <v>0</v>
      </c>
      <c r="C37" s="35">
        <v>0</v>
      </c>
      <c r="D37" s="24">
        <f t="shared" si="0"/>
        <v>0</v>
      </c>
      <c r="E37" s="26">
        <v>0</v>
      </c>
    </row>
    <row r="38" spans="1:5" ht="15" thickBot="1" x14ac:dyDescent="0.35">
      <c r="A38" s="27" t="s">
        <v>40</v>
      </c>
      <c r="B38" s="28" t="e">
        <f>B9+B28+B33+B34+B35</f>
        <v>#REF!</v>
      </c>
      <c r="C38" s="28">
        <f t="shared" ref="C38" si="6">C9+C28+C33+C34+C35</f>
        <v>107985437</v>
      </c>
      <c r="D38" s="28" t="e">
        <f t="shared" si="0"/>
        <v>#REF!</v>
      </c>
      <c r="E38" s="34">
        <f>E9+E28+E33+E34+E35</f>
        <v>348856905</v>
      </c>
    </row>
    <row r="39" spans="1:5" x14ac:dyDescent="0.3">
      <c r="B39" s="7"/>
    </row>
  </sheetData>
  <mergeCells count="3">
    <mergeCell ref="A2:D2"/>
    <mergeCell ref="A3:D3"/>
    <mergeCell ref="A1:E1"/>
  </mergeCells>
  <printOptions gridLines="1"/>
  <pageMargins left="0.23622047244094491" right="0.23622047244094491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7544-9EED-4534-9D44-A8D67137DBA6}">
  <dimension ref="A1:O37"/>
  <sheetViews>
    <sheetView workbookViewId="0">
      <selection activeCell="M7" sqref="M7"/>
    </sheetView>
  </sheetViews>
  <sheetFormatPr defaultColWidth="9.109375" defaultRowHeight="14.4" x14ac:dyDescent="0.3"/>
  <cols>
    <col min="1" max="1" width="56.6640625" style="4" customWidth="1"/>
    <col min="2" max="3" width="12.109375" style="4" customWidth="1"/>
    <col min="4" max="4" width="13.44140625" style="4" customWidth="1"/>
    <col min="5" max="5" width="14.6640625" style="4" customWidth="1"/>
    <col min="6" max="6" width="10.5546875" style="4" bestFit="1" customWidth="1"/>
    <col min="7" max="7" width="9.88671875" style="4" customWidth="1"/>
    <col min="8" max="9" width="11.44140625" style="4" customWidth="1"/>
    <col min="10" max="11" width="13.109375" style="4" customWidth="1"/>
    <col min="12" max="12" width="16.33203125" style="4" customWidth="1"/>
    <col min="13" max="13" width="17" style="4" bestFit="1" customWidth="1"/>
    <col min="14" max="14" width="9.109375" style="4"/>
    <col min="15" max="15" width="10.5546875" style="4" bestFit="1" customWidth="1"/>
    <col min="16" max="16384" width="9.109375" style="4"/>
  </cols>
  <sheetData>
    <row r="1" spans="1:14" ht="15" thickBot="1" x14ac:dyDescent="0.35">
      <c r="A1" s="97" t="s">
        <v>154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4" s="1" customFormat="1" x14ac:dyDescent="0.3">
      <c r="A2" s="92" t="s">
        <v>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09"/>
    </row>
    <row r="3" spans="1:14" s="1" customFormat="1" x14ac:dyDescent="0.3">
      <c r="A3" s="94" t="s">
        <v>75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10"/>
    </row>
    <row r="4" spans="1:14" s="1" customFormat="1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110"/>
    </row>
    <row r="5" spans="1:14" s="1" customFormat="1" x14ac:dyDescent="0.3">
      <c r="A5" s="111" t="s">
        <v>56</v>
      </c>
      <c r="B5" s="103" t="s">
        <v>73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8"/>
    </row>
    <row r="6" spans="1:14" s="1" customFormat="1" ht="35.25" customHeight="1" x14ac:dyDescent="0.3">
      <c r="A6" s="112"/>
      <c r="B6" s="103" t="s">
        <v>83</v>
      </c>
      <c r="C6" s="104"/>
      <c r="D6" s="104"/>
      <c r="E6" s="104"/>
      <c r="F6" s="104"/>
      <c r="G6" s="104"/>
      <c r="H6" s="104"/>
      <c r="I6" s="105"/>
      <c r="J6" s="106" t="s">
        <v>84</v>
      </c>
      <c r="K6" s="107"/>
      <c r="L6" s="103"/>
      <c r="M6" s="108"/>
    </row>
    <row r="7" spans="1:14" s="1" customFormat="1" ht="90" customHeight="1" x14ac:dyDescent="0.3">
      <c r="A7" s="113"/>
      <c r="B7" s="44" t="s">
        <v>142</v>
      </c>
      <c r="C7" s="44" t="s">
        <v>143</v>
      </c>
      <c r="D7" s="44" t="s">
        <v>144</v>
      </c>
      <c r="E7" s="44" t="s">
        <v>145</v>
      </c>
      <c r="F7" s="71" t="s">
        <v>146</v>
      </c>
      <c r="G7" s="44" t="s">
        <v>147</v>
      </c>
      <c r="H7" s="44" t="s">
        <v>148</v>
      </c>
      <c r="I7" s="44" t="s">
        <v>149</v>
      </c>
      <c r="J7" s="44" t="s">
        <v>150</v>
      </c>
      <c r="K7" s="44" t="s">
        <v>151</v>
      </c>
      <c r="L7" s="71" t="s">
        <v>130</v>
      </c>
      <c r="M7" s="53" t="s">
        <v>131</v>
      </c>
    </row>
    <row r="8" spans="1:14" x14ac:dyDescent="0.3">
      <c r="A8" s="51" t="s">
        <v>57</v>
      </c>
      <c r="B8" s="41"/>
      <c r="C8" s="41"/>
      <c r="D8" s="42"/>
      <c r="E8" s="42"/>
      <c r="F8" s="41">
        <v>100000</v>
      </c>
      <c r="G8" s="41">
        <v>2822</v>
      </c>
      <c r="H8" s="41">
        <f>288000+197508+98754</f>
        <v>584262</v>
      </c>
      <c r="I8" s="41">
        <v>563462</v>
      </c>
      <c r="J8" s="43">
        <f>183297+1700000+3600000</f>
        <v>5483297</v>
      </c>
      <c r="K8" s="43">
        <v>845250</v>
      </c>
      <c r="L8" s="82">
        <f>B8+D8+F8+H8+J8</f>
        <v>6167559</v>
      </c>
      <c r="M8" s="82">
        <f>C8+E8+G8+I8+K8</f>
        <v>1411534</v>
      </c>
    </row>
    <row r="9" spans="1:14" x14ac:dyDescent="0.3">
      <c r="A9" s="51" t="s">
        <v>58</v>
      </c>
      <c r="B9" s="41"/>
      <c r="C9" s="41"/>
      <c r="D9" s="42"/>
      <c r="E9" s="42"/>
      <c r="F9" s="42"/>
      <c r="G9" s="42"/>
      <c r="H9" s="42"/>
      <c r="I9" s="42"/>
      <c r="J9" s="40"/>
      <c r="K9" s="40"/>
      <c r="L9" s="82">
        <f t="shared" ref="L9:L11" si="0">B9+D9+F9+H9+J9</f>
        <v>0</v>
      </c>
      <c r="M9" s="82">
        <f t="shared" ref="M9:M11" si="1">C9+E9+G9+I9+K9</f>
        <v>0</v>
      </c>
    </row>
    <row r="10" spans="1:14" x14ac:dyDescent="0.3">
      <c r="A10" s="51" t="s">
        <v>59</v>
      </c>
      <c r="B10" s="41">
        <v>3645837</v>
      </c>
      <c r="C10" s="41">
        <v>1995466</v>
      </c>
      <c r="D10" s="42"/>
      <c r="E10" s="42"/>
      <c r="F10" s="42"/>
      <c r="G10" s="42"/>
      <c r="H10" s="42"/>
      <c r="I10" s="42"/>
      <c r="J10" s="40"/>
      <c r="K10" s="40"/>
      <c r="L10" s="82">
        <f t="shared" si="0"/>
        <v>3645837</v>
      </c>
      <c r="M10" s="82">
        <f t="shared" si="1"/>
        <v>1995466</v>
      </c>
    </row>
    <row r="11" spans="1:14" x14ac:dyDescent="0.3">
      <c r="A11" s="51" t="s">
        <v>70</v>
      </c>
      <c r="B11" s="41"/>
      <c r="C11" s="41"/>
      <c r="D11" s="41">
        <f>1184700+568275</f>
        <v>1752975</v>
      </c>
      <c r="E11" s="41">
        <f>1096246+9205545</f>
        <v>10301791</v>
      </c>
      <c r="F11" s="42"/>
      <c r="G11" s="42"/>
      <c r="H11" s="42"/>
      <c r="I11" s="42"/>
      <c r="J11" s="43"/>
      <c r="K11" s="43"/>
      <c r="L11" s="82">
        <f t="shared" si="0"/>
        <v>1752975</v>
      </c>
      <c r="M11" s="82">
        <f t="shared" si="1"/>
        <v>10301791</v>
      </c>
    </row>
    <row r="12" spans="1:14" s="1" customFormat="1" x14ac:dyDescent="0.3">
      <c r="A12" s="54" t="s">
        <v>50</v>
      </c>
      <c r="B12" s="38">
        <f>SUM(B8:B11)</f>
        <v>3645837</v>
      </c>
      <c r="C12" s="38">
        <f>SUM(C8:C11)</f>
        <v>1995466</v>
      </c>
      <c r="D12" s="38">
        <f t="shared" ref="D12:M12" si="2">SUM(D8:D11)</f>
        <v>1752975</v>
      </c>
      <c r="E12" s="38">
        <f t="shared" si="2"/>
        <v>10301791</v>
      </c>
      <c r="F12" s="38">
        <f t="shared" si="2"/>
        <v>100000</v>
      </c>
      <c r="G12" s="38">
        <f t="shared" si="2"/>
        <v>2822</v>
      </c>
      <c r="H12" s="38">
        <f t="shared" si="2"/>
        <v>584262</v>
      </c>
      <c r="I12" s="38">
        <f t="shared" si="2"/>
        <v>563462</v>
      </c>
      <c r="J12" s="91">
        <f t="shared" si="2"/>
        <v>5483297</v>
      </c>
      <c r="K12" s="91">
        <f t="shared" si="2"/>
        <v>845250</v>
      </c>
      <c r="L12" s="39">
        <f t="shared" si="2"/>
        <v>11566371</v>
      </c>
      <c r="M12" s="39">
        <f t="shared" si="2"/>
        <v>13708791</v>
      </c>
    </row>
    <row r="13" spans="1:14" x14ac:dyDescent="0.3">
      <c r="A13" s="55"/>
      <c r="B13" s="83"/>
      <c r="C13" s="84"/>
      <c r="D13" s="85"/>
      <c r="E13" s="85"/>
      <c r="F13" s="85"/>
      <c r="G13" s="85"/>
      <c r="H13" s="85"/>
      <c r="I13" s="85"/>
      <c r="J13" s="86"/>
      <c r="K13" s="86"/>
      <c r="L13" s="87"/>
      <c r="M13" s="88"/>
    </row>
    <row r="14" spans="1:14" s="11" customFormat="1" ht="15" customHeight="1" thickBot="1" x14ac:dyDescent="0.35">
      <c r="A14" s="101" t="s">
        <v>56</v>
      </c>
      <c r="B14" s="100" t="s">
        <v>74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98" t="s">
        <v>49</v>
      </c>
    </row>
    <row r="15" spans="1:14" s="9" customFormat="1" ht="57.6" x14ac:dyDescent="0.3">
      <c r="A15" s="102"/>
      <c r="B15" s="74" t="s">
        <v>133</v>
      </c>
      <c r="C15" s="75" t="s">
        <v>134</v>
      </c>
      <c r="D15" s="75" t="s">
        <v>135</v>
      </c>
      <c r="E15" s="75" t="s">
        <v>136</v>
      </c>
      <c r="F15" s="75" t="s">
        <v>137</v>
      </c>
      <c r="G15" s="75" t="s">
        <v>138</v>
      </c>
      <c r="H15" s="77" t="s">
        <v>152</v>
      </c>
      <c r="I15" s="77" t="s">
        <v>153</v>
      </c>
      <c r="J15" s="77" t="s">
        <v>130</v>
      </c>
      <c r="K15" s="77" t="s">
        <v>131</v>
      </c>
      <c r="L15" s="76"/>
      <c r="M15" s="99"/>
      <c r="N15" s="37"/>
    </row>
    <row r="16" spans="1:14" s="1" customFormat="1" x14ac:dyDescent="0.3">
      <c r="A16" s="56" t="s">
        <v>57</v>
      </c>
      <c r="B16" s="45"/>
      <c r="C16" s="45"/>
      <c r="D16" s="46"/>
      <c r="E16" s="46"/>
      <c r="F16" s="46"/>
      <c r="G16" s="46"/>
      <c r="H16" s="46"/>
      <c r="I16" s="46"/>
      <c r="J16" s="47"/>
      <c r="K16" s="72"/>
      <c r="L16" s="80"/>
      <c r="M16" s="81"/>
    </row>
    <row r="17" spans="1:15" s="1" customFormat="1" x14ac:dyDescent="0.3">
      <c r="A17" s="57" t="s">
        <v>60</v>
      </c>
      <c r="B17" s="48"/>
      <c r="C17" s="48"/>
      <c r="D17" s="41"/>
      <c r="E17" s="41"/>
      <c r="F17" s="41">
        <v>2908080</v>
      </c>
      <c r="G17" s="41"/>
      <c r="H17" s="41"/>
      <c r="I17" s="41"/>
      <c r="J17" s="43">
        <f>B17+D17+F17+H17</f>
        <v>2908080</v>
      </c>
      <c r="K17" s="43">
        <f>C17+E17+G17+I17</f>
        <v>0</v>
      </c>
      <c r="L17" s="40"/>
      <c r="M17" s="52"/>
      <c r="O17" s="3"/>
    </row>
    <row r="18" spans="1:15" s="1" customFormat="1" x14ac:dyDescent="0.3">
      <c r="A18" s="51" t="s">
        <v>61</v>
      </c>
      <c r="B18" s="41">
        <v>2304045</v>
      </c>
      <c r="C18" s="41">
        <v>2304045</v>
      </c>
      <c r="D18" s="41">
        <v>232466</v>
      </c>
      <c r="E18" s="41">
        <v>204835</v>
      </c>
      <c r="F18" s="41">
        <f>7722050+3000000+8828987+1616069</f>
        <v>21167106</v>
      </c>
      <c r="G18" s="41">
        <v>19551037</v>
      </c>
      <c r="H18" s="41"/>
      <c r="I18" s="41"/>
      <c r="J18" s="43">
        <f t="shared" ref="J18:J32" si="3">B18+D18+F18+H18</f>
        <v>23703617</v>
      </c>
      <c r="K18" s="43">
        <f t="shared" ref="K18:K32" si="4">C18+E18+G18+I18</f>
        <v>22059917</v>
      </c>
      <c r="L18" s="40"/>
      <c r="M18" s="52">
        <v>1</v>
      </c>
      <c r="O18" s="3"/>
    </row>
    <row r="19" spans="1:15" s="1" customFormat="1" x14ac:dyDescent="0.3">
      <c r="A19" s="51" t="s">
        <v>62</v>
      </c>
      <c r="B19" s="41"/>
      <c r="C19" s="41"/>
      <c r="D19" s="41"/>
      <c r="E19" s="41"/>
      <c r="F19" s="41">
        <v>1238757</v>
      </c>
      <c r="G19" s="41">
        <v>80425</v>
      </c>
      <c r="H19" s="41"/>
      <c r="I19" s="41"/>
      <c r="J19" s="43">
        <f t="shared" si="3"/>
        <v>1238757</v>
      </c>
      <c r="K19" s="43">
        <f t="shared" si="4"/>
        <v>80425</v>
      </c>
      <c r="L19" s="40"/>
      <c r="M19" s="52"/>
    </row>
    <row r="20" spans="1:15" x14ac:dyDescent="0.3">
      <c r="A20" s="51" t="s">
        <v>63</v>
      </c>
      <c r="B20" s="41"/>
      <c r="C20" s="41"/>
      <c r="D20" s="41"/>
      <c r="E20" s="41"/>
      <c r="F20" s="41">
        <v>6848000</v>
      </c>
      <c r="G20" s="41">
        <v>5744356</v>
      </c>
      <c r="H20" s="41"/>
      <c r="I20" s="41"/>
      <c r="J20" s="43">
        <f t="shared" si="3"/>
        <v>6848000</v>
      </c>
      <c r="K20" s="43">
        <f t="shared" si="4"/>
        <v>5744356</v>
      </c>
      <c r="L20" s="40"/>
      <c r="M20" s="52"/>
    </row>
    <row r="21" spans="1:15" x14ac:dyDescent="0.3">
      <c r="A21" s="51" t="s">
        <v>64</v>
      </c>
      <c r="B21" s="41">
        <v>8290224</v>
      </c>
      <c r="C21" s="41">
        <v>8290224</v>
      </c>
      <c r="D21" s="41">
        <v>1967954</v>
      </c>
      <c r="E21" s="41">
        <v>1967954</v>
      </c>
      <c r="F21" s="41">
        <f>100000+362078</f>
        <v>462078</v>
      </c>
      <c r="G21" s="41">
        <v>462078</v>
      </c>
      <c r="H21" s="41"/>
      <c r="I21" s="41"/>
      <c r="J21" s="43">
        <f t="shared" si="3"/>
        <v>10720256</v>
      </c>
      <c r="K21" s="43">
        <f t="shared" si="4"/>
        <v>10720256</v>
      </c>
      <c r="L21" s="40"/>
      <c r="M21" s="52">
        <v>2</v>
      </c>
    </row>
    <row r="22" spans="1:15" x14ac:dyDescent="0.3">
      <c r="A22" s="51" t="s">
        <v>65</v>
      </c>
      <c r="B22" s="41">
        <f>2748000+100000+12000+10000-71127</f>
        <v>2798873</v>
      </c>
      <c r="C22" s="41">
        <v>2696238</v>
      </c>
      <c r="D22" s="41">
        <v>700070</v>
      </c>
      <c r="E22" s="41">
        <v>700070</v>
      </c>
      <c r="F22" s="41">
        <f>200000+764954</f>
        <v>964954</v>
      </c>
      <c r="G22" s="41">
        <v>964954</v>
      </c>
      <c r="H22" s="41"/>
      <c r="I22" s="41"/>
      <c r="J22" s="43">
        <f t="shared" si="3"/>
        <v>4463897</v>
      </c>
      <c r="K22" s="43">
        <f t="shared" si="4"/>
        <v>4361262</v>
      </c>
      <c r="L22" s="40"/>
      <c r="M22" s="52">
        <v>1</v>
      </c>
    </row>
    <row r="23" spans="1:15" x14ac:dyDescent="0.3">
      <c r="A23" s="51" t="s">
        <v>66</v>
      </c>
      <c r="B23" s="41">
        <f>5870160-2369755+442553</f>
        <v>3942958</v>
      </c>
      <c r="C23" s="41">
        <v>3942958</v>
      </c>
      <c r="D23" s="41">
        <v>753887</v>
      </c>
      <c r="E23" s="41">
        <v>753887</v>
      </c>
      <c r="F23" s="41">
        <v>317500</v>
      </c>
      <c r="G23" s="41">
        <v>159610</v>
      </c>
      <c r="H23" s="41"/>
      <c r="I23" s="41"/>
      <c r="J23" s="43">
        <f t="shared" si="3"/>
        <v>5014345</v>
      </c>
      <c r="K23" s="43">
        <f t="shared" si="4"/>
        <v>4856455</v>
      </c>
      <c r="L23" s="40"/>
      <c r="M23" s="52">
        <v>6</v>
      </c>
    </row>
    <row r="24" spans="1:15" x14ac:dyDescent="0.3">
      <c r="A24" s="51" t="s">
        <v>67</v>
      </c>
      <c r="B24" s="41">
        <f>13525282-1244256</f>
        <v>12281026</v>
      </c>
      <c r="C24" s="41">
        <f>13525282-1244256</f>
        <v>12281026</v>
      </c>
      <c r="D24" s="41">
        <f>2287080-192862</f>
        <v>2094218</v>
      </c>
      <c r="E24" s="41">
        <f>2287080-192862</f>
        <v>2094218</v>
      </c>
      <c r="F24" s="41">
        <f>6500000+3031055+6214668</f>
        <v>15745723</v>
      </c>
      <c r="G24" s="41">
        <v>15745723</v>
      </c>
      <c r="H24" s="41"/>
      <c r="I24" s="41"/>
      <c r="J24" s="43">
        <f t="shared" si="3"/>
        <v>30120967</v>
      </c>
      <c r="K24" s="43">
        <f t="shared" si="4"/>
        <v>30120967</v>
      </c>
      <c r="L24" s="40"/>
      <c r="M24" s="52">
        <v>1</v>
      </c>
    </row>
    <row r="25" spans="1:15" x14ac:dyDescent="0.3">
      <c r="A25" s="51" t="s">
        <v>78</v>
      </c>
      <c r="B25" s="41">
        <v>4149919</v>
      </c>
      <c r="C25" s="41">
        <v>4149919</v>
      </c>
      <c r="D25" s="41">
        <v>645656</v>
      </c>
      <c r="E25" s="41">
        <v>645656</v>
      </c>
      <c r="F25" s="41">
        <v>10220</v>
      </c>
      <c r="G25" s="41">
        <v>10220</v>
      </c>
      <c r="H25" s="41"/>
      <c r="I25" s="41"/>
      <c r="J25" s="43">
        <f t="shared" si="3"/>
        <v>4805795</v>
      </c>
      <c r="K25" s="43">
        <f t="shared" si="4"/>
        <v>4805795</v>
      </c>
      <c r="L25" s="40"/>
      <c r="M25" s="52">
        <v>1</v>
      </c>
    </row>
    <row r="26" spans="1:15" x14ac:dyDescent="0.3">
      <c r="A26" s="51" t="s">
        <v>69</v>
      </c>
      <c r="B26" s="41">
        <v>1244256</v>
      </c>
      <c r="C26" s="41">
        <v>1244256</v>
      </c>
      <c r="D26" s="41">
        <v>192862</v>
      </c>
      <c r="E26" s="41">
        <v>192862</v>
      </c>
      <c r="F26" s="41"/>
      <c r="G26" s="41"/>
      <c r="H26" s="41"/>
      <c r="I26" s="41"/>
      <c r="J26" s="43">
        <f t="shared" si="3"/>
        <v>1437118</v>
      </c>
      <c r="K26" s="43">
        <f t="shared" si="4"/>
        <v>1437118</v>
      </c>
      <c r="L26" s="40"/>
      <c r="M26" s="52"/>
    </row>
    <row r="27" spans="1:15" x14ac:dyDescent="0.3">
      <c r="A27" s="51" t="s">
        <v>59</v>
      </c>
      <c r="B27" s="43"/>
      <c r="C27" s="43"/>
      <c r="D27" s="43"/>
      <c r="E27" s="43"/>
      <c r="F27" s="73">
        <v>8128000</v>
      </c>
      <c r="G27" s="73">
        <v>5827610</v>
      </c>
      <c r="H27" s="41"/>
      <c r="I27" s="41"/>
      <c r="J27" s="43">
        <f t="shared" si="3"/>
        <v>8128000</v>
      </c>
      <c r="K27" s="43">
        <f t="shared" si="4"/>
        <v>5827610</v>
      </c>
      <c r="L27" s="40"/>
      <c r="M27" s="52"/>
    </row>
    <row r="28" spans="1:15" x14ac:dyDescent="0.3">
      <c r="A28" s="51" t="s">
        <v>139</v>
      </c>
      <c r="B28" s="41"/>
      <c r="C28" s="41"/>
      <c r="D28" s="41"/>
      <c r="E28" s="41"/>
      <c r="F28" s="41">
        <v>1592663</v>
      </c>
      <c r="G28" s="41">
        <v>1592663</v>
      </c>
      <c r="H28" s="41"/>
      <c r="I28" s="41"/>
      <c r="J28" s="43">
        <f t="shared" si="3"/>
        <v>1592663</v>
      </c>
      <c r="K28" s="43">
        <f t="shared" si="4"/>
        <v>1592663</v>
      </c>
      <c r="L28" s="40"/>
      <c r="M28" s="52"/>
    </row>
    <row r="29" spans="1:15" x14ac:dyDescent="0.3">
      <c r="A29" s="70" t="s">
        <v>132</v>
      </c>
      <c r="B29" s="41"/>
      <c r="C29" s="41"/>
      <c r="D29" s="41"/>
      <c r="E29" s="41"/>
      <c r="F29" s="41">
        <v>3360816</v>
      </c>
      <c r="G29" s="41">
        <v>3360816</v>
      </c>
      <c r="H29" s="41"/>
      <c r="I29" s="41"/>
      <c r="J29" s="43">
        <f t="shared" si="3"/>
        <v>3360816</v>
      </c>
      <c r="K29" s="43">
        <f t="shared" si="4"/>
        <v>3360816</v>
      </c>
      <c r="L29" s="40"/>
      <c r="M29" s="52"/>
    </row>
    <row r="30" spans="1:15" x14ac:dyDescent="0.3">
      <c r="A30" s="51" t="s">
        <v>141</v>
      </c>
      <c r="B30" s="41"/>
      <c r="C30" s="41"/>
      <c r="D30" s="41"/>
      <c r="E30" s="41"/>
      <c r="F30" s="41">
        <v>900240</v>
      </c>
      <c r="G30" s="41">
        <v>900240</v>
      </c>
      <c r="H30" s="41"/>
      <c r="I30" s="41"/>
      <c r="J30" s="43">
        <f t="shared" si="3"/>
        <v>900240</v>
      </c>
      <c r="K30" s="43">
        <f t="shared" si="4"/>
        <v>900240</v>
      </c>
      <c r="L30" s="40"/>
      <c r="M30" s="52"/>
    </row>
    <row r="31" spans="1:15" x14ac:dyDescent="0.3">
      <c r="A31" s="51" t="s">
        <v>51</v>
      </c>
      <c r="B31" s="41"/>
      <c r="C31" s="41"/>
      <c r="D31" s="41"/>
      <c r="E31" s="41"/>
      <c r="F31" s="41">
        <v>41082</v>
      </c>
      <c r="G31" s="41">
        <v>41082</v>
      </c>
      <c r="H31" s="41"/>
      <c r="I31" s="41"/>
      <c r="J31" s="43">
        <f t="shared" si="3"/>
        <v>41082</v>
      </c>
      <c r="K31" s="43">
        <f t="shared" si="4"/>
        <v>41082</v>
      </c>
      <c r="L31" s="40"/>
      <c r="M31" s="52"/>
    </row>
    <row r="32" spans="1:15" x14ac:dyDescent="0.3">
      <c r="A32" s="58" t="s">
        <v>140</v>
      </c>
      <c r="B32" s="49"/>
      <c r="C32" s="49"/>
      <c r="D32" s="49"/>
      <c r="E32" s="49"/>
      <c r="F32" s="50">
        <v>762606</v>
      </c>
      <c r="G32" s="50">
        <v>762606</v>
      </c>
      <c r="H32" s="50"/>
      <c r="I32" s="50"/>
      <c r="J32" s="43">
        <f t="shared" si="3"/>
        <v>762606</v>
      </c>
      <c r="K32" s="43">
        <f t="shared" si="4"/>
        <v>762606</v>
      </c>
      <c r="L32" s="78"/>
      <c r="M32" s="59"/>
    </row>
    <row r="33" spans="1:14" ht="15" thickBot="1" x14ac:dyDescent="0.35">
      <c r="A33" s="60" t="s">
        <v>68</v>
      </c>
      <c r="B33" s="90">
        <f>SUM(B17:B32)</f>
        <v>35011301</v>
      </c>
      <c r="C33" s="90">
        <f>SUM(C17:C32)</f>
        <v>34908666</v>
      </c>
      <c r="D33" s="90">
        <f t="shared" ref="D33:K33" si="5">SUM(D17:D32)</f>
        <v>6587113</v>
      </c>
      <c r="E33" s="90">
        <f t="shared" si="5"/>
        <v>6559482</v>
      </c>
      <c r="F33" s="90">
        <f t="shared" si="5"/>
        <v>64447825</v>
      </c>
      <c r="G33" s="61">
        <f t="shared" si="5"/>
        <v>55203420</v>
      </c>
      <c r="H33" s="61">
        <f t="shared" si="5"/>
        <v>0</v>
      </c>
      <c r="I33" s="61">
        <f t="shared" si="5"/>
        <v>0</v>
      </c>
      <c r="J33" s="89">
        <f t="shared" si="5"/>
        <v>106046239</v>
      </c>
      <c r="K33" s="89">
        <f t="shared" si="5"/>
        <v>96671568</v>
      </c>
      <c r="L33" s="79"/>
      <c r="M33" s="62">
        <f t="shared" ref="M33" si="6">SUM(M17:M32)</f>
        <v>12</v>
      </c>
      <c r="N33" s="6"/>
    </row>
    <row r="34" spans="1:14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4" x14ac:dyDescent="0.3">
      <c r="F35" s="6"/>
    </row>
    <row r="36" spans="1:14" x14ac:dyDescent="0.3">
      <c r="F36" s="6"/>
    </row>
    <row r="37" spans="1:14" x14ac:dyDescent="0.3">
      <c r="F37" s="6"/>
    </row>
  </sheetData>
  <mergeCells count="12">
    <mergeCell ref="A2:M2"/>
    <mergeCell ref="A3:M3"/>
    <mergeCell ref="A1:M1"/>
    <mergeCell ref="B5:M5"/>
    <mergeCell ref="A4:M4"/>
    <mergeCell ref="A5:A7"/>
    <mergeCell ref="M14:M15"/>
    <mergeCell ref="B14:L14"/>
    <mergeCell ref="A14:A15"/>
    <mergeCell ref="B6:I6"/>
    <mergeCell ref="J6:K6"/>
    <mergeCell ref="L6:M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114" t="s">
        <v>48</v>
      </c>
      <c r="B1" s="114"/>
      <c r="C1" s="114"/>
      <c r="D1" s="114"/>
    </row>
    <row r="2" spans="1:4" x14ac:dyDescent="0.3">
      <c r="A2" s="114" t="s">
        <v>101</v>
      </c>
      <c r="B2" s="114"/>
      <c r="C2" s="114"/>
      <c r="D2" s="114"/>
    </row>
    <row r="3" spans="1:4" x14ac:dyDescent="0.3">
      <c r="A3" s="114" t="s">
        <v>75</v>
      </c>
      <c r="B3" s="114"/>
      <c r="C3" s="114"/>
      <c r="D3" s="114"/>
    </row>
    <row r="4" spans="1:4" x14ac:dyDescent="0.3">
      <c r="A4" s="19"/>
      <c r="B4" s="21"/>
      <c r="D4" s="21" t="s">
        <v>102</v>
      </c>
    </row>
    <row r="5" spans="1:4" x14ac:dyDescent="0.3">
      <c r="A5" s="19"/>
      <c r="B5" s="21"/>
      <c r="D5" s="21" t="s">
        <v>115</v>
      </c>
    </row>
    <row r="6" spans="1:4" x14ac:dyDescent="0.3">
      <c r="A6" s="1"/>
      <c r="B6" s="1"/>
    </row>
    <row r="7" spans="1:4" x14ac:dyDescent="0.3">
      <c r="A7" s="1" t="s">
        <v>103</v>
      </c>
      <c r="B7" s="8" t="s">
        <v>97</v>
      </c>
      <c r="C7" s="20" t="s">
        <v>98</v>
      </c>
      <c r="D7" s="20" t="s">
        <v>99</v>
      </c>
    </row>
    <row r="8" spans="1:4" x14ac:dyDescent="0.3">
      <c r="A8" t="s">
        <v>104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105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118</v>
      </c>
      <c r="C10" s="2">
        <v>4196000</v>
      </c>
      <c r="D10" s="2">
        <f t="shared" si="0"/>
        <v>4196000</v>
      </c>
    </row>
    <row r="11" spans="1:4" x14ac:dyDescent="0.3">
      <c r="A11" s="5" t="s">
        <v>119</v>
      </c>
      <c r="C11" s="2">
        <v>12600000</v>
      </c>
      <c r="D11" s="2">
        <f t="shared" si="0"/>
        <v>12600000</v>
      </c>
    </row>
    <row r="12" spans="1:4" x14ac:dyDescent="0.3">
      <c r="A12" t="s">
        <v>120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106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114" t="s">
        <v>48</v>
      </c>
      <c r="B1" s="114"/>
      <c r="C1" s="114"/>
      <c r="D1" s="114"/>
    </row>
    <row r="2" spans="1:4" x14ac:dyDescent="0.3">
      <c r="A2" s="114" t="s">
        <v>107</v>
      </c>
      <c r="B2" s="114"/>
      <c r="C2" s="114"/>
      <c r="D2" s="114"/>
    </row>
    <row r="3" spans="1:4" x14ac:dyDescent="0.3">
      <c r="A3" s="114" t="s">
        <v>75</v>
      </c>
      <c r="B3" s="114"/>
      <c r="C3" s="114"/>
      <c r="D3" s="114"/>
    </row>
    <row r="4" spans="1:4" x14ac:dyDescent="0.3">
      <c r="A4" s="19"/>
      <c r="D4" s="21" t="s">
        <v>108</v>
      </c>
    </row>
    <row r="5" spans="1:4" x14ac:dyDescent="0.3">
      <c r="A5" s="19"/>
      <c r="D5" s="21" t="s">
        <v>115</v>
      </c>
    </row>
    <row r="6" spans="1:4" x14ac:dyDescent="0.3">
      <c r="A6" s="1"/>
    </row>
    <row r="7" spans="1:4" x14ac:dyDescent="0.3">
      <c r="A7" s="1" t="s">
        <v>109</v>
      </c>
      <c r="B7" s="8" t="s">
        <v>97</v>
      </c>
      <c r="C7" s="19" t="s">
        <v>98</v>
      </c>
      <c r="D7" s="19" t="s">
        <v>99</v>
      </c>
    </row>
    <row r="8" spans="1:4" x14ac:dyDescent="0.3">
      <c r="A8" t="s">
        <v>110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111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116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5" t="s">
        <v>112</v>
      </c>
      <c r="B11" s="22">
        <v>470000</v>
      </c>
      <c r="C11" s="22">
        <v>0</v>
      </c>
      <c r="D11" s="22">
        <f t="shared" si="0"/>
        <v>470000</v>
      </c>
    </row>
    <row r="12" spans="1:4" x14ac:dyDescent="0.3">
      <c r="A12" t="s">
        <v>113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117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114</v>
      </c>
      <c r="B14" s="14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106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2.sz.melléklet Önk.bev.</vt:lpstr>
      <vt:lpstr>2.sz.melléklet Önk.kiad.</vt:lpstr>
      <vt:lpstr>2.sz.mell.Önk.felad.és létszám</vt:lpstr>
      <vt:lpstr>3.sz.melléklet felújítás</vt:lpstr>
      <vt:lpstr>4.sz.melléklet 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2021-05-27T08:14:57Z</dcterms:modified>
</cp:coreProperties>
</file>