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okumentumok\dr. Lantai Éva 2021\SZO\2020 évi KV 2021 évi mód\"/>
    </mc:Choice>
  </mc:AlternateContent>
  <bookViews>
    <workbookView xWindow="360" yWindow="315" windowWidth="12120" windowHeight="8640" activeTab="2"/>
  </bookViews>
  <sheets>
    <sheet name="2020.évi ktv." sheetId="35" r:id="rId1"/>
    <sheet name="2020.évi ei.mód" sheetId="36" r:id="rId2"/>
    <sheet name="2020.évi ei.mód II." sheetId="37" r:id="rId3"/>
  </sheets>
  <calcPr calcId="181029"/>
</workbook>
</file>

<file path=xl/calcChain.xml><?xml version="1.0" encoding="utf-8"?>
<calcChain xmlns="http://schemas.openxmlformats.org/spreadsheetml/2006/main">
  <c r="E13" i="37" l="1"/>
  <c r="Q13" i="37"/>
  <c r="R14" i="37"/>
  <c r="E11" i="37"/>
  <c r="F11" i="37"/>
  <c r="E20" i="37"/>
  <c r="F20" i="37"/>
  <c r="S21" i="37"/>
  <c r="S16" i="37"/>
  <c r="S15" i="37"/>
  <c r="S11" i="37"/>
  <c r="S10" i="37"/>
  <c r="Q10" i="37"/>
  <c r="M10" i="37"/>
  <c r="M15" i="37"/>
  <c r="M22" i="37"/>
  <c r="K11" i="37"/>
  <c r="K16" i="37"/>
  <c r="K21" i="37"/>
  <c r="K10" i="37"/>
  <c r="G12" i="37"/>
  <c r="S12" i="37"/>
  <c r="G11" i="37"/>
  <c r="G10" i="37"/>
  <c r="O29" i="37"/>
  <c r="M29" i="37"/>
  <c r="K29" i="37"/>
  <c r="H29" i="37"/>
  <c r="G29" i="37"/>
  <c r="E29" i="37"/>
  <c r="Q29" i="37"/>
  <c r="D29" i="37"/>
  <c r="C29" i="37"/>
  <c r="S28" i="37"/>
  <c r="Q28" i="37"/>
  <c r="O28" i="37"/>
  <c r="S27" i="37"/>
  <c r="Q27" i="37"/>
  <c r="O27" i="37"/>
  <c r="S20" i="37"/>
  <c r="O20" i="37"/>
  <c r="L20" i="37"/>
  <c r="S19" i="37"/>
  <c r="Q19" i="37"/>
  <c r="O19" i="37"/>
  <c r="S18" i="37"/>
  <c r="R18" i="37"/>
  <c r="Q18" i="37"/>
  <c r="P18" i="37"/>
  <c r="O18" i="37"/>
  <c r="L18" i="37"/>
  <c r="F18" i="37"/>
  <c r="D18" i="37"/>
  <c r="S17" i="37"/>
  <c r="Q17" i="37"/>
  <c r="O17" i="37"/>
  <c r="M16" i="37"/>
  <c r="M21" i="37"/>
  <c r="J16" i="37"/>
  <c r="I16" i="37"/>
  <c r="I21" i="37"/>
  <c r="C16" i="37"/>
  <c r="C21" i="37"/>
  <c r="O21" i="37"/>
  <c r="I15" i="37"/>
  <c r="E15" i="37"/>
  <c r="S14" i="37"/>
  <c r="Q14" i="37"/>
  <c r="O14" i="37"/>
  <c r="L14" i="37"/>
  <c r="H14" i="37"/>
  <c r="S13" i="37"/>
  <c r="P13" i="37"/>
  <c r="O13" i="37"/>
  <c r="D13" i="37"/>
  <c r="Q12" i="37"/>
  <c r="O12" i="37"/>
  <c r="O11" i="37"/>
  <c r="N11" i="37"/>
  <c r="J11" i="37"/>
  <c r="K15" i="37"/>
  <c r="C10" i="37"/>
  <c r="O10" i="37"/>
  <c r="P11" i="37"/>
  <c r="S21" i="36"/>
  <c r="S16" i="36"/>
  <c r="S15" i="36"/>
  <c r="S11" i="36"/>
  <c r="S10" i="36"/>
  <c r="Q21" i="36"/>
  <c r="Q16" i="36"/>
  <c r="Q15" i="36"/>
  <c r="Q11" i="36"/>
  <c r="Q10" i="36"/>
  <c r="K11" i="36"/>
  <c r="K10" i="36"/>
  <c r="K15" i="36"/>
  <c r="E11" i="36"/>
  <c r="M29" i="36"/>
  <c r="K29" i="36"/>
  <c r="H29" i="36"/>
  <c r="G29" i="36"/>
  <c r="E29" i="36"/>
  <c r="D29" i="36"/>
  <c r="C29" i="36"/>
  <c r="S28" i="36"/>
  <c r="Q28" i="36"/>
  <c r="O28" i="36"/>
  <c r="S27" i="36"/>
  <c r="Q27" i="36"/>
  <c r="O27" i="36"/>
  <c r="O29" i="36"/>
  <c r="S20" i="36"/>
  <c r="Q20" i="36"/>
  <c r="O20" i="36"/>
  <c r="L20" i="36"/>
  <c r="F20" i="36"/>
  <c r="S19" i="36"/>
  <c r="Q19" i="36"/>
  <c r="O19" i="36"/>
  <c r="S18" i="36"/>
  <c r="Q18" i="36"/>
  <c r="O18" i="36"/>
  <c r="P18" i="36"/>
  <c r="L18" i="36"/>
  <c r="F18" i="36"/>
  <c r="D18" i="36"/>
  <c r="S17" i="36"/>
  <c r="Q17" i="36"/>
  <c r="O17" i="36"/>
  <c r="M16" i="36"/>
  <c r="M21" i="36"/>
  <c r="K16" i="36"/>
  <c r="K21" i="36"/>
  <c r="I16" i="36"/>
  <c r="I21" i="36"/>
  <c r="G16" i="36"/>
  <c r="E16" i="36"/>
  <c r="C16" i="36"/>
  <c r="C21" i="36"/>
  <c r="O21" i="36"/>
  <c r="M15" i="36"/>
  <c r="I15" i="36"/>
  <c r="G15" i="36"/>
  <c r="E15" i="36"/>
  <c r="S14" i="36"/>
  <c r="Q14" i="36"/>
  <c r="O14" i="36"/>
  <c r="L14" i="36"/>
  <c r="H14" i="36"/>
  <c r="F14" i="36"/>
  <c r="S13" i="36"/>
  <c r="Q13" i="36"/>
  <c r="O13" i="36"/>
  <c r="D13" i="36"/>
  <c r="S12" i="36"/>
  <c r="T14" i="36"/>
  <c r="Q12" i="36"/>
  <c r="O12" i="36"/>
  <c r="O11" i="36"/>
  <c r="N11" i="36"/>
  <c r="J11" i="36"/>
  <c r="H11" i="36"/>
  <c r="F11" i="36"/>
  <c r="C10" i="36"/>
  <c r="O10" i="36"/>
  <c r="Y21" i="35"/>
  <c r="Y16" i="35"/>
  <c r="Y15" i="35"/>
  <c r="Y11" i="35"/>
  <c r="Y10" i="35"/>
  <c r="W10" i="35"/>
  <c r="O10" i="35"/>
  <c r="T22" i="35"/>
  <c r="T18" i="35"/>
  <c r="T16" i="35"/>
  <c r="T13" i="35"/>
  <c r="T11" i="35"/>
  <c r="S29" i="35"/>
  <c r="S28" i="35"/>
  <c r="S27" i="35"/>
  <c r="S22" i="35"/>
  <c r="S20" i="35"/>
  <c r="S19" i="35"/>
  <c r="S18" i="35"/>
  <c r="S17" i="35"/>
  <c r="S14" i="35"/>
  <c r="S13" i="35"/>
  <c r="S12" i="35"/>
  <c r="S11" i="35"/>
  <c r="S15" i="35"/>
  <c r="S16" i="35"/>
  <c r="S21" i="35"/>
  <c r="S10" i="35"/>
  <c r="D22" i="35"/>
  <c r="D18" i="35"/>
  <c r="D16" i="35"/>
  <c r="D13" i="35"/>
  <c r="D11" i="35"/>
  <c r="C29" i="35"/>
  <c r="D29" i="35"/>
  <c r="E29" i="35"/>
  <c r="F29" i="35"/>
  <c r="C22" i="35"/>
  <c r="C21" i="35"/>
  <c r="C16" i="35"/>
  <c r="C15" i="35"/>
  <c r="C10" i="35"/>
  <c r="L21" i="35"/>
  <c r="L16" i="35"/>
  <c r="L11" i="35"/>
  <c r="K22" i="35"/>
  <c r="K21" i="35"/>
  <c r="M21" i="35"/>
  <c r="K16" i="35"/>
  <c r="K15" i="35"/>
  <c r="W11" i="35"/>
  <c r="Y27" i="35"/>
  <c r="P11" i="35"/>
  <c r="G15" i="35"/>
  <c r="Q29" i="35"/>
  <c r="O29" i="35"/>
  <c r="N29" i="35"/>
  <c r="M29" i="35"/>
  <c r="J29" i="35"/>
  <c r="I29" i="35"/>
  <c r="Y29" i="35"/>
  <c r="G29" i="35"/>
  <c r="Y28" i="35"/>
  <c r="W28" i="35"/>
  <c r="U28" i="35"/>
  <c r="U29" i="35"/>
  <c r="W27" i="35"/>
  <c r="Y20" i="35"/>
  <c r="W20" i="35"/>
  <c r="U20" i="35"/>
  <c r="V20" i="35"/>
  <c r="P20" i="35"/>
  <c r="N20" i="35"/>
  <c r="H20" i="35"/>
  <c r="F20" i="35"/>
  <c r="Y19" i="35"/>
  <c r="W19" i="35"/>
  <c r="U19" i="35"/>
  <c r="V19" i="35"/>
  <c r="Y18" i="35"/>
  <c r="W18" i="35"/>
  <c r="X18" i="35"/>
  <c r="V18" i="35"/>
  <c r="U18" i="35"/>
  <c r="P18" i="35"/>
  <c r="N18" i="35"/>
  <c r="H18" i="35"/>
  <c r="F18" i="35"/>
  <c r="Y17" i="35"/>
  <c r="W17" i="35"/>
  <c r="U17" i="35"/>
  <c r="Q16" i="35"/>
  <c r="Q21" i="35"/>
  <c r="Q22" i="35"/>
  <c r="O16" i="35"/>
  <c r="O21" i="35"/>
  <c r="I16" i="35"/>
  <c r="Q15" i="35"/>
  <c r="R16" i="35"/>
  <c r="R22" i="35"/>
  <c r="I15" i="35"/>
  <c r="E15" i="35"/>
  <c r="Y14" i="35"/>
  <c r="W14" i="35"/>
  <c r="U14" i="35"/>
  <c r="P14" i="35"/>
  <c r="N14" i="35"/>
  <c r="J14" i="35"/>
  <c r="Y13" i="35"/>
  <c r="W13" i="35"/>
  <c r="X14" i="35"/>
  <c r="G16" i="35"/>
  <c r="H16" i="35"/>
  <c r="E13" i="35"/>
  <c r="F14" i="35"/>
  <c r="Y12" i="35"/>
  <c r="Z14" i="35"/>
  <c r="W12" i="35"/>
  <c r="U12" i="35"/>
  <c r="R11" i="35"/>
  <c r="M11" i="35"/>
  <c r="M16" i="35"/>
  <c r="J11" i="35"/>
  <c r="H11" i="35"/>
  <c r="F11" i="35"/>
  <c r="E11" i="35"/>
  <c r="U11" i="35"/>
  <c r="M10" i="35"/>
  <c r="M15" i="35"/>
  <c r="E10" i="35"/>
  <c r="W29" i="35"/>
  <c r="O15" i="35"/>
  <c r="W15" i="35"/>
  <c r="I21" i="35"/>
  <c r="M22" i="35"/>
  <c r="N16" i="35"/>
  <c r="N22" i="35"/>
  <c r="U10" i="35"/>
  <c r="V11" i="35"/>
  <c r="E16" i="35"/>
  <c r="N11" i="35"/>
  <c r="U13" i="35"/>
  <c r="V13" i="35"/>
  <c r="U15" i="35"/>
  <c r="F16" i="35"/>
  <c r="F22" i="35"/>
  <c r="H14" i="35"/>
  <c r="E21" i="35"/>
  <c r="U16" i="35"/>
  <c r="V16" i="35"/>
  <c r="V22" i="35"/>
  <c r="U21" i="35"/>
  <c r="E22" i="35"/>
  <c r="U22" i="35"/>
  <c r="Z11" i="35"/>
  <c r="X11" i="35"/>
  <c r="O22" i="35"/>
  <c r="P16" i="35"/>
  <c r="P22" i="35"/>
  <c r="J16" i="35"/>
  <c r="J22" i="35"/>
  <c r="Z22" i="35"/>
  <c r="I22" i="35"/>
  <c r="Y22" i="35"/>
  <c r="W16" i="35"/>
  <c r="X16" i="35"/>
  <c r="X22" i="35"/>
  <c r="G21" i="35"/>
  <c r="W21" i="35"/>
  <c r="H22" i="35"/>
  <c r="G22" i="35"/>
  <c r="W22" i="35"/>
  <c r="S29" i="36"/>
  <c r="R18" i="36"/>
  <c r="P11" i="36"/>
  <c r="E22" i="36"/>
  <c r="R11" i="36"/>
  <c r="H16" i="36"/>
  <c r="H22" i="36"/>
  <c r="E21" i="36"/>
  <c r="T11" i="36"/>
  <c r="T22" i="36"/>
  <c r="P13" i="36"/>
  <c r="Q29" i="36"/>
  <c r="I22" i="36"/>
  <c r="F16" i="36"/>
  <c r="F22" i="36"/>
  <c r="L11" i="36"/>
  <c r="R14" i="36"/>
  <c r="K22" i="36"/>
  <c r="L16" i="36"/>
  <c r="L22" i="36"/>
  <c r="M22" i="36"/>
  <c r="D11" i="36"/>
  <c r="N16" i="36"/>
  <c r="N22" i="36"/>
  <c r="C15" i="36"/>
  <c r="O16" i="36"/>
  <c r="G21" i="36"/>
  <c r="J16" i="36"/>
  <c r="R16" i="36"/>
  <c r="R22" i="36"/>
  <c r="J21" i="36"/>
  <c r="Q22" i="36"/>
  <c r="C22" i="36"/>
  <c r="D16" i="36"/>
  <c r="D22" i="36"/>
  <c r="O15" i="36"/>
  <c r="G22" i="36"/>
  <c r="S22" i="36"/>
  <c r="O22" i="36"/>
  <c r="P16" i="36"/>
  <c r="P22" i="36"/>
  <c r="S29" i="37"/>
  <c r="Q11" i="37"/>
  <c r="R11" i="37"/>
  <c r="L11" i="37"/>
  <c r="T14" i="37"/>
  <c r="G16" i="37"/>
  <c r="G21" i="37"/>
  <c r="T11" i="37"/>
  <c r="T22" i="37"/>
  <c r="H11" i="37"/>
  <c r="G15" i="37"/>
  <c r="K22" i="37"/>
  <c r="L16" i="37"/>
  <c r="L22" i="37"/>
  <c r="Q15" i="37"/>
  <c r="I22" i="37"/>
  <c r="J21" i="37"/>
  <c r="C15" i="37"/>
  <c r="N16" i="37"/>
  <c r="N22" i="37"/>
  <c r="D11" i="37"/>
  <c r="O16" i="37"/>
  <c r="G22" i="37"/>
  <c r="S22" i="37"/>
  <c r="H16" i="37"/>
  <c r="H22" i="37"/>
  <c r="C22" i="37"/>
  <c r="D16" i="37"/>
  <c r="D22" i="37"/>
  <c r="O15" i="37"/>
  <c r="O22" i="37"/>
  <c r="P16" i="37"/>
  <c r="P22" i="37"/>
  <c r="F14" i="37"/>
  <c r="E16" i="37"/>
  <c r="E21" i="37"/>
  <c r="Q20" i="37"/>
  <c r="Q16" i="37"/>
  <c r="R16" i="37"/>
  <c r="R22" i="37"/>
  <c r="F16" i="37"/>
  <c r="F22" i="37"/>
  <c r="Q21" i="37"/>
  <c r="E22" i="37"/>
  <c r="Q22" i="37"/>
</calcChain>
</file>

<file path=xl/sharedStrings.xml><?xml version="1.0" encoding="utf-8"?>
<sst xmlns="http://schemas.openxmlformats.org/spreadsheetml/2006/main" count="125" uniqueCount="32">
  <si>
    <t>KÖLTSÉGVETÉSI HIÁNY TERVEZETT ÖSSZEGÉNEK ÉS FINANSZÍROZÁSÁNAK KIMUTATÁSA</t>
  </si>
  <si>
    <t>MŰKÖDÉSI PÉNZFORG.BEV.ÖSSZESEN:</t>
  </si>
  <si>
    <t>MŰKÖDÉSI PÉNZFORG.KIADÁS.ÖSSZESEN:</t>
  </si>
  <si>
    <t>FELHALMOZÁSI PÉNZFORG.BEV.ÖSSZESEN:</t>
  </si>
  <si>
    <t>FELHALMOZÁSI PÉNZFORG.KIADÁS.ÖSSZESEN:</t>
  </si>
  <si>
    <t xml:space="preserve">FELHALMOZÁSI HITEL </t>
  </si>
  <si>
    <t>PÉNZFORGALMI BEVÉTEL ÖSSZESEN:</t>
  </si>
  <si>
    <t>PÉNZFORGALMI KIADÁS.ÖSSZESEN:</t>
  </si>
  <si>
    <t>PÉNZFORGALOM NÉLKÜLI KIADÁS</t>
  </si>
  <si>
    <t xml:space="preserve">   ÁLTALÁNOS TARTALÉK</t>
  </si>
  <si>
    <t>KIADÁS ÖSSZESEN:</t>
  </si>
  <si>
    <t>BEVÉTEL ÉS KIADÁS KÜLÖNBSÉGE:</t>
  </si>
  <si>
    <t>A KÖLTSÉGVETÉSI HIÁNY FINANSZÍROZÁSÁNAK MÓDJA:</t>
  </si>
  <si>
    <t xml:space="preserve">    BELSŐ FORRÁSBÓL:</t>
  </si>
  <si>
    <t xml:space="preserve">           -működési tartalék</t>
  </si>
  <si>
    <t xml:space="preserve">        - felhalmozási tartalék</t>
  </si>
  <si>
    <t>Megnevezés</t>
  </si>
  <si>
    <t>Eltérés</t>
  </si>
  <si>
    <t>Szomód Község Önk.</t>
  </si>
  <si>
    <t>Összesen</t>
  </si>
  <si>
    <t>2.melléklet</t>
  </si>
  <si>
    <t xml:space="preserve">  CÉLTARTALÉK  - egyéb</t>
  </si>
  <si>
    <t xml:space="preserve">                               - felhalmozási</t>
  </si>
  <si>
    <t>Szomódi Polgármesteri Hivatal</t>
  </si>
  <si>
    <t>2019.évi Eredeti ei.</t>
  </si>
  <si>
    <t>2019.évi  telj.</t>
  </si>
  <si>
    <t>2019.évi Mód.ei.</t>
  </si>
  <si>
    <t>2020.évi Eredeti ei.</t>
  </si>
  <si>
    <t>2020.évi Mód.ei.</t>
  </si>
  <si>
    <t>2020.évi  telj.</t>
  </si>
  <si>
    <t>a  2  / 2020.(II.11.) önkormányzati rendelethez</t>
  </si>
  <si>
    <t>a     / 2020.(IX.  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</si>
</sst>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0" xfId="0" applyFont="1" applyFill="1" applyBorder="1"/>
    <xf numFmtId="3" fontId="0" fillId="0" borderId="0" xfId="0" applyNumberFormat="1"/>
    <xf numFmtId="3" fontId="0" fillId="0" borderId="1" xfId="0" applyNumberFormat="1" applyBorder="1"/>
    <xf numFmtId="3" fontId="3" fillId="0" borderId="1" xfId="0" applyNumberFormat="1" applyFont="1" applyBorder="1"/>
    <xf numFmtId="3" fontId="4" fillId="0" borderId="1" xfId="0" applyNumberFormat="1" applyFont="1" applyBorder="1"/>
    <xf numFmtId="3" fontId="1" fillId="0" borderId="1" xfId="0" applyNumberFormat="1" applyFont="1" applyBorder="1"/>
    <xf numFmtId="3" fontId="0" fillId="0" borderId="0" xfId="0" applyNumberFormat="1" applyBorder="1"/>
    <xf numFmtId="3" fontId="5" fillId="0" borderId="1" xfId="0" applyNumberFormat="1" applyFont="1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3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6" fillId="0" borderId="1" xfId="0" applyFont="1" applyBorder="1"/>
    <xf numFmtId="0" fontId="6" fillId="0" borderId="1" xfId="0" applyFont="1" applyFill="1" applyBorder="1"/>
    <xf numFmtId="3" fontId="0" fillId="0" borderId="3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5" xfId="0" applyNumberForma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workbookViewId="0">
      <selection activeCell="F3" sqref="E3:G3"/>
    </sheetView>
  </sheetViews>
  <sheetFormatPr defaultRowHeight="12.75" x14ac:dyDescent="0.2"/>
  <cols>
    <col min="1" max="1" width="4.28515625" customWidth="1"/>
    <col min="2" max="2" width="51" customWidth="1"/>
    <col min="3" max="4" width="14.140625" customWidth="1"/>
    <col min="5" max="5" width="13.28515625" style="6" customWidth="1"/>
    <col min="6" max="6" width="11.140625" style="6" customWidth="1"/>
    <col min="7" max="7" width="13.140625" style="6" customWidth="1"/>
    <col min="8" max="8" width="13" style="6" customWidth="1"/>
    <col min="9" max="9" width="12.42578125" style="6" customWidth="1"/>
    <col min="10" max="12" width="11.5703125" style="6" customWidth="1"/>
    <col min="13" max="13" width="13.5703125" style="6" customWidth="1"/>
    <col min="14" max="14" width="10.85546875" style="6" customWidth="1"/>
    <col min="15" max="15" width="11.5703125" style="6" customWidth="1"/>
    <col min="16" max="16" width="12.5703125" style="6" customWidth="1"/>
    <col min="17" max="18" width="10.140625" style="6" customWidth="1"/>
    <col min="19" max="19" width="11.85546875" style="6" customWidth="1"/>
    <col min="20" max="20" width="10.7109375" style="6" customWidth="1"/>
    <col min="21" max="21" width="13.7109375" style="6" customWidth="1"/>
    <col min="22" max="22" width="11.28515625" style="6" customWidth="1"/>
    <col min="23" max="23" width="13.7109375" style="6" customWidth="1"/>
    <col min="24" max="24" width="11.7109375" style="6" customWidth="1"/>
    <col min="25" max="25" width="11.140625" style="6" customWidth="1"/>
    <col min="26" max="26" width="11.42578125" style="6" customWidth="1"/>
  </cols>
  <sheetData>
    <row r="1" spans="1:26" x14ac:dyDescent="0.2">
      <c r="I1" s="6" t="s">
        <v>20</v>
      </c>
    </row>
    <row r="3" spans="1:26" x14ac:dyDescent="0.2">
      <c r="E3" s="6" t="s">
        <v>30</v>
      </c>
    </row>
    <row r="6" spans="1:26" x14ac:dyDescent="0.2">
      <c r="B6" t="s">
        <v>0</v>
      </c>
    </row>
    <row r="7" spans="1:26" ht="13.5" thickBot="1" x14ac:dyDescent="0.25"/>
    <row r="8" spans="1:26" ht="13.5" thickBot="1" x14ac:dyDescent="0.25">
      <c r="A8" s="2">
        <v>1</v>
      </c>
      <c r="B8" s="2"/>
      <c r="C8" s="17"/>
      <c r="D8" s="18"/>
      <c r="E8" s="21" t="s">
        <v>18</v>
      </c>
      <c r="F8" s="21"/>
      <c r="G8" s="21"/>
      <c r="H8" s="21"/>
      <c r="I8" s="21"/>
      <c r="J8" s="22"/>
      <c r="K8" s="16"/>
      <c r="L8" s="16"/>
      <c r="M8" s="21" t="s">
        <v>23</v>
      </c>
      <c r="N8" s="21"/>
      <c r="O8" s="21"/>
      <c r="P8" s="21"/>
      <c r="Q8" s="21"/>
      <c r="R8" s="22"/>
      <c r="S8" s="16"/>
      <c r="T8" s="16"/>
      <c r="U8" s="21" t="s">
        <v>19</v>
      </c>
      <c r="V8" s="21"/>
      <c r="W8" s="21"/>
      <c r="X8" s="21"/>
      <c r="Y8" s="21"/>
      <c r="Z8" s="23"/>
    </row>
    <row r="9" spans="1:26" s="15" customFormat="1" ht="26.25" thickBot="1" x14ac:dyDescent="0.25">
      <c r="A9" s="13">
        <v>2</v>
      </c>
      <c r="B9" s="13" t="s">
        <v>16</v>
      </c>
      <c r="C9" s="14" t="s">
        <v>27</v>
      </c>
      <c r="D9" s="14" t="s">
        <v>17</v>
      </c>
      <c r="E9" s="14" t="s">
        <v>24</v>
      </c>
      <c r="F9" s="14" t="s">
        <v>17</v>
      </c>
      <c r="G9" s="14" t="s">
        <v>26</v>
      </c>
      <c r="H9" s="14" t="s">
        <v>17</v>
      </c>
      <c r="I9" s="14" t="s">
        <v>25</v>
      </c>
      <c r="J9" s="14" t="s">
        <v>17</v>
      </c>
      <c r="K9" s="14" t="s">
        <v>27</v>
      </c>
      <c r="L9" s="14" t="s">
        <v>17</v>
      </c>
      <c r="M9" s="14" t="s">
        <v>24</v>
      </c>
      <c r="N9" s="14" t="s">
        <v>17</v>
      </c>
      <c r="O9" s="14" t="s">
        <v>26</v>
      </c>
      <c r="P9" s="14" t="s">
        <v>17</v>
      </c>
      <c r="Q9" s="14" t="s">
        <v>25</v>
      </c>
      <c r="R9" s="14" t="s">
        <v>17</v>
      </c>
      <c r="S9" s="14" t="s">
        <v>27</v>
      </c>
      <c r="T9" s="14" t="s">
        <v>17</v>
      </c>
      <c r="U9" s="14" t="s">
        <v>24</v>
      </c>
      <c r="V9" s="14" t="s">
        <v>17</v>
      </c>
      <c r="W9" s="14" t="s">
        <v>26</v>
      </c>
      <c r="X9" s="14" t="s">
        <v>17</v>
      </c>
      <c r="Y9" s="14" t="s">
        <v>25</v>
      </c>
      <c r="Z9" s="14" t="s">
        <v>17</v>
      </c>
    </row>
    <row r="10" spans="1:26" ht="13.5" thickBot="1" x14ac:dyDescent="0.25">
      <c r="A10" s="2">
        <v>3</v>
      </c>
      <c r="B10" s="1" t="s">
        <v>1</v>
      </c>
      <c r="C10" s="19">
        <f>232608343-13994362</f>
        <v>218613981</v>
      </c>
      <c r="D10" s="1"/>
      <c r="E10" s="8">
        <f>202986771+1819347</f>
        <v>204806118</v>
      </c>
      <c r="F10" s="7"/>
      <c r="G10" s="8">
        <v>243621804</v>
      </c>
      <c r="H10" s="8"/>
      <c r="I10" s="7">
        <v>225257958</v>
      </c>
      <c r="J10" s="7"/>
      <c r="K10" s="7">
        <v>37925000</v>
      </c>
      <c r="L10" s="7"/>
      <c r="M10" s="7">
        <f>36459684+1819347</f>
        <v>38279031</v>
      </c>
      <c r="N10" s="7"/>
      <c r="O10" s="7">
        <f>38286684+1843943+1</f>
        <v>40130628</v>
      </c>
      <c r="P10" s="7"/>
      <c r="Q10" s="7">
        <v>40135178</v>
      </c>
      <c r="R10" s="7"/>
      <c r="S10" s="7">
        <f>C10+K10-37925000</f>
        <v>218613981</v>
      </c>
      <c r="T10" s="7"/>
      <c r="U10" s="7">
        <f>(E10+M10)-(36459684+1819347)</f>
        <v>204806118</v>
      </c>
      <c r="V10" s="7"/>
      <c r="W10" s="7">
        <f>(G10+O10)-(36459684+1827000)</f>
        <v>245465748</v>
      </c>
      <c r="X10" s="7"/>
      <c r="Y10" s="7">
        <f>I10+Q10-38285684</f>
        <v>227107452</v>
      </c>
      <c r="Z10" s="7"/>
    </row>
    <row r="11" spans="1:26" ht="13.5" thickBot="1" x14ac:dyDescent="0.25">
      <c r="A11" s="2">
        <v>4</v>
      </c>
      <c r="B11" s="1" t="s">
        <v>2</v>
      </c>
      <c r="C11" s="19">
        <v>228123480</v>
      </c>
      <c r="D11" s="1">
        <f>C10-C11</f>
        <v>-9509499</v>
      </c>
      <c r="E11" s="9">
        <f>198003868+1819347</f>
        <v>199823215</v>
      </c>
      <c r="F11" s="7">
        <f>E10-E11</f>
        <v>4982903</v>
      </c>
      <c r="G11" s="9">
        <v>272233822</v>
      </c>
      <c r="H11" s="9">
        <f>G10-G11</f>
        <v>-28612018</v>
      </c>
      <c r="I11" s="7">
        <v>244187795</v>
      </c>
      <c r="J11" s="7">
        <f>I10-I11</f>
        <v>-18929837</v>
      </c>
      <c r="K11" s="7">
        <v>37925000</v>
      </c>
      <c r="L11" s="7">
        <f>K10-K11</f>
        <v>0</v>
      </c>
      <c r="M11" s="7">
        <f>36459684+1819347</f>
        <v>38279031</v>
      </c>
      <c r="N11" s="7">
        <f>M10-M11</f>
        <v>0</v>
      </c>
      <c r="O11" s="7">
        <v>44245060</v>
      </c>
      <c r="P11" s="7">
        <f>O10-O11</f>
        <v>-4114432</v>
      </c>
      <c r="Q11" s="7">
        <v>36259581</v>
      </c>
      <c r="R11" s="7">
        <f>Q10-Q11</f>
        <v>3875597</v>
      </c>
      <c r="S11" s="7">
        <f>C11+K11-37925000</f>
        <v>228123480</v>
      </c>
      <c r="T11" s="7">
        <f>S10-S11</f>
        <v>-9509499</v>
      </c>
      <c r="U11" s="7">
        <f>(E11+M11)-(36459684+1819347)</f>
        <v>199823215</v>
      </c>
      <c r="V11" s="7">
        <f>U10-U11</f>
        <v>4982903</v>
      </c>
      <c r="W11" s="7">
        <f>(G11+O11)-(36459684+1827000)</f>
        <v>278192198</v>
      </c>
      <c r="X11" s="7">
        <f>W10-W11</f>
        <v>-32726450</v>
      </c>
      <c r="Y11" s="7">
        <f>I11+Q11-38285684</f>
        <v>242161692</v>
      </c>
      <c r="Z11" s="7">
        <f>Y10-Y11</f>
        <v>-15054240</v>
      </c>
    </row>
    <row r="12" spans="1:26" ht="13.5" thickBot="1" x14ac:dyDescent="0.25">
      <c r="A12" s="2">
        <v>5</v>
      </c>
      <c r="B12" s="1" t="s">
        <v>3</v>
      </c>
      <c r="C12" s="19"/>
      <c r="D12" s="1"/>
      <c r="E12" s="9">
        <v>0</v>
      </c>
      <c r="F12" s="7"/>
      <c r="G12" s="9">
        <v>237043862</v>
      </c>
      <c r="H12" s="9"/>
      <c r="I12" s="7">
        <v>237043862</v>
      </c>
      <c r="J12" s="7"/>
      <c r="K12" s="7"/>
      <c r="L12" s="7"/>
      <c r="M12" s="7"/>
      <c r="N12" s="7"/>
      <c r="O12" s="7"/>
      <c r="P12" s="7"/>
      <c r="Q12" s="7"/>
      <c r="R12" s="7"/>
      <c r="S12" s="7">
        <f>C12+K12</f>
        <v>0</v>
      </c>
      <c r="T12" s="7"/>
      <c r="U12" s="7">
        <f t="shared" ref="U12:U20" si="0">(E12+M12)-M12</f>
        <v>0</v>
      </c>
      <c r="V12" s="7"/>
      <c r="W12" s="7">
        <f>G12+O12</f>
        <v>237043862</v>
      </c>
      <c r="X12" s="7"/>
      <c r="Y12" s="7">
        <f t="shared" ref="Y12:Y20" si="1">I12+Q12</f>
        <v>237043862</v>
      </c>
      <c r="Z12" s="7"/>
    </row>
    <row r="13" spans="1:26" ht="13.5" thickBot="1" x14ac:dyDescent="0.25">
      <c r="A13" s="2">
        <v>6</v>
      </c>
      <c r="B13" s="1" t="s">
        <v>4</v>
      </c>
      <c r="C13" s="19">
        <v>3279490</v>
      </c>
      <c r="D13" s="1">
        <f>C12-C13</f>
        <v>-3279490</v>
      </c>
      <c r="E13" s="9">
        <f>3202622+175000+400000</f>
        <v>3777622</v>
      </c>
      <c r="F13" s="7"/>
      <c r="G13" s="9">
        <v>328241589</v>
      </c>
      <c r="H13" s="9"/>
      <c r="I13" s="7">
        <v>110569553</v>
      </c>
      <c r="J13" s="7"/>
      <c r="K13" s="7"/>
      <c r="L13" s="7"/>
      <c r="M13" s="7">
        <v>0</v>
      </c>
      <c r="N13" s="7"/>
      <c r="O13" s="7">
        <v>0</v>
      </c>
      <c r="P13" s="7"/>
      <c r="Q13" s="7"/>
      <c r="R13" s="7"/>
      <c r="S13" s="7">
        <f>C13+K13</f>
        <v>3279490</v>
      </c>
      <c r="T13" s="7">
        <f>S12-S13</f>
        <v>-3279490</v>
      </c>
      <c r="U13" s="7">
        <f t="shared" si="0"/>
        <v>3777622</v>
      </c>
      <c r="V13" s="7">
        <f>U12-U13</f>
        <v>-3777622</v>
      </c>
      <c r="W13" s="7">
        <f>G13+O13</f>
        <v>328241589</v>
      </c>
      <c r="X13" s="7"/>
      <c r="Y13" s="7">
        <f t="shared" si="1"/>
        <v>110569553</v>
      </c>
      <c r="Z13" s="7"/>
    </row>
    <row r="14" spans="1:26" ht="13.5" thickBot="1" x14ac:dyDescent="0.25">
      <c r="A14" s="2">
        <v>7</v>
      </c>
      <c r="B14" s="1" t="s">
        <v>5</v>
      </c>
      <c r="C14" s="19"/>
      <c r="D14" s="1"/>
      <c r="E14" s="9">
        <v>0</v>
      </c>
      <c r="F14" s="7">
        <f>E12-E13-E14</f>
        <v>-3777622</v>
      </c>
      <c r="G14" s="9">
        <v>0</v>
      </c>
      <c r="H14" s="9">
        <f>G12-G13-G14</f>
        <v>-91197727</v>
      </c>
      <c r="I14" s="7"/>
      <c r="J14" s="7">
        <f>I12-(I13+I14)</f>
        <v>126474309</v>
      </c>
      <c r="K14" s="7"/>
      <c r="L14" s="7"/>
      <c r="M14" s="7"/>
      <c r="N14" s="7">
        <f>M12-M13-M14</f>
        <v>0</v>
      </c>
      <c r="O14" s="7"/>
      <c r="P14" s="7">
        <f>O12-O13-O14</f>
        <v>0</v>
      </c>
      <c r="Q14" s="7"/>
      <c r="R14" s="7"/>
      <c r="S14" s="7">
        <f>C14+K14</f>
        <v>0</v>
      </c>
      <c r="T14" s="7"/>
      <c r="U14" s="7">
        <f t="shared" si="0"/>
        <v>0</v>
      </c>
      <c r="V14" s="7"/>
      <c r="W14" s="7">
        <f>G14+O14</f>
        <v>0</v>
      </c>
      <c r="X14" s="7">
        <f>W12-(W13+W14)</f>
        <v>-91197727</v>
      </c>
      <c r="Y14" s="7">
        <f t="shared" si="1"/>
        <v>0</v>
      </c>
      <c r="Z14" s="7">
        <f>Y12-(Y13+Y14)</f>
        <v>126474309</v>
      </c>
    </row>
    <row r="15" spans="1:26" ht="13.5" thickBot="1" x14ac:dyDescent="0.25">
      <c r="A15" s="2">
        <v>8</v>
      </c>
      <c r="B15" s="1" t="s">
        <v>6</v>
      </c>
      <c r="C15" s="19">
        <f>C10+C12+C14</f>
        <v>218613981</v>
      </c>
      <c r="D15" s="1"/>
      <c r="E15" s="9">
        <f>E10+E12</f>
        <v>204806118</v>
      </c>
      <c r="F15" s="7"/>
      <c r="G15" s="9">
        <f>G10+G12</f>
        <v>480665666</v>
      </c>
      <c r="H15" s="9"/>
      <c r="I15" s="7">
        <f>I10+I12+I14</f>
        <v>462301820</v>
      </c>
      <c r="J15" s="7"/>
      <c r="K15" s="7">
        <f>K10+K12</f>
        <v>37925000</v>
      </c>
      <c r="L15" s="7"/>
      <c r="M15" s="7">
        <f>M10+M12</f>
        <v>38279031</v>
      </c>
      <c r="N15" s="7"/>
      <c r="O15" s="7">
        <f>O10+O12</f>
        <v>40130628</v>
      </c>
      <c r="P15" s="7"/>
      <c r="Q15" s="7">
        <f>Q10+Q12</f>
        <v>40135178</v>
      </c>
      <c r="R15" s="7"/>
      <c r="S15" s="7">
        <f>C15+K15-37925000</f>
        <v>218613981</v>
      </c>
      <c r="T15" s="7"/>
      <c r="U15" s="7">
        <f>(E15+M15)-(36459684+1819347)</f>
        <v>204806118</v>
      </c>
      <c r="V15" s="7"/>
      <c r="W15" s="7">
        <f>(G15+O15)-(36459684+1827000)</f>
        <v>482509610</v>
      </c>
      <c r="X15" s="7"/>
      <c r="Y15" s="7">
        <f>I15+Q15-38285684</f>
        <v>464151314</v>
      </c>
      <c r="Z15" s="7"/>
    </row>
    <row r="16" spans="1:26" ht="13.5" thickBot="1" x14ac:dyDescent="0.25">
      <c r="A16" s="2">
        <v>9</v>
      </c>
      <c r="B16" s="1" t="s">
        <v>7</v>
      </c>
      <c r="C16" s="19">
        <f>C11+C13</f>
        <v>231402970</v>
      </c>
      <c r="D16" s="1">
        <f>C15-C16</f>
        <v>-12788989</v>
      </c>
      <c r="E16" s="9">
        <f>E11+E13+E14</f>
        <v>203600837</v>
      </c>
      <c r="F16" s="7">
        <f>E15-E16</f>
        <v>1205281</v>
      </c>
      <c r="G16" s="9">
        <f>G11+G13</f>
        <v>600475411</v>
      </c>
      <c r="H16" s="9">
        <f>G15-G16</f>
        <v>-119809745</v>
      </c>
      <c r="I16" s="7">
        <f>I11+I13</f>
        <v>354757348</v>
      </c>
      <c r="J16" s="7">
        <f>I15-I16</f>
        <v>107544472</v>
      </c>
      <c r="K16" s="7">
        <f>K11+K13</f>
        <v>37925000</v>
      </c>
      <c r="L16" s="7">
        <f>K15-K16</f>
        <v>0</v>
      </c>
      <c r="M16" s="7">
        <f>M11+M13+M14</f>
        <v>38279031</v>
      </c>
      <c r="N16" s="7">
        <f>M15-M16</f>
        <v>0</v>
      </c>
      <c r="O16" s="7">
        <f>O11+O13+O14</f>
        <v>44245060</v>
      </c>
      <c r="P16" s="7">
        <f>O15-O16</f>
        <v>-4114432</v>
      </c>
      <c r="Q16" s="7">
        <f>Q11+Q13</f>
        <v>36259581</v>
      </c>
      <c r="R16" s="7">
        <f>Q15-Q16</f>
        <v>3875597</v>
      </c>
      <c r="S16" s="7">
        <f>C16+K16-37925000</f>
        <v>231402970</v>
      </c>
      <c r="T16" s="7">
        <f>S15-S16</f>
        <v>-12788989</v>
      </c>
      <c r="U16" s="7">
        <f>(E16+M16)-(36459684+1819347)</f>
        <v>203600837</v>
      </c>
      <c r="V16" s="7">
        <f>U15-U16</f>
        <v>1205281</v>
      </c>
      <c r="W16" s="7">
        <f>(G16+O16)-(36459684+1827000)</f>
        <v>606433787</v>
      </c>
      <c r="X16" s="7">
        <f>W15-W16</f>
        <v>-123924177</v>
      </c>
      <c r="Y16" s="7">
        <f>I16+Q16-38285684</f>
        <v>352731245</v>
      </c>
      <c r="Z16" s="7"/>
    </row>
    <row r="17" spans="1:26" ht="13.5" thickBot="1" x14ac:dyDescent="0.25">
      <c r="A17" s="2">
        <v>10</v>
      </c>
      <c r="B17" s="3" t="s">
        <v>8</v>
      </c>
      <c r="C17" s="20"/>
      <c r="D17" s="3"/>
      <c r="E17" s="9"/>
      <c r="F17" s="7"/>
      <c r="G17" s="9"/>
      <c r="H17" s="9"/>
      <c r="I17" s="7"/>
      <c r="J17" s="7"/>
      <c r="K17" s="7"/>
      <c r="L17" s="7"/>
      <c r="M17" s="7"/>
      <c r="N17" s="7"/>
      <c r="O17" s="7"/>
      <c r="P17" s="7"/>
      <c r="Q17" s="7"/>
      <c r="R17" s="7"/>
      <c r="S17" s="7">
        <f>C17+K17</f>
        <v>0</v>
      </c>
      <c r="T17" s="7"/>
      <c r="U17" s="7">
        <f t="shared" si="0"/>
        <v>0</v>
      </c>
      <c r="V17" s="7"/>
      <c r="W17" s="7">
        <f>G17+O17</f>
        <v>0</v>
      </c>
      <c r="X17" s="7"/>
      <c r="Y17" s="7">
        <f t="shared" si="1"/>
        <v>0</v>
      </c>
      <c r="Z17" s="7"/>
    </row>
    <row r="18" spans="1:26" ht="13.5" thickBot="1" x14ac:dyDescent="0.25">
      <c r="A18" s="2">
        <v>11</v>
      </c>
      <c r="B18" s="3" t="s">
        <v>9</v>
      </c>
      <c r="C18" s="20">
        <v>1205373</v>
      </c>
      <c r="D18" s="3">
        <f>-C18</f>
        <v>-1205373</v>
      </c>
      <c r="E18" s="9">
        <v>1205281</v>
      </c>
      <c r="F18" s="7">
        <f>-(E18+E19)</f>
        <v>-1205281</v>
      </c>
      <c r="G18" s="9">
        <v>150526</v>
      </c>
      <c r="H18" s="9">
        <f>-(G18+G19)</f>
        <v>-150526</v>
      </c>
      <c r="I18" s="7"/>
      <c r="J18" s="7"/>
      <c r="K18" s="7"/>
      <c r="L18" s="7"/>
      <c r="M18" s="7"/>
      <c r="N18" s="7">
        <f>-(M18+M19)</f>
        <v>0</v>
      </c>
      <c r="O18" s="7">
        <v>0</v>
      </c>
      <c r="P18" s="7">
        <f>-(O18+O19)</f>
        <v>0</v>
      </c>
      <c r="Q18" s="7"/>
      <c r="R18" s="7"/>
      <c r="S18" s="7">
        <f>C18+K18</f>
        <v>1205373</v>
      </c>
      <c r="T18" s="7">
        <f>-S18</f>
        <v>-1205373</v>
      </c>
      <c r="U18" s="7">
        <f>(E18+M18)-M18</f>
        <v>1205281</v>
      </c>
      <c r="V18" s="7">
        <f>-U18</f>
        <v>-1205281</v>
      </c>
      <c r="W18" s="7">
        <f>G18+O18</f>
        <v>150526</v>
      </c>
      <c r="X18" s="7">
        <f>-W18-W19</f>
        <v>-150526</v>
      </c>
      <c r="Y18" s="7">
        <f t="shared" si="1"/>
        <v>0</v>
      </c>
      <c r="Z18" s="7"/>
    </row>
    <row r="19" spans="1:26" ht="13.5" thickBot="1" x14ac:dyDescent="0.25">
      <c r="A19" s="2">
        <v>12</v>
      </c>
      <c r="B19" s="3" t="s">
        <v>21</v>
      </c>
      <c r="C19" s="20"/>
      <c r="D19" s="3"/>
      <c r="E19" s="9">
        <v>0</v>
      </c>
      <c r="F19" s="7"/>
      <c r="G19" s="9">
        <v>0</v>
      </c>
      <c r="H19" s="9"/>
      <c r="I19" s="7"/>
      <c r="J19" s="7"/>
      <c r="K19" s="7"/>
      <c r="L19" s="7"/>
      <c r="M19" s="7">
        <v>0</v>
      </c>
      <c r="N19" s="7"/>
      <c r="O19" s="7">
        <v>0</v>
      </c>
      <c r="P19" s="7"/>
      <c r="Q19" s="7"/>
      <c r="R19" s="7"/>
      <c r="S19" s="7">
        <f>C19+K19</f>
        <v>0</v>
      </c>
      <c r="T19" s="7"/>
      <c r="U19" s="7">
        <f t="shared" si="0"/>
        <v>0</v>
      </c>
      <c r="V19" s="7">
        <f>-U19</f>
        <v>0</v>
      </c>
      <c r="W19" s="7">
        <f>G19+O19</f>
        <v>0</v>
      </c>
      <c r="X19" s="7"/>
      <c r="Y19" s="7">
        <f t="shared" si="1"/>
        <v>0</v>
      </c>
      <c r="Z19" s="7"/>
    </row>
    <row r="20" spans="1:26" ht="13.5" thickBot="1" x14ac:dyDescent="0.25">
      <c r="A20" s="2">
        <v>13</v>
      </c>
      <c r="B20" s="3" t="s">
        <v>22</v>
      </c>
      <c r="C20" s="20"/>
      <c r="D20" s="3"/>
      <c r="E20" s="9">
        <v>0</v>
      </c>
      <c r="F20" s="7">
        <f>-E20</f>
        <v>0</v>
      </c>
      <c r="G20" s="9">
        <v>0</v>
      </c>
      <c r="H20" s="9">
        <f>-G20</f>
        <v>0</v>
      </c>
      <c r="I20" s="7"/>
      <c r="J20" s="7"/>
      <c r="K20" s="7"/>
      <c r="L20" s="7"/>
      <c r="M20" s="7"/>
      <c r="N20" s="7">
        <f>-M20</f>
        <v>0</v>
      </c>
      <c r="O20" s="7"/>
      <c r="P20" s="7">
        <f>-O20</f>
        <v>0</v>
      </c>
      <c r="Q20" s="7"/>
      <c r="R20" s="7"/>
      <c r="S20" s="7">
        <f>C20+K20</f>
        <v>0</v>
      </c>
      <c r="T20" s="7"/>
      <c r="U20" s="7">
        <f t="shared" si="0"/>
        <v>0</v>
      </c>
      <c r="V20" s="7">
        <f>-U20</f>
        <v>0</v>
      </c>
      <c r="W20" s="7">
        <f>G20+O20</f>
        <v>0</v>
      </c>
      <c r="X20" s="7"/>
      <c r="Y20" s="7">
        <f t="shared" si="1"/>
        <v>0</v>
      </c>
      <c r="Z20" s="7"/>
    </row>
    <row r="21" spans="1:26" ht="13.5" thickBot="1" x14ac:dyDescent="0.25">
      <c r="A21" s="2">
        <v>14</v>
      </c>
      <c r="B21" s="3" t="s">
        <v>10</v>
      </c>
      <c r="C21" s="20">
        <f>C16+C18+C19+C20</f>
        <v>232608343</v>
      </c>
      <c r="D21" s="3"/>
      <c r="E21" s="9">
        <f>E16+E18+E19+E20</f>
        <v>204806118</v>
      </c>
      <c r="F21" s="7"/>
      <c r="G21" s="9">
        <f>G16+G18+G19+G20</f>
        <v>600625937</v>
      </c>
      <c r="H21" s="9"/>
      <c r="I21" s="7">
        <f>I16+I18+I19+I20</f>
        <v>354757348</v>
      </c>
      <c r="J21" s="7"/>
      <c r="K21" s="7">
        <f>K16+K18+K19+K20</f>
        <v>37925000</v>
      </c>
      <c r="L21" s="7">
        <f>K15-K21</f>
        <v>0</v>
      </c>
      <c r="M21" s="7">
        <f>M16+M18+M19+M20</f>
        <v>38279031</v>
      </c>
      <c r="N21" s="7"/>
      <c r="O21" s="7">
        <f>O16+O18+O19+O20</f>
        <v>44245060</v>
      </c>
      <c r="P21" s="7"/>
      <c r="Q21" s="7">
        <f>Q16+Q18+Q19+Q20</f>
        <v>36259581</v>
      </c>
      <c r="R21" s="7"/>
      <c r="S21" s="7">
        <f>C21+K21-37925000</f>
        <v>232608343</v>
      </c>
      <c r="T21" s="7"/>
      <c r="U21" s="7">
        <f>(E21+M21)-(36459684+1819347)</f>
        <v>204806118</v>
      </c>
      <c r="V21" s="7"/>
      <c r="W21" s="7">
        <f>(G21+O21)-(36459684+1827000)</f>
        <v>606584313</v>
      </c>
      <c r="X21" s="7"/>
      <c r="Y21" s="7">
        <f>I21+Q21-38285684</f>
        <v>352731245</v>
      </c>
      <c r="Z21" s="7"/>
    </row>
    <row r="22" spans="1:26" ht="13.5" thickBot="1" x14ac:dyDescent="0.25">
      <c r="A22" s="2">
        <v>15</v>
      </c>
      <c r="B22" s="3" t="s">
        <v>11</v>
      </c>
      <c r="C22" s="3">
        <f>C15-C21</f>
        <v>-13994362</v>
      </c>
      <c r="D22" s="3">
        <f>SUM(D16:D21)</f>
        <v>-13994362</v>
      </c>
      <c r="E22" s="10">
        <f>E15-E21</f>
        <v>0</v>
      </c>
      <c r="F22" s="10">
        <f>SUM(F16:F21)</f>
        <v>0</v>
      </c>
      <c r="G22" s="10">
        <f>G15-G21</f>
        <v>-119960271</v>
      </c>
      <c r="H22" s="10">
        <f>SUM(H16:H21)</f>
        <v>-119960271</v>
      </c>
      <c r="I22" s="10">
        <f>I15-I21</f>
        <v>107544472</v>
      </c>
      <c r="J22" s="10">
        <f>SUM(J16:J21)</f>
        <v>107544472</v>
      </c>
      <c r="K22" s="10">
        <f>K15-K21</f>
        <v>0</v>
      </c>
      <c r="L22" s="10"/>
      <c r="M22" s="10">
        <f>M15-M21</f>
        <v>0</v>
      </c>
      <c r="N22" s="10">
        <f>SUM(N16:N21)</f>
        <v>0</v>
      </c>
      <c r="O22" s="10">
        <f>O15-O21</f>
        <v>-4114432</v>
      </c>
      <c r="P22" s="10">
        <f>SUM(P16:P21)</f>
        <v>-4114432</v>
      </c>
      <c r="Q22" s="10">
        <f>Q15-Q21</f>
        <v>3875597</v>
      </c>
      <c r="R22" s="10">
        <f>SUM(R16:R21)</f>
        <v>3875597</v>
      </c>
      <c r="S22" s="10">
        <f>S15-S21</f>
        <v>-13994362</v>
      </c>
      <c r="T22" s="10">
        <f>SUM(T16:T21)</f>
        <v>-13994362</v>
      </c>
      <c r="U22" s="12">
        <f>(E22+M22)</f>
        <v>0</v>
      </c>
      <c r="V22" s="10">
        <f>SUM(V16:V21)</f>
        <v>0</v>
      </c>
      <c r="W22" s="7">
        <f>G22+O22</f>
        <v>-124074703</v>
      </c>
      <c r="X22" s="10">
        <f>SUM(X16:X21)</f>
        <v>-124074703</v>
      </c>
      <c r="Y22" s="7">
        <f>I22+Q22</f>
        <v>111420069</v>
      </c>
      <c r="Z22" s="10">
        <f>SUM(Z10:Z21)</f>
        <v>111420069</v>
      </c>
    </row>
    <row r="23" spans="1:26" x14ac:dyDescent="0.2">
      <c r="B23" s="5"/>
      <c r="C23" s="5"/>
      <c r="D23" s="5"/>
      <c r="E23" s="11"/>
      <c r="F23" s="11"/>
      <c r="G23" s="11"/>
      <c r="H23" s="11"/>
      <c r="I23" s="11"/>
      <c r="J23" s="11"/>
      <c r="K23" s="11"/>
      <c r="L23" s="11"/>
    </row>
    <row r="24" spans="1:26" ht="13.5" thickBot="1" x14ac:dyDescent="0.25">
      <c r="B24" s="4"/>
      <c r="C24" s="5"/>
      <c r="D24" s="5"/>
      <c r="E24" s="11"/>
      <c r="F24" s="11"/>
      <c r="G24" s="11"/>
      <c r="H24" s="11"/>
      <c r="I24" s="11"/>
      <c r="J24" s="11"/>
      <c r="K24" s="11"/>
      <c r="L24" s="11"/>
    </row>
    <row r="25" spans="1:26" ht="13.5" thickBot="1" x14ac:dyDescent="0.25">
      <c r="A25" s="2">
        <v>16</v>
      </c>
      <c r="B25" s="3" t="s">
        <v>12</v>
      </c>
      <c r="C25" s="3"/>
      <c r="D25" s="3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3.5" thickBot="1" x14ac:dyDescent="0.25">
      <c r="A26" s="2">
        <v>17</v>
      </c>
      <c r="B26" s="3" t="s">
        <v>13</v>
      </c>
      <c r="C26" s="3"/>
      <c r="D26" s="3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3.5" thickBot="1" x14ac:dyDescent="0.25">
      <c r="A27" s="2">
        <v>18</v>
      </c>
      <c r="B27" s="3" t="s">
        <v>14</v>
      </c>
      <c r="C27" s="20">
        <v>13994362</v>
      </c>
      <c r="D27" s="3"/>
      <c r="E27" s="7">
        <v>0</v>
      </c>
      <c r="F27" s="7"/>
      <c r="G27" s="7">
        <v>0</v>
      </c>
      <c r="H27" s="7"/>
      <c r="I27" s="7"/>
      <c r="J27" s="7"/>
      <c r="K27" s="7"/>
      <c r="L27" s="7"/>
      <c r="M27" s="7">
        <v>0</v>
      </c>
      <c r="N27" s="7"/>
      <c r="O27" s="7">
        <v>4114432</v>
      </c>
      <c r="P27" s="7"/>
      <c r="Q27" s="7">
        <v>4114432</v>
      </c>
      <c r="R27" s="7"/>
      <c r="S27" s="7">
        <f>C27+K27</f>
        <v>13994362</v>
      </c>
      <c r="T27" s="7"/>
      <c r="U27" s="7">
        <v>0</v>
      </c>
      <c r="V27" s="7"/>
      <c r="W27" s="7">
        <f>G27+O27</f>
        <v>4114432</v>
      </c>
      <c r="X27" s="7"/>
      <c r="Y27" s="7">
        <f>I27+Q27</f>
        <v>4114432</v>
      </c>
      <c r="Z27" s="7"/>
    </row>
    <row r="28" spans="1:26" ht="13.5" thickBot="1" x14ac:dyDescent="0.25">
      <c r="A28" s="2">
        <v>19</v>
      </c>
      <c r="B28" s="3" t="s">
        <v>15</v>
      </c>
      <c r="C28" s="3"/>
      <c r="D28" s="3"/>
      <c r="E28" s="7">
        <v>0</v>
      </c>
      <c r="F28" s="7"/>
      <c r="G28" s="7">
        <v>119960271</v>
      </c>
      <c r="H28" s="7"/>
      <c r="I28" s="7">
        <v>119960271</v>
      </c>
      <c r="J28" s="7"/>
      <c r="K28" s="7"/>
      <c r="L28" s="7"/>
      <c r="M28" s="7"/>
      <c r="N28" s="7"/>
      <c r="O28" s="7"/>
      <c r="P28" s="7"/>
      <c r="Q28" s="7"/>
      <c r="R28" s="7"/>
      <c r="S28" s="7">
        <f>C28+K28</f>
        <v>0</v>
      </c>
      <c r="T28" s="7"/>
      <c r="U28" s="7">
        <f>E28+M28</f>
        <v>0</v>
      </c>
      <c r="V28" s="7"/>
      <c r="W28" s="7">
        <f>G28+O28</f>
        <v>119960271</v>
      </c>
      <c r="X28" s="7"/>
      <c r="Y28" s="7">
        <f>I28+Q28</f>
        <v>119960271</v>
      </c>
      <c r="Z28" s="7"/>
    </row>
    <row r="29" spans="1:26" ht="13.5" thickBot="1" x14ac:dyDescent="0.25">
      <c r="A29" s="2">
        <v>20</v>
      </c>
      <c r="B29" s="2"/>
      <c r="C29" s="10">
        <f>SUM(C27:C28)</f>
        <v>13994362</v>
      </c>
      <c r="D29" s="10">
        <f>SUM(D27:D28)</f>
        <v>0</v>
      </c>
      <c r="E29" s="10">
        <f>SUM(E27:E28)</f>
        <v>0</v>
      </c>
      <c r="F29" s="10">
        <f>SUM(F27:F28)</f>
        <v>0</v>
      </c>
      <c r="G29" s="10">
        <f>SUM(G27:G28)</f>
        <v>119960271</v>
      </c>
      <c r="H29" s="10"/>
      <c r="I29" s="10">
        <f>SUM(I27:I28)</f>
        <v>119960271</v>
      </c>
      <c r="J29" s="10">
        <f>SUM(J27:J28)</f>
        <v>0</v>
      </c>
      <c r="K29" s="10"/>
      <c r="L29" s="10"/>
      <c r="M29" s="10">
        <f>SUM(M27:M28)</f>
        <v>0</v>
      </c>
      <c r="N29" s="10">
        <f>SUM(N27:N28)</f>
        <v>0</v>
      </c>
      <c r="O29" s="10">
        <f>SUM(O27:O28)</f>
        <v>4114432</v>
      </c>
      <c r="P29" s="10"/>
      <c r="Q29" s="10">
        <f>SUM(Q27:Q28)</f>
        <v>4114432</v>
      </c>
      <c r="R29" s="10"/>
      <c r="S29" s="10">
        <f>SUM(S27:S28)</f>
        <v>13994362</v>
      </c>
      <c r="T29" s="10"/>
      <c r="U29" s="10">
        <f>SUM(U27:U28)</f>
        <v>0</v>
      </c>
      <c r="V29" s="10"/>
      <c r="W29" s="7">
        <f>G29+O29</f>
        <v>124074703</v>
      </c>
      <c r="X29" s="10"/>
      <c r="Y29" s="7">
        <f>I29+Q29</f>
        <v>124074703</v>
      </c>
      <c r="Z29" s="7"/>
    </row>
    <row r="40" spans="8:8" x14ac:dyDescent="0.2">
      <c r="H40" s="6">
        <v>0</v>
      </c>
    </row>
  </sheetData>
  <mergeCells count="3">
    <mergeCell ref="E8:J8"/>
    <mergeCell ref="M8:R8"/>
    <mergeCell ref="U8:Z8"/>
  </mergeCells>
  <pageMargins left="0" right="0" top="0.98425196850393704" bottom="0.98425196850393704" header="0.51181102362204722" footer="0.51181102362204722"/>
  <pageSetup paperSize="8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workbookViewId="0">
      <selection activeCell="C31" sqref="C31"/>
    </sheetView>
  </sheetViews>
  <sheetFormatPr defaultRowHeight="12.75" x14ac:dyDescent="0.2"/>
  <cols>
    <col min="1" max="1" width="4.28515625" customWidth="1"/>
    <col min="2" max="2" width="51" customWidth="1"/>
    <col min="3" max="4" width="14.140625" customWidth="1"/>
    <col min="5" max="5" width="13.140625" style="6" customWidth="1"/>
    <col min="6" max="6" width="13" style="6" customWidth="1"/>
    <col min="7" max="7" width="12.42578125" style="6" customWidth="1"/>
    <col min="8" max="11" width="11.5703125" style="6" customWidth="1"/>
    <col min="12" max="12" width="12.5703125" style="6" customWidth="1"/>
    <col min="13" max="14" width="10.140625" style="6" customWidth="1"/>
    <col min="15" max="15" width="11.85546875" style="6" customWidth="1"/>
    <col min="16" max="16" width="10.7109375" style="6" customWidth="1"/>
    <col min="17" max="17" width="13.7109375" style="6" customWidth="1"/>
    <col min="18" max="18" width="11.7109375" style="6" customWidth="1"/>
    <col min="19" max="19" width="11.140625" style="6" customWidth="1"/>
    <col min="20" max="20" width="11.42578125" style="6" customWidth="1"/>
  </cols>
  <sheetData>
    <row r="1" spans="1:20" x14ac:dyDescent="0.2">
      <c r="G1" s="6" t="s">
        <v>20</v>
      </c>
    </row>
    <row r="3" spans="1:20" x14ac:dyDescent="0.2">
      <c r="F3" s="6" t="s">
        <v>31</v>
      </c>
    </row>
    <row r="6" spans="1:20" x14ac:dyDescent="0.2">
      <c r="B6" t="s">
        <v>0</v>
      </c>
    </row>
    <row r="7" spans="1:20" ht="13.5" thickBot="1" x14ac:dyDescent="0.25"/>
    <row r="8" spans="1:20" ht="13.5" thickBot="1" x14ac:dyDescent="0.25">
      <c r="A8" s="2">
        <v>1</v>
      </c>
      <c r="B8" s="2"/>
      <c r="C8" s="17"/>
      <c r="D8" s="18"/>
      <c r="E8" s="21"/>
      <c r="F8" s="21"/>
      <c r="G8" s="21"/>
      <c r="H8" s="22"/>
      <c r="I8" s="16"/>
      <c r="J8" s="16"/>
      <c r="K8" s="21"/>
      <c r="L8" s="21"/>
      <c r="M8" s="21"/>
      <c r="N8" s="22"/>
      <c r="O8" s="16"/>
      <c r="P8" s="16"/>
      <c r="Q8" s="21"/>
      <c r="R8" s="21"/>
      <c r="S8" s="21"/>
      <c r="T8" s="23"/>
    </row>
    <row r="9" spans="1:20" s="15" customFormat="1" ht="26.25" thickBot="1" x14ac:dyDescent="0.25">
      <c r="A9" s="13">
        <v>2</v>
      </c>
      <c r="B9" s="13" t="s">
        <v>16</v>
      </c>
      <c r="C9" s="14" t="s">
        <v>27</v>
      </c>
      <c r="D9" s="14" t="s">
        <v>17</v>
      </c>
      <c r="E9" s="14" t="s">
        <v>28</v>
      </c>
      <c r="F9" s="14" t="s">
        <v>17</v>
      </c>
      <c r="G9" s="14" t="s">
        <v>29</v>
      </c>
      <c r="H9" s="14" t="s">
        <v>17</v>
      </c>
      <c r="I9" s="14" t="s">
        <v>27</v>
      </c>
      <c r="J9" s="14" t="s">
        <v>17</v>
      </c>
      <c r="K9" s="14" t="s">
        <v>28</v>
      </c>
      <c r="L9" s="14" t="s">
        <v>17</v>
      </c>
      <c r="M9" s="14" t="s">
        <v>29</v>
      </c>
      <c r="N9" s="14" t="s">
        <v>17</v>
      </c>
      <c r="O9" s="14" t="s">
        <v>27</v>
      </c>
      <c r="P9" s="14" t="s">
        <v>17</v>
      </c>
      <c r="Q9" s="14" t="s">
        <v>28</v>
      </c>
      <c r="R9" s="14" t="s">
        <v>17</v>
      </c>
      <c r="S9" s="14" t="s">
        <v>29</v>
      </c>
      <c r="T9" s="14" t="s">
        <v>17</v>
      </c>
    </row>
    <row r="10" spans="1:20" ht="13.5" thickBot="1" x14ac:dyDescent="0.25">
      <c r="A10" s="2">
        <v>3</v>
      </c>
      <c r="B10" s="1" t="s">
        <v>1</v>
      </c>
      <c r="C10" s="19">
        <f>232608343-13994362</f>
        <v>218613981</v>
      </c>
      <c r="D10" s="1"/>
      <c r="E10" s="8">
        <v>231443587</v>
      </c>
      <c r="F10" s="8"/>
      <c r="G10" s="7"/>
      <c r="H10" s="7"/>
      <c r="I10" s="7">
        <v>37925000</v>
      </c>
      <c r="J10" s="7"/>
      <c r="K10" s="7">
        <f>37925000+9068275+2744+441</f>
        <v>46996460</v>
      </c>
      <c r="L10" s="7"/>
      <c r="M10" s="7"/>
      <c r="N10" s="7"/>
      <c r="O10" s="7">
        <f>C10+I10-37925000</f>
        <v>218613981</v>
      </c>
      <c r="P10" s="7"/>
      <c r="Q10" s="7">
        <f>(E10+K10)-(37925000+9068275)</f>
        <v>231446772</v>
      </c>
      <c r="R10" s="7"/>
      <c r="S10" s="7">
        <f t="shared" ref="S10:S22" si="0">G10+M10</f>
        <v>0</v>
      </c>
      <c r="T10" s="7"/>
    </row>
    <row r="11" spans="1:20" ht="13.5" thickBot="1" x14ac:dyDescent="0.25">
      <c r="A11" s="2">
        <v>4</v>
      </c>
      <c r="B11" s="1" t="s">
        <v>2</v>
      </c>
      <c r="C11" s="19">
        <v>228123480</v>
      </c>
      <c r="D11" s="1">
        <f>C10-C11</f>
        <v>-9509499</v>
      </c>
      <c r="E11" s="9">
        <f>243012469+6084055+46993275</f>
        <v>296089799</v>
      </c>
      <c r="F11" s="9">
        <f>E10-E11</f>
        <v>-64646212</v>
      </c>
      <c r="G11" s="7"/>
      <c r="H11" s="7">
        <f>G10-G11</f>
        <v>0</v>
      </c>
      <c r="I11" s="7">
        <v>37925000</v>
      </c>
      <c r="J11" s="7">
        <f>I10-I11</f>
        <v>0</v>
      </c>
      <c r="K11" s="7">
        <f>37925000+7990029+441+2744+9068275</f>
        <v>54986489</v>
      </c>
      <c r="L11" s="7">
        <f>K10-K11</f>
        <v>-7990029</v>
      </c>
      <c r="M11" s="7"/>
      <c r="N11" s="7">
        <f>M10-M11</f>
        <v>0</v>
      </c>
      <c r="O11" s="7">
        <f>C11+I11-37925000</f>
        <v>228123480</v>
      </c>
      <c r="P11" s="7">
        <f>O10-O11</f>
        <v>-9509499</v>
      </c>
      <c r="Q11" s="7">
        <f>(E11+K11)-(37925000+9068275)</f>
        <v>304083013</v>
      </c>
      <c r="R11" s="7">
        <f>Q10-Q11</f>
        <v>-72636241</v>
      </c>
      <c r="S11" s="7">
        <f t="shared" si="0"/>
        <v>0</v>
      </c>
      <c r="T11" s="7">
        <f>S10-S11</f>
        <v>0</v>
      </c>
    </row>
    <row r="12" spans="1:20" ht="13.5" thickBot="1" x14ac:dyDescent="0.25">
      <c r="A12" s="2">
        <v>5</v>
      </c>
      <c r="B12" s="1" t="s">
        <v>3</v>
      </c>
      <c r="C12" s="19"/>
      <c r="D12" s="1"/>
      <c r="E12" s="9">
        <v>169700000</v>
      </c>
      <c r="F12" s="9"/>
      <c r="G12" s="7"/>
      <c r="H12" s="7"/>
      <c r="I12" s="7"/>
      <c r="J12" s="7"/>
      <c r="K12" s="7"/>
      <c r="L12" s="7"/>
      <c r="M12" s="7"/>
      <c r="N12" s="7"/>
      <c r="O12" s="7">
        <f>C12+I12</f>
        <v>0</v>
      </c>
      <c r="P12" s="7"/>
      <c r="Q12" s="7">
        <f>E12+K12</f>
        <v>169700000</v>
      </c>
      <c r="R12" s="7"/>
      <c r="S12" s="7">
        <f t="shared" si="0"/>
        <v>0</v>
      </c>
      <c r="T12" s="7"/>
    </row>
    <row r="13" spans="1:20" ht="13.5" thickBot="1" x14ac:dyDescent="0.25">
      <c r="A13" s="2">
        <v>6</v>
      </c>
      <c r="B13" s="1" t="s">
        <v>4</v>
      </c>
      <c r="C13" s="19">
        <v>3279490</v>
      </c>
      <c r="D13" s="1">
        <f>C12-C13</f>
        <v>-3279490</v>
      </c>
      <c r="E13" s="9">
        <v>229891691</v>
      </c>
      <c r="F13" s="9"/>
      <c r="G13" s="7"/>
      <c r="H13" s="7"/>
      <c r="I13" s="7"/>
      <c r="J13" s="7"/>
      <c r="K13" s="7">
        <v>0</v>
      </c>
      <c r="L13" s="7"/>
      <c r="M13" s="7"/>
      <c r="N13" s="7"/>
      <c r="O13" s="7">
        <f>C13+I13</f>
        <v>3279490</v>
      </c>
      <c r="P13" s="7">
        <f>O12-O13</f>
        <v>-3279490</v>
      </c>
      <c r="Q13" s="7">
        <f>E13+K13</f>
        <v>229891691</v>
      </c>
      <c r="R13" s="7"/>
      <c r="S13" s="7">
        <f t="shared" si="0"/>
        <v>0</v>
      </c>
      <c r="T13" s="7"/>
    </row>
    <row r="14" spans="1:20" ht="13.5" thickBot="1" x14ac:dyDescent="0.25">
      <c r="A14" s="2">
        <v>7</v>
      </c>
      <c r="B14" s="1" t="s">
        <v>5</v>
      </c>
      <c r="C14" s="19"/>
      <c r="D14" s="1"/>
      <c r="E14" s="9">
        <v>0</v>
      </c>
      <c r="F14" s="9">
        <f>E12-E13-E14</f>
        <v>-60191691</v>
      </c>
      <c r="G14" s="7"/>
      <c r="H14" s="7">
        <f>G12-(G13+G14)</f>
        <v>0</v>
      </c>
      <c r="I14" s="7"/>
      <c r="J14" s="7"/>
      <c r="K14" s="7"/>
      <c r="L14" s="7">
        <f>K12-K13-K14</f>
        <v>0</v>
      </c>
      <c r="M14" s="7"/>
      <c r="N14" s="7"/>
      <c r="O14" s="7">
        <f>C14+I14</f>
        <v>0</v>
      </c>
      <c r="P14" s="7"/>
      <c r="Q14" s="7">
        <f>E14+K14</f>
        <v>0</v>
      </c>
      <c r="R14" s="7">
        <f>Q12-(Q13+Q14)</f>
        <v>-60191691</v>
      </c>
      <c r="S14" s="7">
        <f t="shared" si="0"/>
        <v>0</v>
      </c>
      <c r="T14" s="7">
        <f>S12-(S13+S14)</f>
        <v>0</v>
      </c>
    </row>
    <row r="15" spans="1:20" ht="13.5" thickBot="1" x14ac:dyDescent="0.25">
      <c r="A15" s="2">
        <v>8</v>
      </c>
      <c r="B15" s="1" t="s">
        <v>6</v>
      </c>
      <c r="C15" s="19">
        <f>C10+C12+C14</f>
        <v>218613981</v>
      </c>
      <c r="D15" s="1"/>
      <c r="E15" s="9">
        <f>E10+E12</f>
        <v>401143587</v>
      </c>
      <c r="F15" s="9"/>
      <c r="G15" s="7">
        <f>G10+G12+G14</f>
        <v>0</v>
      </c>
      <c r="H15" s="7"/>
      <c r="I15" s="7">
        <f>I10+I12</f>
        <v>37925000</v>
      </c>
      <c r="J15" s="7"/>
      <c r="K15" s="7">
        <f>K10+K12</f>
        <v>46996460</v>
      </c>
      <c r="L15" s="7"/>
      <c r="M15" s="7">
        <f>M10+M12</f>
        <v>0</v>
      </c>
      <c r="N15" s="7"/>
      <c r="O15" s="7">
        <f>C15+I15-37925000</f>
        <v>218613981</v>
      </c>
      <c r="P15" s="7"/>
      <c r="Q15" s="7">
        <f>(E15+K15)-(37925000+9068275)</f>
        <v>401146772</v>
      </c>
      <c r="R15" s="7"/>
      <c r="S15" s="7">
        <f t="shared" si="0"/>
        <v>0</v>
      </c>
      <c r="T15" s="7"/>
    </row>
    <row r="16" spans="1:20" ht="13.5" thickBot="1" x14ac:dyDescent="0.25">
      <c r="A16" s="2">
        <v>9</v>
      </c>
      <c r="B16" s="1" t="s">
        <v>7</v>
      </c>
      <c r="C16" s="19">
        <f>C11+C13</f>
        <v>231402970</v>
      </c>
      <c r="D16" s="1">
        <f>C15-C16</f>
        <v>-12788989</v>
      </c>
      <c r="E16" s="9">
        <f>E11+E13</f>
        <v>525981490</v>
      </c>
      <c r="F16" s="9">
        <f>E15-E16</f>
        <v>-124837903</v>
      </c>
      <c r="G16" s="7">
        <f>G11+G13</f>
        <v>0</v>
      </c>
      <c r="H16" s="7">
        <f>G15-G16</f>
        <v>0</v>
      </c>
      <c r="I16" s="7">
        <f>I11+I13</f>
        <v>37925000</v>
      </c>
      <c r="J16" s="7">
        <f>I15-I16</f>
        <v>0</v>
      </c>
      <c r="K16" s="7">
        <f>K11+K13+K14</f>
        <v>54986489</v>
      </c>
      <c r="L16" s="7">
        <f>K15-K16</f>
        <v>-7990029</v>
      </c>
      <c r="M16" s="7">
        <f>M11+M13</f>
        <v>0</v>
      </c>
      <c r="N16" s="7">
        <f>M15-M16</f>
        <v>0</v>
      </c>
      <c r="O16" s="7">
        <f>C16+I16-37925000</f>
        <v>231402970</v>
      </c>
      <c r="P16" s="7">
        <f>O15-O16</f>
        <v>-12788989</v>
      </c>
      <c r="Q16" s="7">
        <f>(E16+K16)-(37925000+9068275)</f>
        <v>533974704</v>
      </c>
      <c r="R16" s="7">
        <f>Q15-Q16</f>
        <v>-132827932</v>
      </c>
      <c r="S16" s="7">
        <f t="shared" si="0"/>
        <v>0</v>
      </c>
      <c r="T16" s="7"/>
    </row>
    <row r="17" spans="1:20" ht="13.5" thickBot="1" x14ac:dyDescent="0.25">
      <c r="A17" s="2">
        <v>10</v>
      </c>
      <c r="B17" s="3" t="s">
        <v>8</v>
      </c>
      <c r="C17" s="20"/>
      <c r="D17" s="3"/>
      <c r="E17" s="9"/>
      <c r="F17" s="9"/>
      <c r="G17" s="7"/>
      <c r="H17" s="7"/>
      <c r="I17" s="7"/>
      <c r="J17" s="7"/>
      <c r="K17" s="7"/>
      <c r="L17" s="7"/>
      <c r="M17" s="7"/>
      <c r="N17" s="7"/>
      <c r="O17" s="7">
        <f>C17+I17</f>
        <v>0</v>
      </c>
      <c r="P17" s="7"/>
      <c r="Q17" s="7">
        <f>E17+K17</f>
        <v>0</v>
      </c>
      <c r="R17" s="7"/>
      <c r="S17" s="7">
        <f t="shared" si="0"/>
        <v>0</v>
      </c>
      <c r="T17" s="7"/>
    </row>
    <row r="18" spans="1:20" ht="13.5" thickBot="1" x14ac:dyDescent="0.25">
      <c r="A18" s="2">
        <v>11</v>
      </c>
      <c r="B18" s="3" t="s">
        <v>9</v>
      </c>
      <c r="C18" s="20">
        <v>1205373</v>
      </c>
      <c r="D18" s="3">
        <f>-C18</f>
        <v>-1205373</v>
      </c>
      <c r="E18" s="9">
        <v>1205373</v>
      </c>
      <c r="F18" s="9">
        <f>-(E18+E19)</f>
        <v>-1205373</v>
      </c>
      <c r="G18" s="7"/>
      <c r="H18" s="7"/>
      <c r="I18" s="7"/>
      <c r="J18" s="7"/>
      <c r="K18" s="7">
        <v>0</v>
      </c>
      <c r="L18" s="7">
        <f>-(K18+K19)</f>
        <v>0</v>
      </c>
      <c r="M18" s="7"/>
      <c r="N18" s="7"/>
      <c r="O18" s="7">
        <f>C18+I18</f>
        <v>1205373</v>
      </c>
      <c r="P18" s="7">
        <f>-O18</f>
        <v>-1205373</v>
      </c>
      <c r="Q18" s="7">
        <f>E18+K18</f>
        <v>1205373</v>
      </c>
      <c r="R18" s="7">
        <f>-Q18-Q19</f>
        <v>-1205373</v>
      </c>
      <c r="S18" s="7">
        <f t="shared" si="0"/>
        <v>0</v>
      </c>
      <c r="T18" s="7"/>
    </row>
    <row r="19" spans="1:20" ht="13.5" thickBot="1" x14ac:dyDescent="0.25">
      <c r="A19" s="2">
        <v>12</v>
      </c>
      <c r="B19" s="3" t="s">
        <v>21</v>
      </c>
      <c r="C19" s="20"/>
      <c r="D19" s="3"/>
      <c r="E19" s="9">
        <v>0</v>
      </c>
      <c r="F19" s="9"/>
      <c r="G19" s="7"/>
      <c r="H19" s="7"/>
      <c r="I19" s="7"/>
      <c r="J19" s="7"/>
      <c r="K19" s="7">
        <v>0</v>
      </c>
      <c r="L19" s="7"/>
      <c r="M19" s="7"/>
      <c r="N19" s="7"/>
      <c r="O19" s="7">
        <f>C19+I19</f>
        <v>0</v>
      </c>
      <c r="P19" s="7"/>
      <c r="Q19" s="7">
        <f>E19+K19</f>
        <v>0</v>
      </c>
      <c r="R19" s="7"/>
      <c r="S19" s="7">
        <f t="shared" si="0"/>
        <v>0</v>
      </c>
      <c r="T19" s="7"/>
    </row>
    <row r="20" spans="1:20" ht="13.5" thickBot="1" x14ac:dyDescent="0.25">
      <c r="A20" s="2">
        <v>13</v>
      </c>
      <c r="B20" s="3" t="s">
        <v>22</v>
      </c>
      <c r="C20" s="20"/>
      <c r="D20" s="3"/>
      <c r="E20" s="9">
        <v>87467105</v>
      </c>
      <c r="F20" s="9">
        <f>-E20</f>
        <v>-87467105</v>
      </c>
      <c r="G20" s="7"/>
      <c r="H20" s="7"/>
      <c r="I20" s="7"/>
      <c r="J20" s="7"/>
      <c r="K20" s="7"/>
      <c r="L20" s="7">
        <f>-K20</f>
        <v>0</v>
      </c>
      <c r="M20" s="7"/>
      <c r="N20" s="7"/>
      <c r="O20" s="7">
        <f>C20+I20</f>
        <v>0</v>
      </c>
      <c r="P20" s="7"/>
      <c r="Q20" s="7">
        <f>E20+K20</f>
        <v>87467105</v>
      </c>
      <c r="R20" s="7"/>
      <c r="S20" s="7">
        <f t="shared" si="0"/>
        <v>0</v>
      </c>
      <c r="T20" s="7"/>
    </row>
    <row r="21" spans="1:20" ht="13.5" thickBot="1" x14ac:dyDescent="0.25">
      <c r="A21" s="2">
        <v>14</v>
      </c>
      <c r="B21" s="3" t="s">
        <v>10</v>
      </c>
      <c r="C21" s="20">
        <f>C16+C18+C19+C20</f>
        <v>232608343</v>
      </c>
      <c r="D21" s="3"/>
      <c r="E21" s="9">
        <f>E16+E18+E19+E20</f>
        <v>614653968</v>
      </c>
      <c r="F21" s="9"/>
      <c r="G21" s="7">
        <f>G16+G18+G19+G20</f>
        <v>0</v>
      </c>
      <c r="H21" s="7"/>
      <c r="I21" s="7">
        <f>I16+I18+I19+I20</f>
        <v>37925000</v>
      </c>
      <c r="J21" s="7">
        <f>I15-I21</f>
        <v>0</v>
      </c>
      <c r="K21" s="7">
        <f>K16+K18+K19+K20</f>
        <v>54986489</v>
      </c>
      <c r="L21" s="7"/>
      <c r="M21" s="7">
        <f>M16+M18+M19+M20</f>
        <v>0</v>
      </c>
      <c r="N21" s="7"/>
      <c r="O21" s="7">
        <f>C21+I21-37925000</f>
        <v>232608343</v>
      </c>
      <c r="P21" s="7"/>
      <c r="Q21" s="7">
        <f>(E21+K21)-(37925000+9068275)</f>
        <v>622647182</v>
      </c>
      <c r="R21" s="7"/>
      <c r="S21" s="7">
        <f t="shared" si="0"/>
        <v>0</v>
      </c>
      <c r="T21" s="7"/>
    </row>
    <row r="22" spans="1:20" ht="13.5" thickBot="1" x14ac:dyDescent="0.25">
      <c r="A22" s="2">
        <v>15</v>
      </c>
      <c r="B22" s="3" t="s">
        <v>11</v>
      </c>
      <c r="C22" s="3">
        <f>C15-C21</f>
        <v>-13994362</v>
      </c>
      <c r="D22" s="3">
        <f>SUM(D16:D21)</f>
        <v>-13994362</v>
      </c>
      <c r="E22" s="10">
        <f>E15-E21</f>
        <v>-213510381</v>
      </c>
      <c r="F22" s="10">
        <f>SUM(F16:F21)</f>
        <v>-213510381</v>
      </c>
      <c r="G22" s="10">
        <f>G15-G21</f>
        <v>0</v>
      </c>
      <c r="H22" s="10">
        <f>SUM(H16:H21)</f>
        <v>0</v>
      </c>
      <c r="I22" s="10">
        <f>I15-I21</f>
        <v>0</v>
      </c>
      <c r="J22" s="10"/>
      <c r="K22" s="10">
        <f>K15-K21</f>
        <v>-7990029</v>
      </c>
      <c r="L22" s="10">
        <f>SUM(L16:L21)</f>
        <v>-7990029</v>
      </c>
      <c r="M22" s="10">
        <f>M15-M21</f>
        <v>0</v>
      </c>
      <c r="N22" s="10">
        <f>SUM(N16:N21)</f>
        <v>0</v>
      </c>
      <c r="O22" s="10">
        <f>O15-O21</f>
        <v>-13994362</v>
      </c>
      <c r="P22" s="10">
        <f>SUM(P16:P21)</f>
        <v>-13994362</v>
      </c>
      <c r="Q22" s="7">
        <f>E22+K22</f>
        <v>-221500410</v>
      </c>
      <c r="R22" s="10">
        <f>SUM(R16:R21)</f>
        <v>-134033305</v>
      </c>
      <c r="S22" s="7">
        <f t="shared" si="0"/>
        <v>0</v>
      </c>
      <c r="T22" s="10">
        <f>SUM(T10:T21)</f>
        <v>0</v>
      </c>
    </row>
    <row r="23" spans="1:20" x14ac:dyDescent="0.2">
      <c r="B23" s="5"/>
      <c r="C23" s="5"/>
      <c r="D23" s="5"/>
      <c r="E23" s="11"/>
      <c r="F23" s="11"/>
      <c r="G23" s="11"/>
      <c r="H23" s="11"/>
      <c r="I23" s="11"/>
      <c r="J23" s="11"/>
    </row>
    <row r="24" spans="1:20" ht="13.5" thickBot="1" x14ac:dyDescent="0.25">
      <c r="B24" s="4"/>
      <c r="C24" s="5"/>
      <c r="D24" s="5"/>
      <c r="E24" s="11"/>
      <c r="F24" s="11"/>
      <c r="G24" s="11"/>
      <c r="H24" s="11"/>
      <c r="I24" s="11"/>
      <c r="J24" s="11"/>
    </row>
    <row r="25" spans="1:20" ht="13.5" thickBot="1" x14ac:dyDescent="0.25">
      <c r="A25" s="2">
        <v>16</v>
      </c>
      <c r="B25" s="3" t="s">
        <v>12</v>
      </c>
      <c r="C25" s="3"/>
      <c r="D25" s="3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13.5" thickBot="1" x14ac:dyDescent="0.25">
      <c r="A26" s="2">
        <v>17</v>
      </c>
      <c r="B26" s="3" t="s">
        <v>13</v>
      </c>
      <c r="C26" s="3"/>
      <c r="D26" s="3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13.5" thickBot="1" x14ac:dyDescent="0.25">
      <c r="A27" s="2">
        <v>18</v>
      </c>
      <c r="B27" s="3" t="s">
        <v>14</v>
      </c>
      <c r="C27" s="20">
        <v>13994362</v>
      </c>
      <c r="D27" s="3"/>
      <c r="E27" s="7">
        <v>13994362</v>
      </c>
      <c r="F27" s="7"/>
      <c r="G27" s="7"/>
      <c r="H27" s="7"/>
      <c r="I27" s="7"/>
      <c r="J27" s="7"/>
      <c r="K27" s="7">
        <v>7990029</v>
      </c>
      <c r="L27" s="7"/>
      <c r="M27" s="7"/>
      <c r="N27" s="7"/>
      <c r="O27" s="7">
        <f>C27+I27</f>
        <v>13994362</v>
      </c>
      <c r="P27" s="7"/>
      <c r="Q27" s="7">
        <f>E27+K27</f>
        <v>21984391</v>
      </c>
      <c r="R27" s="7"/>
      <c r="S27" s="7">
        <f>G27+M27</f>
        <v>0</v>
      </c>
      <c r="T27" s="7"/>
    </row>
    <row r="28" spans="1:20" ht="13.5" thickBot="1" x14ac:dyDescent="0.25">
      <c r="A28" s="2">
        <v>19</v>
      </c>
      <c r="B28" s="3" t="s">
        <v>15</v>
      </c>
      <c r="C28" s="3"/>
      <c r="D28" s="3"/>
      <c r="E28" s="7">
        <v>199516019</v>
      </c>
      <c r="F28" s="7"/>
      <c r="G28" s="7"/>
      <c r="H28" s="7"/>
      <c r="I28" s="7"/>
      <c r="J28" s="7"/>
      <c r="K28" s="7"/>
      <c r="L28" s="7"/>
      <c r="M28" s="7"/>
      <c r="N28" s="7"/>
      <c r="O28" s="7">
        <f>C28+I28</f>
        <v>0</v>
      </c>
      <c r="P28" s="7"/>
      <c r="Q28" s="7">
        <f>E28+K28</f>
        <v>199516019</v>
      </c>
      <c r="R28" s="7"/>
      <c r="S28" s="7">
        <f>G28+M28</f>
        <v>0</v>
      </c>
      <c r="T28" s="7"/>
    </row>
    <row r="29" spans="1:20" ht="13.5" thickBot="1" x14ac:dyDescent="0.25">
      <c r="A29" s="2">
        <v>20</v>
      </c>
      <c r="B29" s="2"/>
      <c r="C29" s="10">
        <f>SUM(C27:C28)</f>
        <v>13994362</v>
      </c>
      <c r="D29" s="10">
        <f>SUM(D27:D28)</f>
        <v>0</v>
      </c>
      <c r="E29" s="10">
        <f>SUM(E27:E28)</f>
        <v>213510381</v>
      </c>
      <c r="F29" s="10"/>
      <c r="G29" s="10">
        <f>SUM(G27:G28)</f>
        <v>0</v>
      </c>
      <c r="H29" s="10">
        <f>SUM(H27:H28)</f>
        <v>0</v>
      </c>
      <c r="I29" s="10"/>
      <c r="J29" s="10"/>
      <c r="K29" s="10">
        <f>SUM(K27:K28)</f>
        <v>7990029</v>
      </c>
      <c r="L29" s="10"/>
      <c r="M29" s="10">
        <f>SUM(M27:M28)</f>
        <v>0</v>
      </c>
      <c r="N29" s="10"/>
      <c r="O29" s="10">
        <f>SUM(O27:O28)</f>
        <v>13994362</v>
      </c>
      <c r="P29" s="10"/>
      <c r="Q29" s="7">
        <f>E29+K29</f>
        <v>221500410</v>
      </c>
      <c r="R29" s="10"/>
      <c r="S29" s="7">
        <f>G29+M29</f>
        <v>0</v>
      </c>
      <c r="T29" s="7"/>
    </row>
    <row r="40" spans="6:6" x14ac:dyDescent="0.2">
      <c r="F40" s="6">
        <v>0</v>
      </c>
    </row>
  </sheetData>
  <mergeCells count="3">
    <mergeCell ref="E8:H8"/>
    <mergeCell ref="K8:N8"/>
    <mergeCell ref="Q8:T8"/>
  </mergeCells>
  <pageMargins left="0" right="0" top="0.98425196850393704" bottom="0.98425196850393704" header="0.51181102362204722" footer="0.51181102362204722"/>
  <pageSetup paperSize="8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topLeftCell="B1" workbookViewId="0">
      <selection activeCell="F3" sqref="F3"/>
    </sheetView>
  </sheetViews>
  <sheetFormatPr defaultRowHeight="12.75" x14ac:dyDescent="0.2"/>
  <cols>
    <col min="1" max="1" width="4.28515625" customWidth="1"/>
    <col min="2" max="2" width="51" customWidth="1"/>
    <col min="3" max="4" width="14.140625" customWidth="1"/>
    <col min="5" max="5" width="13.140625" style="6" customWidth="1"/>
    <col min="6" max="6" width="13" style="6" customWidth="1"/>
    <col min="7" max="7" width="12.42578125" style="6" customWidth="1"/>
    <col min="8" max="11" width="11.5703125" style="6" customWidth="1"/>
    <col min="12" max="12" width="12.5703125" style="6" customWidth="1"/>
    <col min="13" max="14" width="10.140625" style="6" customWidth="1"/>
    <col min="15" max="15" width="11.85546875" style="6" customWidth="1"/>
    <col min="16" max="16" width="10.7109375" style="6" customWidth="1"/>
    <col min="17" max="17" width="13.7109375" style="6" customWidth="1"/>
    <col min="18" max="18" width="11.7109375" style="6" customWidth="1"/>
    <col min="19" max="19" width="11.140625" style="6" customWidth="1"/>
    <col min="20" max="20" width="11.42578125" style="6" customWidth="1"/>
  </cols>
  <sheetData>
    <row r="1" spans="1:20" x14ac:dyDescent="0.2">
      <c r="G1" s="6" t="s">
        <v>20</v>
      </c>
    </row>
    <row r="6" spans="1:20" x14ac:dyDescent="0.2">
      <c r="B6" t="s">
        <v>0</v>
      </c>
    </row>
    <row r="7" spans="1:20" ht="13.5" thickBot="1" x14ac:dyDescent="0.25"/>
    <row r="8" spans="1:20" ht="13.5" thickBot="1" x14ac:dyDescent="0.25">
      <c r="A8" s="2">
        <v>1</v>
      </c>
      <c r="B8" s="2"/>
      <c r="C8" s="17"/>
      <c r="D8" s="18"/>
      <c r="E8" s="21"/>
      <c r="F8" s="21"/>
      <c r="G8" s="21"/>
      <c r="H8" s="22"/>
      <c r="I8" s="16"/>
      <c r="J8" s="16"/>
      <c r="K8" s="21"/>
      <c r="L8" s="21"/>
      <c r="M8" s="21"/>
      <c r="N8" s="22"/>
      <c r="O8" s="16"/>
      <c r="P8" s="16"/>
      <c r="Q8" s="21"/>
      <c r="R8" s="21"/>
      <c r="S8" s="21"/>
      <c r="T8" s="23"/>
    </row>
    <row r="9" spans="1:20" s="15" customFormat="1" ht="26.25" thickBot="1" x14ac:dyDescent="0.25">
      <c r="A9" s="13">
        <v>2</v>
      </c>
      <c r="B9" s="13" t="s">
        <v>16</v>
      </c>
      <c r="C9" s="14" t="s">
        <v>27</v>
      </c>
      <c r="D9" s="14" t="s">
        <v>17</v>
      </c>
      <c r="E9" s="14" t="s">
        <v>28</v>
      </c>
      <c r="F9" s="14" t="s">
        <v>17</v>
      </c>
      <c r="G9" s="14" t="s">
        <v>29</v>
      </c>
      <c r="H9" s="14" t="s">
        <v>17</v>
      </c>
      <c r="I9" s="14" t="s">
        <v>27</v>
      </c>
      <c r="J9" s="14" t="s">
        <v>17</v>
      </c>
      <c r="K9" s="14" t="s">
        <v>28</v>
      </c>
      <c r="L9" s="14" t="s">
        <v>17</v>
      </c>
      <c r="M9" s="14" t="s">
        <v>29</v>
      </c>
      <c r="N9" s="14" t="s">
        <v>17</v>
      </c>
      <c r="O9" s="14" t="s">
        <v>27</v>
      </c>
      <c r="P9" s="14" t="s">
        <v>17</v>
      </c>
      <c r="Q9" s="14" t="s">
        <v>28</v>
      </c>
      <c r="R9" s="14" t="s">
        <v>17</v>
      </c>
      <c r="S9" s="14" t="s">
        <v>29</v>
      </c>
      <c r="T9" s="14" t="s">
        <v>17</v>
      </c>
    </row>
    <row r="10" spans="1:20" ht="13.5" thickBot="1" x14ac:dyDescent="0.25">
      <c r="A10" s="2">
        <v>3</v>
      </c>
      <c r="B10" s="1" t="s">
        <v>1</v>
      </c>
      <c r="C10" s="19">
        <f>232608343-13994362</f>
        <v>218613981</v>
      </c>
      <c r="D10" s="1"/>
      <c r="E10" s="8">
        <v>243549644</v>
      </c>
      <c r="F10" s="8"/>
      <c r="G10" s="7">
        <f>328878913-87623604</f>
        <v>241255309</v>
      </c>
      <c r="H10" s="7"/>
      <c r="I10" s="7">
        <v>37925000</v>
      </c>
      <c r="J10" s="7"/>
      <c r="K10" s="7">
        <f>37925000+9068275+2744+441+1354</f>
        <v>46997814</v>
      </c>
      <c r="L10" s="7"/>
      <c r="M10" s="7">
        <f>46993275+4539</f>
        <v>46997814</v>
      </c>
      <c r="N10" s="7"/>
      <c r="O10" s="7">
        <f>C10+I10-37925000</f>
        <v>218613981</v>
      </c>
      <c r="P10" s="7"/>
      <c r="Q10" s="7">
        <f>(E10+K10)-(37925000+9068275)</f>
        <v>243554183</v>
      </c>
      <c r="R10" s="7"/>
      <c r="S10" s="7">
        <f>G10+M10-46993275</f>
        <v>241259848</v>
      </c>
      <c r="T10" s="7"/>
    </row>
    <row r="11" spans="1:20" ht="13.5" thickBot="1" x14ac:dyDescent="0.25">
      <c r="A11" s="2">
        <v>4</v>
      </c>
      <c r="B11" s="1" t="s">
        <v>2</v>
      </c>
      <c r="C11" s="19">
        <v>228123480</v>
      </c>
      <c r="D11" s="1">
        <f>C10-C11</f>
        <v>-9509499</v>
      </c>
      <c r="E11" s="9">
        <f>278095918+46993275+6084055</f>
        <v>331173248</v>
      </c>
      <c r="F11" s="9">
        <f>E10-E11</f>
        <v>-87623604</v>
      </c>
      <c r="G11" s="7">
        <f>270694918</f>
        <v>270694918</v>
      </c>
      <c r="H11" s="7">
        <f>G10-G11</f>
        <v>-29439609</v>
      </c>
      <c r="I11" s="7">
        <v>37925000</v>
      </c>
      <c r="J11" s="7">
        <f>I10-I11</f>
        <v>0</v>
      </c>
      <c r="K11" s="7">
        <f>37925000+7990029+441+2744+9068275+1354</f>
        <v>54987843</v>
      </c>
      <c r="L11" s="7">
        <f>K10-K11</f>
        <v>-7990029</v>
      </c>
      <c r="M11" s="7">
        <v>37655719</v>
      </c>
      <c r="N11" s="7">
        <f>M10-M11</f>
        <v>9342095</v>
      </c>
      <c r="O11" s="7">
        <f>C11+I11-37925000</f>
        <v>228123480</v>
      </c>
      <c r="P11" s="7">
        <f>O10-O11</f>
        <v>-9509499</v>
      </c>
      <c r="Q11" s="7">
        <f>(E11+K11)-(37925000+9068275)</f>
        <v>339167816</v>
      </c>
      <c r="R11" s="7">
        <f>Q10-Q11</f>
        <v>-95613633</v>
      </c>
      <c r="S11" s="7">
        <f>G11+M11-46993275</f>
        <v>261357362</v>
      </c>
      <c r="T11" s="7">
        <f>S10-S11</f>
        <v>-20097514</v>
      </c>
    </row>
    <row r="12" spans="1:20" ht="13.5" thickBot="1" x14ac:dyDescent="0.25">
      <c r="A12" s="2">
        <v>5</v>
      </c>
      <c r="B12" s="1" t="s">
        <v>3</v>
      </c>
      <c r="C12" s="19"/>
      <c r="D12" s="1"/>
      <c r="E12" s="9">
        <v>456100252</v>
      </c>
      <c r="F12" s="9"/>
      <c r="G12" s="7">
        <f>687431332-262606113</f>
        <v>424825219</v>
      </c>
      <c r="H12" s="7"/>
      <c r="I12" s="7"/>
      <c r="J12" s="7"/>
      <c r="K12" s="7"/>
      <c r="L12" s="7"/>
      <c r="M12" s="7"/>
      <c r="N12" s="7"/>
      <c r="O12" s="7">
        <f>C12+I12</f>
        <v>0</v>
      </c>
      <c r="P12" s="7"/>
      <c r="Q12" s="7">
        <f>E12+K12</f>
        <v>456100252</v>
      </c>
      <c r="R12" s="7"/>
      <c r="S12" s="7">
        <f t="shared" ref="S12:S22" si="0">G12+M12</f>
        <v>424825219</v>
      </c>
      <c r="T12" s="7"/>
    </row>
    <row r="13" spans="1:20" ht="13.5" thickBot="1" x14ac:dyDescent="0.25">
      <c r="A13" s="2">
        <v>6</v>
      </c>
      <c r="B13" s="1" t="s">
        <v>4</v>
      </c>
      <c r="C13" s="19">
        <v>3279490</v>
      </c>
      <c r="D13" s="1">
        <f>C12-C13</f>
        <v>-3279490</v>
      </c>
      <c r="E13" s="9">
        <f>282145989+60582703+1050000</f>
        <v>343778692</v>
      </c>
      <c r="F13" s="9"/>
      <c r="G13" s="7">
        <v>270722460</v>
      </c>
      <c r="H13" s="7"/>
      <c r="I13" s="7"/>
      <c r="J13" s="7"/>
      <c r="K13" s="7">
        <v>0</v>
      </c>
      <c r="L13" s="7"/>
      <c r="M13" s="7"/>
      <c r="N13" s="7"/>
      <c r="O13" s="7">
        <f>C13+I13</f>
        <v>3279490</v>
      </c>
      <c r="P13" s="7">
        <f>O12-O13</f>
        <v>-3279490</v>
      </c>
      <c r="Q13" s="7">
        <f>E13+K13</f>
        <v>343778692</v>
      </c>
      <c r="R13" s="7"/>
      <c r="S13" s="7">
        <f t="shared" si="0"/>
        <v>270722460</v>
      </c>
      <c r="T13" s="7"/>
    </row>
    <row r="14" spans="1:20" ht="13.5" thickBot="1" x14ac:dyDescent="0.25">
      <c r="A14" s="2">
        <v>7</v>
      </c>
      <c r="B14" s="1" t="s">
        <v>5</v>
      </c>
      <c r="C14" s="19"/>
      <c r="D14" s="1"/>
      <c r="E14" s="9">
        <v>0</v>
      </c>
      <c r="F14" s="9">
        <f>E12-E13-E14</f>
        <v>112321560</v>
      </c>
      <c r="G14" s="7"/>
      <c r="H14" s="7">
        <f>G12-(G13+G14)</f>
        <v>154102759</v>
      </c>
      <c r="I14" s="7"/>
      <c r="J14" s="7"/>
      <c r="K14" s="7"/>
      <c r="L14" s="7">
        <f>K12-K13-K14</f>
        <v>0</v>
      </c>
      <c r="M14" s="7"/>
      <c r="N14" s="7"/>
      <c r="O14" s="7">
        <f>C14+I14</f>
        <v>0</v>
      </c>
      <c r="P14" s="7"/>
      <c r="Q14" s="7">
        <f>E14+K14</f>
        <v>0</v>
      </c>
      <c r="R14" s="7">
        <f>Q12-(Q13+Q14)</f>
        <v>112321560</v>
      </c>
      <c r="S14" s="7">
        <f t="shared" si="0"/>
        <v>0</v>
      </c>
      <c r="T14" s="7">
        <f>S12-(S13+S14)</f>
        <v>154102759</v>
      </c>
    </row>
    <row r="15" spans="1:20" ht="13.5" thickBot="1" x14ac:dyDescent="0.25">
      <c r="A15" s="2">
        <v>8</v>
      </c>
      <c r="B15" s="1" t="s">
        <v>6</v>
      </c>
      <c r="C15" s="19">
        <f>C10+C12+C14</f>
        <v>218613981</v>
      </c>
      <c r="D15" s="1"/>
      <c r="E15" s="9">
        <f>E10+E12</f>
        <v>699649896</v>
      </c>
      <c r="F15" s="9"/>
      <c r="G15" s="7">
        <f>G10+G12+G14</f>
        <v>666080528</v>
      </c>
      <c r="H15" s="7"/>
      <c r="I15" s="7">
        <f>I10+I12</f>
        <v>37925000</v>
      </c>
      <c r="J15" s="7"/>
      <c r="K15" s="7">
        <f>K10+K12</f>
        <v>46997814</v>
      </c>
      <c r="L15" s="7"/>
      <c r="M15" s="7">
        <f>M10+M12</f>
        <v>46997814</v>
      </c>
      <c r="N15" s="7"/>
      <c r="O15" s="7">
        <f>C15+I15-37925000</f>
        <v>218613981</v>
      </c>
      <c r="P15" s="7"/>
      <c r="Q15" s="7">
        <f>(E15+K15)-(37925000+9068275)</f>
        <v>699654435</v>
      </c>
      <c r="R15" s="7"/>
      <c r="S15" s="7">
        <f>G15+M15-46993275</f>
        <v>666085067</v>
      </c>
      <c r="T15" s="7"/>
    </row>
    <row r="16" spans="1:20" ht="13.5" thickBot="1" x14ac:dyDescent="0.25">
      <c r="A16" s="2">
        <v>9</v>
      </c>
      <c r="B16" s="1" t="s">
        <v>7</v>
      </c>
      <c r="C16" s="19">
        <f>C11+C13</f>
        <v>231402970</v>
      </c>
      <c r="D16" s="1">
        <f>C15-C16</f>
        <v>-12788989</v>
      </c>
      <c r="E16" s="9">
        <f>E11+E13</f>
        <v>674951940</v>
      </c>
      <c r="F16" s="9">
        <f>E15-E16</f>
        <v>24697956</v>
      </c>
      <c r="G16" s="7">
        <f>G11+G13</f>
        <v>541417378</v>
      </c>
      <c r="H16" s="7">
        <f>G15-G16</f>
        <v>124663150</v>
      </c>
      <c r="I16" s="7">
        <f>I11+I13</f>
        <v>37925000</v>
      </c>
      <c r="J16" s="7">
        <f>I15-I16</f>
        <v>0</v>
      </c>
      <c r="K16" s="7">
        <f>K11+K13+K14</f>
        <v>54987843</v>
      </c>
      <c r="L16" s="7">
        <f>K15-K16</f>
        <v>-7990029</v>
      </c>
      <c r="M16" s="7">
        <f>M11+M13</f>
        <v>37655719</v>
      </c>
      <c r="N16" s="7">
        <f>M15-M16</f>
        <v>9342095</v>
      </c>
      <c r="O16" s="7">
        <f>C16+I16-37925000</f>
        <v>231402970</v>
      </c>
      <c r="P16" s="7">
        <f>O15-O16</f>
        <v>-12788989</v>
      </c>
      <c r="Q16" s="7">
        <f>(E16+K16)-(37925000+9068275)</f>
        <v>682946508</v>
      </c>
      <c r="R16" s="7">
        <f>Q15-Q16</f>
        <v>16707927</v>
      </c>
      <c r="S16" s="7">
        <f>G16+M16-46993275</f>
        <v>532079822</v>
      </c>
      <c r="T16" s="7"/>
    </row>
    <row r="17" spans="1:20" ht="13.5" thickBot="1" x14ac:dyDescent="0.25">
      <c r="A17" s="2">
        <v>10</v>
      </c>
      <c r="B17" s="3" t="s">
        <v>8</v>
      </c>
      <c r="C17" s="20"/>
      <c r="D17" s="3"/>
      <c r="E17" s="9"/>
      <c r="F17" s="9"/>
      <c r="G17" s="7"/>
      <c r="H17" s="7"/>
      <c r="I17" s="7"/>
      <c r="J17" s="7"/>
      <c r="K17" s="7"/>
      <c r="L17" s="7"/>
      <c r="M17" s="7"/>
      <c r="N17" s="7"/>
      <c r="O17" s="7">
        <f>C17+I17</f>
        <v>0</v>
      </c>
      <c r="P17" s="7"/>
      <c r="Q17" s="7">
        <f>E17+K17</f>
        <v>0</v>
      </c>
      <c r="R17" s="7"/>
      <c r="S17" s="7">
        <f t="shared" si="0"/>
        <v>0</v>
      </c>
      <c r="T17" s="7"/>
    </row>
    <row r="18" spans="1:20" ht="13.5" thickBot="1" x14ac:dyDescent="0.25">
      <c r="A18" s="2">
        <v>11</v>
      </c>
      <c r="B18" s="3" t="s">
        <v>9</v>
      </c>
      <c r="C18" s="20">
        <v>1205373</v>
      </c>
      <c r="D18" s="3">
        <f>-C18</f>
        <v>-1205373</v>
      </c>
      <c r="E18" s="9">
        <v>1205373</v>
      </c>
      <c r="F18" s="9">
        <f>-(E18+E19)</f>
        <v>-1205373</v>
      </c>
      <c r="G18" s="7"/>
      <c r="H18" s="7"/>
      <c r="I18" s="7"/>
      <c r="J18" s="7"/>
      <c r="K18" s="7">
        <v>0</v>
      </c>
      <c r="L18" s="7">
        <f>-(K18+K19)</f>
        <v>0</v>
      </c>
      <c r="M18" s="7"/>
      <c r="N18" s="7"/>
      <c r="O18" s="7">
        <f>C18+I18</f>
        <v>1205373</v>
      </c>
      <c r="P18" s="7">
        <f>-O18</f>
        <v>-1205373</v>
      </c>
      <c r="Q18" s="7">
        <f>E18+K18</f>
        <v>1205373</v>
      </c>
      <c r="R18" s="7">
        <f>-Q18-Q19</f>
        <v>-1205373</v>
      </c>
      <c r="S18" s="7">
        <f t="shared" si="0"/>
        <v>0</v>
      </c>
      <c r="T18" s="7"/>
    </row>
    <row r="19" spans="1:20" ht="13.5" thickBot="1" x14ac:dyDescent="0.25">
      <c r="A19" s="2">
        <v>12</v>
      </c>
      <c r="B19" s="3" t="s">
        <v>21</v>
      </c>
      <c r="C19" s="20"/>
      <c r="D19" s="3"/>
      <c r="E19" s="9">
        <v>0</v>
      </c>
      <c r="F19" s="9"/>
      <c r="G19" s="7"/>
      <c r="H19" s="7"/>
      <c r="I19" s="7"/>
      <c r="J19" s="7"/>
      <c r="K19" s="7">
        <v>0</v>
      </c>
      <c r="L19" s="7"/>
      <c r="M19" s="7"/>
      <c r="N19" s="7"/>
      <c r="O19" s="7">
        <f>C19+I19</f>
        <v>0</v>
      </c>
      <c r="P19" s="7"/>
      <c r="Q19" s="7">
        <f>E19+K19</f>
        <v>0</v>
      </c>
      <c r="R19" s="7"/>
      <c r="S19" s="7">
        <f t="shared" si="0"/>
        <v>0</v>
      </c>
      <c r="T19" s="7"/>
    </row>
    <row r="20" spans="1:20" ht="13.5" thickBot="1" x14ac:dyDescent="0.25">
      <c r="A20" s="2">
        <v>13</v>
      </c>
      <c r="B20" s="3" t="s">
        <v>22</v>
      </c>
      <c r="C20" s="20"/>
      <c r="D20" s="3"/>
      <c r="E20" s="9">
        <f>425986899-52264599</f>
        <v>373722300</v>
      </c>
      <c r="F20" s="9">
        <f>-E20</f>
        <v>-373722300</v>
      </c>
      <c r="G20" s="7"/>
      <c r="H20" s="7"/>
      <c r="I20" s="7"/>
      <c r="J20" s="7"/>
      <c r="K20" s="7"/>
      <c r="L20" s="7">
        <f>-K20</f>
        <v>0</v>
      </c>
      <c r="M20" s="7"/>
      <c r="N20" s="7"/>
      <c r="O20" s="7">
        <f>C20+I20</f>
        <v>0</v>
      </c>
      <c r="P20" s="7"/>
      <c r="Q20" s="7">
        <f>E20+K20</f>
        <v>373722300</v>
      </c>
      <c r="R20" s="7"/>
      <c r="S20" s="7">
        <f t="shared" si="0"/>
        <v>0</v>
      </c>
      <c r="T20" s="7"/>
    </row>
    <row r="21" spans="1:20" ht="13.5" thickBot="1" x14ac:dyDescent="0.25">
      <c r="A21" s="2">
        <v>14</v>
      </c>
      <c r="B21" s="3" t="s">
        <v>10</v>
      </c>
      <c r="C21" s="20">
        <f>C16+C18+C19+C20</f>
        <v>232608343</v>
      </c>
      <c r="D21" s="3"/>
      <c r="E21" s="9">
        <f>E16+E18+E19+E20</f>
        <v>1049879613</v>
      </c>
      <c r="F21" s="9"/>
      <c r="G21" s="7">
        <f>G16+G18+G19+G20</f>
        <v>541417378</v>
      </c>
      <c r="H21" s="7"/>
      <c r="I21" s="7">
        <f>I16+I18+I19+I20</f>
        <v>37925000</v>
      </c>
      <c r="J21" s="7">
        <f>I15-I21</f>
        <v>0</v>
      </c>
      <c r="K21" s="7">
        <f>K16+K18+K19+K20</f>
        <v>54987843</v>
      </c>
      <c r="L21" s="7"/>
      <c r="M21" s="7">
        <f>M16+M18+M19+M20</f>
        <v>37655719</v>
      </c>
      <c r="N21" s="7"/>
      <c r="O21" s="7">
        <f>C21+I21-37925000</f>
        <v>232608343</v>
      </c>
      <c r="P21" s="7"/>
      <c r="Q21" s="7">
        <f>(E21+K21)-(37925000+9068275)</f>
        <v>1057874181</v>
      </c>
      <c r="R21" s="7"/>
      <c r="S21" s="7">
        <f>G21+M21-46993275</f>
        <v>532079822</v>
      </c>
      <c r="T21" s="7"/>
    </row>
    <row r="22" spans="1:20" ht="13.5" thickBot="1" x14ac:dyDescent="0.25">
      <c r="A22" s="2">
        <v>15</v>
      </c>
      <c r="B22" s="3" t="s">
        <v>11</v>
      </c>
      <c r="C22" s="3">
        <f>C15-C21</f>
        <v>-13994362</v>
      </c>
      <c r="D22" s="3">
        <f>SUM(D16:D21)</f>
        <v>-13994362</v>
      </c>
      <c r="E22" s="10">
        <f>E15-E21</f>
        <v>-350229717</v>
      </c>
      <c r="F22" s="10">
        <f>SUM(F16:F21)</f>
        <v>-350229717</v>
      </c>
      <c r="G22" s="10">
        <f>G15-G21</f>
        <v>124663150</v>
      </c>
      <c r="H22" s="10">
        <f>SUM(H16:H21)</f>
        <v>124663150</v>
      </c>
      <c r="I22" s="10">
        <f>I15-I21</f>
        <v>0</v>
      </c>
      <c r="J22" s="10"/>
      <c r="K22" s="10">
        <f>K15-K21</f>
        <v>-7990029</v>
      </c>
      <c r="L22" s="10">
        <f>SUM(L16:L21)</f>
        <v>-7990029</v>
      </c>
      <c r="M22" s="10">
        <f>M15-M21</f>
        <v>9342095</v>
      </c>
      <c r="N22" s="10">
        <f>SUM(N16:N21)</f>
        <v>9342095</v>
      </c>
      <c r="O22" s="10">
        <f>O15-O21</f>
        <v>-13994362</v>
      </c>
      <c r="P22" s="10">
        <f>SUM(P16:P21)</f>
        <v>-13994362</v>
      </c>
      <c r="Q22" s="7">
        <f>E22+K22</f>
        <v>-358219746</v>
      </c>
      <c r="R22" s="10">
        <f>SUM(R16:R21)</f>
        <v>15502554</v>
      </c>
      <c r="S22" s="7">
        <f t="shared" si="0"/>
        <v>134005245</v>
      </c>
      <c r="T22" s="10">
        <f>SUM(T10:T21)</f>
        <v>134005245</v>
      </c>
    </row>
    <row r="23" spans="1:20" x14ac:dyDescent="0.2">
      <c r="B23" s="5"/>
      <c r="C23" s="5"/>
      <c r="D23" s="5"/>
      <c r="E23" s="11"/>
      <c r="F23" s="11"/>
      <c r="G23" s="11"/>
      <c r="H23" s="11"/>
      <c r="I23" s="11"/>
      <c r="J23" s="11"/>
    </row>
    <row r="24" spans="1:20" ht="13.5" thickBot="1" x14ac:dyDescent="0.25">
      <c r="B24" s="4"/>
      <c r="C24" s="5"/>
      <c r="D24" s="5"/>
      <c r="E24" s="11"/>
      <c r="F24" s="11"/>
      <c r="G24" s="11"/>
      <c r="H24" s="11"/>
      <c r="I24" s="11"/>
      <c r="J24" s="11"/>
    </row>
    <row r="25" spans="1:20" ht="13.5" thickBot="1" x14ac:dyDescent="0.25">
      <c r="A25" s="2">
        <v>16</v>
      </c>
      <c r="B25" s="3" t="s">
        <v>12</v>
      </c>
      <c r="C25" s="3"/>
      <c r="D25" s="3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13.5" thickBot="1" x14ac:dyDescent="0.25">
      <c r="A26" s="2">
        <v>17</v>
      </c>
      <c r="B26" s="3" t="s">
        <v>13</v>
      </c>
      <c r="C26" s="3"/>
      <c r="D26" s="3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13.5" thickBot="1" x14ac:dyDescent="0.25">
      <c r="A27" s="2">
        <v>18</v>
      </c>
      <c r="B27" s="3" t="s">
        <v>14</v>
      </c>
      <c r="C27" s="20">
        <v>13994362</v>
      </c>
      <c r="D27" s="3"/>
      <c r="E27" s="7">
        <v>87623604</v>
      </c>
      <c r="F27" s="7"/>
      <c r="G27" s="7">
        <v>87623604</v>
      </c>
      <c r="H27" s="7"/>
      <c r="I27" s="7"/>
      <c r="J27" s="7"/>
      <c r="K27" s="7">
        <v>7990029</v>
      </c>
      <c r="L27" s="7"/>
      <c r="M27" s="7">
        <v>7990029</v>
      </c>
      <c r="N27" s="7"/>
      <c r="O27" s="7">
        <f>C27+I27</f>
        <v>13994362</v>
      </c>
      <c r="P27" s="7"/>
      <c r="Q27" s="7">
        <f>E27+K27</f>
        <v>95613633</v>
      </c>
      <c r="R27" s="7"/>
      <c r="S27" s="7">
        <f>G27+M27</f>
        <v>95613633</v>
      </c>
      <c r="T27" s="7"/>
    </row>
    <row r="28" spans="1:20" ht="13.5" thickBot="1" x14ac:dyDescent="0.25">
      <c r="A28" s="2">
        <v>19</v>
      </c>
      <c r="B28" s="3" t="s">
        <v>15</v>
      </c>
      <c r="C28" s="3"/>
      <c r="D28" s="3"/>
      <c r="E28" s="7">
        <v>262606113</v>
      </c>
      <c r="F28" s="7"/>
      <c r="G28" s="7">
        <v>262606113</v>
      </c>
      <c r="H28" s="7"/>
      <c r="I28" s="7"/>
      <c r="J28" s="7"/>
      <c r="K28" s="7"/>
      <c r="L28" s="7"/>
      <c r="M28" s="7"/>
      <c r="N28" s="7"/>
      <c r="O28" s="7">
        <f>C28+I28</f>
        <v>0</v>
      </c>
      <c r="P28" s="7"/>
      <c r="Q28" s="7">
        <f>E28+K28</f>
        <v>262606113</v>
      </c>
      <c r="R28" s="7"/>
      <c r="S28" s="7">
        <f>G28+M28</f>
        <v>262606113</v>
      </c>
      <c r="T28" s="7"/>
    </row>
    <row r="29" spans="1:20" ht="13.5" thickBot="1" x14ac:dyDescent="0.25">
      <c r="A29" s="2">
        <v>20</v>
      </c>
      <c r="B29" s="2"/>
      <c r="C29" s="10">
        <f>SUM(C27:C28)</f>
        <v>13994362</v>
      </c>
      <c r="D29" s="10">
        <f>SUM(D27:D28)</f>
        <v>0</v>
      </c>
      <c r="E29" s="10">
        <f>SUM(E27:E28)</f>
        <v>350229717</v>
      </c>
      <c r="F29" s="10"/>
      <c r="G29" s="10">
        <f>SUM(G27:G28)</f>
        <v>350229717</v>
      </c>
      <c r="H29" s="10">
        <f>SUM(H27:H28)</f>
        <v>0</v>
      </c>
      <c r="I29" s="10"/>
      <c r="J29" s="10"/>
      <c r="K29" s="10">
        <f>SUM(K27:K28)</f>
        <v>7990029</v>
      </c>
      <c r="L29" s="10"/>
      <c r="M29" s="10">
        <f>SUM(M27:M28)</f>
        <v>7990029</v>
      </c>
      <c r="N29" s="10"/>
      <c r="O29" s="10">
        <f>SUM(O27:O28)</f>
        <v>13994362</v>
      </c>
      <c r="P29" s="10"/>
      <c r="Q29" s="7">
        <f>E29+K29</f>
        <v>358219746</v>
      </c>
      <c r="R29" s="10"/>
      <c r="S29" s="7">
        <f>G29+M29</f>
        <v>358219746</v>
      </c>
      <c r="T29" s="7"/>
    </row>
    <row r="40" spans="6:6" x14ac:dyDescent="0.2">
      <c r="F40" s="6">
        <v>0</v>
      </c>
    </row>
  </sheetData>
  <mergeCells count="3">
    <mergeCell ref="E8:H8"/>
    <mergeCell ref="K8:N8"/>
    <mergeCell ref="Q8:T8"/>
  </mergeCells>
  <pageMargins left="0" right="0" top="0.98425196850393704" bottom="0.98425196850393704" header="0.51181102362204722" footer="0.51181102362204722"/>
  <pageSetup paperSize="8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2020.évi ktv.</vt:lpstr>
      <vt:lpstr>2020.évi ei.mód</vt:lpstr>
      <vt:lpstr>2020.évi ei.mód II.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Lantai Éva dr.</cp:lastModifiedBy>
  <cp:lastPrinted>2018-01-22T16:11:03Z</cp:lastPrinted>
  <dcterms:created xsi:type="dcterms:W3CDTF">1997-01-17T14:02:09Z</dcterms:created>
  <dcterms:modified xsi:type="dcterms:W3CDTF">2021-05-31T06:46:30Z</dcterms:modified>
</cp:coreProperties>
</file>