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360" yWindow="30" windowWidth="11340" windowHeight="7305" tabRatio="601" activeTab="2"/>
  </bookViews>
  <sheets>
    <sheet name="2020.évi ktv." sheetId="30" r:id="rId1"/>
    <sheet name="2020.évi ei.mód I." sheetId="31" r:id="rId2"/>
    <sheet name="2020.évi ei.mód II." sheetId="32" r:id="rId3"/>
  </sheets>
  <calcPr calcId="181029"/>
</workbook>
</file>

<file path=xl/calcChain.xml><?xml version="1.0" encoding="utf-8"?>
<calcChain xmlns="http://schemas.openxmlformats.org/spreadsheetml/2006/main">
  <c r="G112" i="32" l="1"/>
  <c r="D112" i="32"/>
  <c r="G101" i="32"/>
  <c r="G107" i="32"/>
  <c r="H16" i="32"/>
  <c r="G17" i="32"/>
  <c r="D17" i="32"/>
  <c r="G16" i="32"/>
  <c r="G41" i="32"/>
  <c r="H17" i="32"/>
  <c r="E17" i="32"/>
  <c r="H29" i="32"/>
  <c r="H53" i="32"/>
  <c r="H54" i="32"/>
  <c r="H41" i="32"/>
  <c r="E41" i="32"/>
  <c r="G40" i="32"/>
  <c r="G39" i="32"/>
  <c r="G102" i="32"/>
  <c r="G96" i="32"/>
  <c r="D96" i="32"/>
  <c r="G95" i="32"/>
  <c r="G94" i="32"/>
  <c r="J76" i="32"/>
  <c r="M76" i="32"/>
  <c r="S76" i="32"/>
  <c r="P76" i="32"/>
  <c r="P78" i="32"/>
  <c r="T129" i="32"/>
  <c r="S129" i="32"/>
  <c r="R129" i="32"/>
  <c r="Q129" i="32"/>
  <c r="P129" i="32"/>
  <c r="O129" i="32"/>
  <c r="N129" i="32"/>
  <c r="M129" i="32"/>
  <c r="D129" i="32"/>
  <c r="L129" i="32"/>
  <c r="K129" i="32"/>
  <c r="J129" i="32"/>
  <c r="I129" i="32"/>
  <c r="C129" i="32"/>
  <c r="G129" i="32"/>
  <c r="F129" i="32"/>
  <c r="E128" i="32"/>
  <c r="D128" i="32"/>
  <c r="C128" i="32"/>
  <c r="H127" i="32"/>
  <c r="H129" i="32"/>
  <c r="E129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E120" i="32"/>
  <c r="D120" i="32"/>
  <c r="T118" i="32"/>
  <c r="S118" i="32"/>
  <c r="R118" i="32"/>
  <c r="Q118" i="32"/>
  <c r="P118" i="32"/>
  <c r="O118" i="32"/>
  <c r="N118" i="32"/>
  <c r="M118" i="32"/>
  <c r="L118" i="32"/>
  <c r="K118" i="32"/>
  <c r="J118" i="32"/>
  <c r="I118" i="32"/>
  <c r="H118" i="32"/>
  <c r="E118" i="32"/>
  <c r="F118" i="32"/>
  <c r="C118" i="32"/>
  <c r="E117" i="32"/>
  <c r="D117" i="32"/>
  <c r="C117" i="32"/>
  <c r="G116" i="32"/>
  <c r="D116" i="32"/>
  <c r="E116" i="32"/>
  <c r="C116" i="32"/>
  <c r="E115" i="32"/>
  <c r="D115" i="32"/>
  <c r="C115" i="32"/>
  <c r="Q113" i="32"/>
  <c r="P113" i="32"/>
  <c r="O113" i="32"/>
  <c r="O114" i="32"/>
  <c r="N113" i="32"/>
  <c r="M113" i="32"/>
  <c r="K113" i="32"/>
  <c r="J113" i="32"/>
  <c r="I113" i="32"/>
  <c r="H113" i="32"/>
  <c r="F113" i="32"/>
  <c r="C113" i="32"/>
  <c r="E112" i="32"/>
  <c r="C112" i="32"/>
  <c r="E111" i="32"/>
  <c r="D111" i="32"/>
  <c r="C111" i="32"/>
  <c r="E110" i="32"/>
  <c r="D110" i="32"/>
  <c r="S109" i="32"/>
  <c r="S119" i="32"/>
  <c r="S121" i="32"/>
  <c r="O109" i="32"/>
  <c r="O119" i="32"/>
  <c r="O121" i="32"/>
  <c r="E108" i="32"/>
  <c r="D108" i="32"/>
  <c r="C108" i="32"/>
  <c r="T107" i="32"/>
  <c r="S107" i="32"/>
  <c r="R107" i="32"/>
  <c r="Q107" i="32"/>
  <c r="P107" i="32"/>
  <c r="O107" i="32"/>
  <c r="N107" i="32"/>
  <c r="M107" i="32"/>
  <c r="L107" i="32"/>
  <c r="K107" i="32"/>
  <c r="J107" i="32"/>
  <c r="I107" i="32"/>
  <c r="H107" i="32"/>
  <c r="F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P102" i="32"/>
  <c r="E102" i="32"/>
  <c r="D102" i="32"/>
  <c r="C102" i="32"/>
  <c r="E101" i="32"/>
  <c r="C101" i="32"/>
  <c r="E100" i="32"/>
  <c r="D100" i="32"/>
  <c r="T99" i="32"/>
  <c r="T109" i="32"/>
  <c r="S99" i="32"/>
  <c r="R99" i="32"/>
  <c r="R109" i="32"/>
  <c r="Q99" i="32"/>
  <c r="Q109" i="32"/>
  <c r="Q119" i="32"/>
  <c r="Q121" i="32"/>
  <c r="P99" i="32"/>
  <c r="P109" i="32"/>
  <c r="O99" i="32"/>
  <c r="N99" i="32"/>
  <c r="N109" i="32"/>
  <c r="L99" i="32"/>
  <c r="L109" i="32"/>
  <c r="K99" i="32"/>
  <c r="K109" i="32"/>
  <c r="K119" i="32"/>
  <c r="K121" i="32"/>
  <c r="J99" i="32"/>
  <c r="J109" i="32"/>
  <c r="I99" i="32"/>
  <c r="I109" i="32"/>
  <c r="I119" i="32"/>
  <c r="I121" i="32"/>
  <c r="H99" i="32"/>
  <c r="H109" i="32"/>
  <c r="F99" i="32"/>
  <c r="F109" i="32"/>
  <c r="E98" i="32"/>
  <c r="D98" i="32"/>
  <c r="C98" i="32"/>
  <c r="E97" i="32"/>
  <c r="D97" i="32"/>
  <c r="C97" i="32"/>
  <c r="E96" i="32"/>
  <c r="C96" i="32"/>
  <c r="E95" i="32"/>
  <c r="D95" i="32"/>
  <c r="C95" i="32"/>
  <c r="P94" i="32"/>
  <c r="M94" i="32"/>
  <c r="M99" i="32"/>
  <c r="E94" i="32"/>
  <c r="C94" i="32"/>
  <c r="R82" i="32"/>
  <c r="O82" i="32"/>
  <c r="L82" i="32"/>
  <c r="H81" i="32"/>
  <c r="E81" i="32"/>
  <c r="G81" i="32"/>
  <c r="F81" i="32"/>
  <c r="C81" i="32"/>
  <c r="D81" i="32"/>
  <c r="G80" i="32"/>
  <c r="D80" i="32"/>
  <c r="F80" i="32"/>
  <c r="E80" i="32"/>
  <c r="C80" i="32"/>
  <c r="H79" i="32"/>
  <c r="G79" i="32"/>
  <c r="D79" i="32"/>
  <c r="F79" i="32"/>
  <c r="E79" i="32"/>
  <c r="C79" i="32"/>
  <c r="H78" i="32"/>
  <c r="E78" i="32"/>
  <c r="G78" i="32"/>
  <c r="D78" i="32"/>
  <c r="F78" i="32"/>
  <c r="C78" i="32"/>
  <c r="H77" i="32"/>
  <c r="G77" i="32"/>
  <c r="D77" i="32"/>
  <c r="F77" i="32"/>
  <c r="E77" i="32"/>
  <c r="C77" i="32"/>
  <c r="H76" i="32"/>
  <c r="E76" i="32"/>
  <c r="F76" i="32"/>
  <c r="C76" i="32"/>
  <c r="T74" i="32"/>
  <c r="S74" i="32"/>
  <c r="Q74" i="32"/>
  <c r="P74" i="32"/>
  <c r="N74" i="32"/>
  <c r="M74" i="32"/>
  <c r="K74" i="32"/>
  <c r="E74" i="32"/>
  <c r="J74" i="32"/>
  <c r="I74" i="32"/>
  <c r="H74" i="32"/>
  <c r="G74" i="32"/>
  <c r="D74" i="32"/>
  <c r="F74" i="32"/>
  <c r="C74" i="32"/>
  <c r="E73" i="32"/>
  <c r="D73" i="32"/>
  <c r="C73" i="32"/>
  <c r="E72" i="32"/>
  <c r="D72" i="32"/>
  <c r="C72" i="32"/>
  <c r="E71" i="32"/>
  <c r="D71" i="32"/>
  <c r="E70" i="32"/>
  <c r="D70" i="32"/>
  <c r="Q68" i="32"/>
  <c r="P68" i="32"/>
  <c r="N68" i="32"/>
  <c r="M68" i="32"/>
  <c r="K68" i="32"/>
  <c r="J68" i="32"/>
  <c r="I68" i="32"/>
  <c r="C68" i="32"/>
  <c r="H68" i="32"/>
  <c r="E68" i="32"/>
  <c r="G68" i="32"/>
  <c r="D68" i="32"/>
  <c r="F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6" i="32"/>
  <c r="D56" i="32"/>
  <c r="C56" i="32"/>
  <c r="E55" i="32"/>
  <c r="D55" i="32"/>
  <c r="T54" i="32"/>
  <c r="S54" i="32"/>
  <c r="Q54" i="32"/>
  <c r="P54" i="32"/>
  <c r="N54" i="32"/>
  <c r="M54" i="32"/>
  <c r="K54" i="32"/>
  <c r="I54" i="32"/>
  <c r="I57" i="32"/>
  <c r="I69" i="32"/>
  <c r="G54" i="32"/>
  <c r="F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J54" i="32"/>
  <c r="E49" i="32"/>
  <c r="C49" i="32"/>
  <c r="E48" i="32"/>
  <c r="D48" i="32"/>
  <c r="T47" i="32"/>
  <c r="S47" i="32"/>
  <c r="Q47" i="32"/>
  <c r="P47" i="32"/>
  <c r="N47" i="32"/>
  <c r="M47" i="32"/>
  <c r="K47" i="32"/>
  <c r="J47" i="32"/>
  <c r="H47" i="32"/>
  <c r="E47" i="32"/>
  <c r="F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G42" i="32"/>
  <c r="D42" i="32"/>
  <c r="E42" i="32"/>
  <c r="C42" i="32"/>
  <c r="D41" i="32"/>
  <c r="F41" i="32"/>
  <c r="C41" i="32"/>
  <c r="E40" i="32"/>
  <c r="D40" i="32"/>
  <c r="C40" i="32"/>
  <c r="G47" i="32"/>
  <c r="D47" i="32"/>
  <c r="E39" i="32"/>
  <c r="D39" i="32"/>
  <c r="C39" i="32"/>
  <c r="E38" i="32"/>
  <c r="D38" i="32"/>
  <c r="S37" i="32"/>
  <c r="S57" i="32"/>
  <c r="S69" i="32"/>
  <c r="Q35" i="32"/>
  <c r="P35" i="32"/>
  <c r="N35" i="32"/>
  <c r="M35" i="32"/>
  <c r="K35" i="32"/>
  <c r="J35" i="32"/>
  <c r="H35" i="32"/>
  <c r="E35" i="32"/>
  <c r="G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Q30" i="32"/>
  <c r="P30" i="32"/>
  <c r="N30" i="32"/>
  <c r="M30" i="32"/>
  <c r="K30" i="32"/>
  <c r="J30" i="32"/>
  <c r="H30" i="32"/>
  <c r="E30" i="32"/>
  <c r="G30" i="32"/>
  <c r="D30" i="32"/>
  <c r="F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Q22" i="32"/>
  <c r="Q36" i="32"/>
  <c r="P22" i="32"/>
  <c r="P36" i="32"/>
  <c r="N22" i="32"/>
  <c r="N36" i="32"/>
  <c r="M22" i="32"/>
  <c r="M36" i="32"/>
  <c r="K22" i="32"/>
  <c r="K36" i="32"/>
  <c r="J22" i="32"/>
  <c r="J36" i="32"/>
  <c r="J37" i="32"/>
  <c r="H22" i="32"/>
  <c r="G22" i="32"/>
  <c r="F22" i="32"/>
  <c r="F36" i="32"/>
  <c r="C36" i="32"/>
  <c r="E22" i="32"/>
  <c r="C22" i="32"/>
  <c r="E21" i="32"/>
  <c r="D21" i="32"/>
  <c r="C21" i="32"/>
  <c r="E20" i="32"/>
  <c r="D20" i="32"/>
  <c r="C20" i="32"/>
  <c r="E19" i="32"/>
  <c r="D19" i="32"/>
  <c r="C19" i="32"/>
  <c r="T18" i="32"/>
  <c r="T37" i="32"/>
  <c r="T57" i="32"/>
  <c r="T69" i="32"/>
  <c r="S18" i="32"/>
  <c r="Q18" i="32"/>
  <c r="Q37" i="32"/>
  <c r="Q57" i="32"/>
  <c r="Q69" i="32"/>
  <c r="P18" i="32"/>
  <c r="N18" i="32"/>
  <c r="M18" i="32"/>
  <c r="K18" i="32"/>
  <c r="K37" i="32"/>
  <c r="K57" i="32"/>
  <c r="K69" i="32"/>
  <c r="J18" i="32"/>
  <c r="F18" i="32"/>
  <c r="F37" i="32"/>
  <c r="C17" i="32"/>
  <c r="F16" i="32"/>
  <c r="E16" i="32"/>
  <c r="D16" i="32"/>
  <c r="C16" i="32"/>
  <c r="E15" i="32"/>
  <c r="D15" i="32"/>
  <c r="C15" i="32"/>
  <c r="E14" i="32"/>
  <c r="D14" i="32"/>
  <c r="C14" i="32"/>
  <c r="E13" i="32"/>
  <c r="D13" i="32"/>
  <c r="C13" i="32"/>
  <c r="G101" i="31"/>
  <c r="D101" i="31"/>
  <c r="G116" i="31"/>
  <c r="D116" i="31"/>
  <c r="G97" i="31"/>
  <c r="D97" i="31"/>
  <c r="G112" i="31"/>
  <c r="D112" i="31"/>
  <c r="G96" i="31"/>
  <c r="D96" i="31"/>
  <c r="G94" i="31"/>
  <c r="M94" i="31"/>
  <c r="M99" i="31"/>
  <c r="M109" i="31"/>
  <c r="P76" i="31"/>
  <c r="P82" i="31"/>
  <c r="P102" i="31"/>
  <c r="P94" i="31"/>
  <c r="P99" i="31"/>
  <c r="J76" i="31"/>
  <c r="J94" i="31"/>
  <c r="J95" i="31"/>
  <c r="D95" i="31"/>
  <c r="G42" i="31"/>
  <c r="G39" i="31"/>
  <c r="D39" i="31"/>
  <c r="J49" i="31"/>
  <c r="J54" i="31"/>
  <c r="G41" i="31"/>
  <c r="D41" i="31"/>
  <c r="G40" i="31"/>
  <c r="D40" i="31"/>
  <c r="D72" i="31"/>
  <c r="L114" i="31"/>
  <c r="H22" i="31"/>
  <c r="T129" i="31"/>
  <c r="S129" i="31"/>
  <c r="R129" i="31"/>
  <c r="Q129" i="31"/>
  <c r="P129" i="31"/>
  <c r="O129" i="31"/>
  <c r="N129" i="31"/>
  <c r="M129" i="31"/>
  <c r="L129" i="31"/>
  <c r="K129" i="31"/>
  <c r="J129" i="31"/>
  <c r="I129" i="31"/>
  <c r="G129" i="31"/>
  <c r="F129" i="31"/>
  <c r="E128" i="31"/>
  <c r="D128" i="31"/>
  <c r="C128" i="31"/>
  <c r="H127" i="31"/>
  <c r="H129" i="31"/>
  <c r="D127" i="31"/>
  <c r="C127" i="31"/>
  <c r="E126" i="31"/>
  <c r="D126" i="31"/>
  <c r="C126" i="31"/>
  <c r="E125" i="31"/>
  <c r="D125" i="31"/>
  <c r="C125" i="31"/>
  <c r="E124" i="31"/>
  <c r="D124" i="31"/>
  <c r="C124" i="31"/>
  <c r="E123" i="31"/>
  <c r="D123" i="31"/>
  <c r="C123" i="31"/>
  <c r="E122" i="31"/>
  <c r="D122" i="31"/>
  <c r="E120" i="31"/>
  <c r="D120" i="31"/>
  <c r="T118" i="31"/>
  <c r="S118" i="31"/>
  <c r="R118" i="31"/>
  <c r="Q118" i="31"/>
  <c r="P118" i="31"/>
  <c r="O118" i="31"/>
  <c r="N118" i="31"/>
  <c r="M118" i="31"/>
  <c r="L118" i="31"/>
  <c r="K118" i="31"/>
  <c r="J118" i="31"/>
  <c r="I118" i="31"/>
  <c r="H118" i="31"/>
  <c r="F118" i="31"/>
  <c r="E117" i="31"/>
  <c r="D117" i="31"/>
  <c r="C117" i="31"/>
  <c r="E116" i="31"/>
  <c r="C116" i="31"/>
  <c r="E115" i="31"/>
  <c r="D115" i="31"/>
  <c r="C115" i="31"/>
  <c r="Q113" i="31"/>
  <c r="P113" i="31"/>
  <c r="O113" i="31"/>
  <c r="N113" i="31"/>
  <c r="M113" i="31"/>
  <c r="K113" i="31"/>
  <c r="J113" i="31"/>
  <c r="I113" i="31"/>
  <c r="H113" i="31"/>
  <c r="F113" i="31"/>
  <c r="E112" i="31"/>
  <c r="C112" i="31"/>
  <c r="E111" i="31"/>
  <c r="D111" i="31"/>
  <c r="C111" i="31"/>
  <c r="E110" i="31"/>
  <c r="D110" i="31"/>
  <c r="E108" i="31"/>
  <c r="D108" i="31"/>
  <c r="C108" i="31"/>
  <c r="T107" i="31"/>
  <c r="S107" i="31"/>
  <c r="R107" i="31"/>
  <c r="Q107" i="31"/>
  <c r="P107" i="31"/>
  <c r="O107" i="31"/>
  <c r="N107" i="31"/>
  <c r="M107" i="31"/>
  <c r="L107" i="31"/>
  <c r="K107" i="31"/>
  <c r="J107" i="31"/>
  <c r="I107" i="31"/>
  <c r="F107" i="31"/>
  <c r="E106" i="31"/>
  <c r="D106" i="31"/>
  <c r="C106" i="31"/>
  <c r="E105" i="31"/>
  <c r="D105" i="31"/>
  <c r="C105" i="31"/>
  <c r="E104" i="31"/>
  <c r="D104" i="31"/>
  <c r="C104" i="31"/>
  <c r="E103" i="31"/>
  <c r="D103" i="31"/>
  <c r="C103" i="31"/>
  <c r="E102" i="31"/>
  <c r="D102" i="31"/>
  <c r="C102" i="31"/>
  <c r="H107" i="31"/>
  <c r="C101" i="31"/>
  <c r="E100" i="31"/>
  <c r="D100" i="31"/>
  <c r="T99" i="31"/>
  <c r="T109" i="31"/>
  <c r="S99" i="31"/>
  <c r="R99" i="31"/>
  <c r="Q99" i="31"/>
  <c r="Q109" i="31"/>
  <c r="Q114" i="31"/>
  <c r="O99" i="31"/>
  <c r="N99" i="31"/>
  <c r="N109" i="31"/>
  <c r="L99" i="31"/>
  <c r="K99" i="31"/>
  <c r="I99" i="31"/>
  <c r="I109" i="31"/>
  <c r="F99" i="31"/>
  <c r="E98" i="31"/>
  <c r="D98" i="31"/>
  <c r="C98" i="31"/>
  <c r="E97" i="31"/>
  <c r="C97" i="31"/>
  <c r="E96" i="31"/>
  <c r="C96" i="31"/>
  <c r="E95" i="31"/>
  <c r="C95" i="31"/>
  <c r="E94" i="31"/>
  <c r="C94" i="31"/>
  <c r="R82" i="31"/>
  <c r="O82" i="31"/>
  <c r="L82" i="31"/>
  <c r="H81" i="31"/>
  <c r="E81" i="31"/>
  <c r="G81" i="31"/>
  <c r="D81" i="31"/>
  <c r="F81" i="31"/>
  <c r="C81" i="31"/>
  <c r="G80" i="31"/>
  <c r="D80" i="31"/>
  <c r="F80" i="31"/>
  <c r="C80" i="31"/>
  <c r="E80" i="31"/>
  <c r="H79" i="31"/>
  <c r="E79" i="31"/>
  <c r="G79" i="31"/>
  <c r="D79" i="31"/>
  <c r="F79" i="31"/>
  <c r="C79" i="31"/>
  <c r="H78" i="31"/>
  <c r="E78" i="31"/>
  <c r="G78" i="31"/>
  <c r="D78" i="31"/>
  <c r="F78" i="31"/>
  <c r="C78" i="31"/>
  <c r="H77" i="31"/>
  <c r="E77" i="31"/>
  <c r="G77" i="31"/>
  <c r="F77" i="31"/>
  <c r="C77" i="31"/>
  <c r="D77" i="31"/>
  <c r="H76" i="31"/>
  <c r="E76" i="31"/>
  <c r="F76" i="31"/>
  <c r="C76" i="31"/>
  <c r="T74" i="31"/>
  <c r="S74" i="31"/>
  <c r="Q74" i="31"/>
  <c r="P74" i="31"/>
  <c r="N74" i="31"/>
  <c r="M74" i="31"/>
  <c r="K74" i="31"/>
  <c r="J74" i="31"/>
  <c r="I74" i="31"/>
  <c r="H74" i="31"/>
  <c r="G74" i="31"/>
  <c r="D74" i="31"/>
  <c r="F74" i="31"/>
  <c r="E73" i="31"/>
  <c r="D73" i="31"/>
  <c r="C73" i="31"/>
  <c r="E72" i="31"/>
  <c r="C72" i="31"/>
  <c r="E71" i="31"/>
  <c r="D71" i="31"/>
  <c r="E70" i="31"/>
  <c r="D70" i="31"/>
  <c r="Q68" i="31"/>
  <c r="P68" i="31"/>
  <c r="N68" i="31"/>
  <c r="M68" i="31"/>
  <c r="K68" i="31"/>
  <c r="J68" i="31"/>
  <c r="I68" i="31"/>
  <c r="H68" i="31"/>
  <c r="F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D62" i="31"/>
  <c r="E62" i="31"/>
  <c r="C62" i="31"/>
  <c r="E61" i="31"/>
  <c r="C61" i="31"/>
  <c r="E60" i="31"/>
  <c r="D60" i="31"/>
  <c r="C60" i="31"/>
  <c r="E59" i="31"/>
  <c r="D59" i="31"/>
  <c r="C59" i="31"/>
  <c r="E58" i="31"/>
  <c r="D58" i="31"/>
  <c r="C58" i="31"/>
  <c r="E56" i="31"/>
  <c r="D56" i="31"/>
  <c r="C56" i="31"/>
  <c r="E55" i="31"/>
  <c r="D55" i="31"/>
  <c r="T54" i="31"/>
  <c r="S54" i="31"/>
  <c r="Q54" i="31"/>
  <c r="P54" i="31"/>
  <c r="N54" i="31"/>
  <c r="M54" i="31"/>
  <c r="K54" i="31"/>
  <c r="I54" i="31"/>
  <c r="I57" i="31"/>
  <c r="F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T47" i="31"/>
  <c r="S47" i="31"/>
  <c r="Q47" i="31"/>
  <c r="P47" i="31"/>
  <c r="N47" i="31"/>
  <c r="M47" i="31"/>
  <c r="K47" i="31"/>
  <c r="J47" i="31"/>
  <c r="H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D42" i="31"/>
  <c r="E42" i="31"/>
  <c r="C42" i="31"/>
  <c r="F41" i="31"/>
  <c r="F47" i="31"/>
  <c r="C47" i="31"/>
  <c r="E41" i="31"/>
  <c r="E40" i="31"/>
  <c r="C40" i="31"/>
  <c r="E39" i="31"/>
  <c r="C39" i="31"/>
  <c r="E38" i="31"/>
  <c r="D38" i="31"/>
  <c r="Q35" i="31"/>
  <c r="P35" i="31"/>
  <c r="N35" i="31"/>
  <c r="M35" i="31"/>
  <c r="K35" i="31"/>
  <c r="J35" i="31"/>
  <c r="H35" i="31"/>
  <c r="E35" i="31"/>
  <c r="G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Q30" i="31"/>
  <c r="P30" i="31"/>
  <c r="N30" i="31"/>
  <c r="M30" i="31"/>
  <c r="K30" i="31"/>
  <c r="J30" i="31"/>
  <c r="G30" i="31"/>
  <c r="F30" i="31"/>
  <c r="C30" i="31"/>
  <c r="H30" i="31"/>
  <c r="H36" i="31"/>
  <c r="E36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Q22" i="31"/>
  <c r="P22" i="31"/>
  <c r="N22" i="31"/>
  <c r="M22" i="31"/>
  <c r="K22" i="31"/>
  <c r="J22" i="31"/>
  <c r="G22" i="31"/>
  <c r="F22" i="31"/>
  <c r="F36" i="31"/>
  <c r="C36" i="31"/>
  <c r="E21" i="31"/>
  <c r="D21" i="31"/>
  <c r="C21" i="31"/>
  <c r="E20" i="31"/>
  <c r="D20" i="31"/>
  <c r="C20" i="31"/>
  <c r="E19" i="31"/>
  <c r="D19" i="31"/>
  <c r="C19" i="31"/>
  <c r="T18" i="31"/>
  <c r="T37" i="31"/>
  <c r="S18" i="31"/>
  <c r="S37" i="31"/>
  <c r="P18" i="31"/>
  <c r="D18" i="31"/>
  <c r="N18" i="31"/>
  <c r="M18" i="31"/>
  <c r="K18" i="31"/>
  <c r="J18" i="31"/>
  <c r="G18" i="31"/>
  <c r="Q18" i="31"/>
  <c r="D17" i="31"/>
  <c r="C17" i="31"/>
  <c r="F16" i="31"/>
  <c r="F18" i="31"/>
  <c r="E16" i="31"/>
  <c r="D16" i="31"/>
  <c r="C16" i="31"/>
  <c r="D15" i="31"/>
  <c r="C15" i="31"/>
  <c r="E14" i="31"/>
  <c r="D14" i="31"/>
  <c r="C14" i="31"/>
  <c r="E13" i="31"/>
  <c r="D13" i="31"/>
  <c r="C13" i="31"/>
  <c r="C14" i="30"/>
  <c r="C15" i="30"/>
  <c r="C16" i="30"/>
  <c r="C17" i="30"/>
  <c r="C13" i="30"/>
  <c r="J127" i="30"/>
  <c r="F127" i="30"/>
  <c r="J14" i="30"/>
  <c r="F14" i="30"/>
  <c r="J17" i="30"/>
  <c r="J15" i="30"/>
  <c r="V17" i="30"/>
  <c r="R76" i="30"/>
  <c r="J76" i="30"/>
  <c r="F76" i="30"/>
  <c r="J29" i="30"/>
  <c r="J49" i="30"/>
  <c r="J54" i="30"/>
  <c r="F54" i="30"/>
  <c r="E49" i="30"/>
  <c r="I62" i="30"/>
  <c r="I61" i="30"/>
  <c r="I54" i="30"/>
  <c r="I41" i="30"/>
  <c r="C82" i="30"/>
  <c r="C81" i="30"/>
  <c r="C80" i="30"/>
  <c r="D80" i="30"/>
  <c r="C79" i="30"/>
  <c r="C78" i="30"/>
  <c r="C77" i="30"/>
  <c r="C76" i="30"/>
  <c r="C75" i="30"/>
  <c r="C74" i="30"/>
  <c r="C73" i="30"/>
  <c r="C72" i="30"/>
  <c r="D73" i="30"/>
  <c r="C69" i="30"/>
  <c r="C68" i="30"/>
  <c r="C59" i="30"/>
  <c r="C60" i="30"/>
  <c r="C61" i="30"/>
  <c r="C62" i="30"/>
  <c r="C63" i="30"/>
  <c r="C64" i="30"/>
  <c r="C65" i="30"/>
  <c r="C66" i="30"/>
  <c r="C67" i="30"/>
  <c r="C58" i="30"/>
  <c r="C57" i="30"/>
  <c r="C56" i="30"/>
  <c r="C54" i="30"/>
  <c r="C50" i="30"/>
  <c r="C51" i="30"/>
  <c r="C52" i="30"/>
  <c r="C53" i="30"/>
  <c r="C49" i="30"/>
  <c r="C47" i="30"/>
  <c r="C40" i="30"/>
  <c r="C41" i="30"/>
  <c r="C42" i="30"/>
  <c r="C43" i="30"/>
  <c r="C44" i="30"/>
  <c r="C45" i="30"/>
  <c r="C46" i="30"/>
  <c r="C39" i="30"/>
  <c r="C37" i="30"/>
  <c r="C36" i="30"/>
  <c r="C35" i="30"/>
  <c r="C32" i="30"/>
  <c r="C33" i="30"/>
  <c r="C34" i="30"/>
  <c r="C31" i="30"/>
  <c r="C30" i="30"/>
  <c r="C24" i="30"/>
  <c r="C25" i="30"/>
  <c r="C26" i="30"/>
  <c r="C27" i="30"/>
  <c r="C28" i="30"/>
  <c r="C29" i="30"/>
  <c r="C23" i="30"/>
  <c r="C21" i="30"/>
  <c r="C20" i="30"/>
  <c r="C22" i="30"/>
  <c r="C19" i="30"/>
  <c r="C18" i="30"/>
  <c r="G82" i="30"/>
  <c r="G81" i="30"/>
  <c r="G80" i="30"/>
  <c r="H80" i="30"/>
  <c r="G79" i="30"/>
  <c r="G77" i="30"/>
  <c r="G78" i="30"/>
  <c r="G76" i="30"/>
  <c r="G75" i="30"/>
  <c r="G74" i="30"/>
  <c r="G69" i="30"/>
  <c r="G68" i="30"/>
  <c r="G16" i="30"/>
  <c r="G54" i="30"/>
  <c r="G18" i="30"/>
  <c r="G22" i="30"/>
  <c r="G30" i="30"/>
  <c r="G41" i="30"/>
  <c r="G47" i="30"/>
  <c r="K82" i="30"/>
  <c r="K75" i="30"/>
  <c r="K74" i="30"/>
  <c r="K69" i="30"/>
  <c r="K68" i="30"/>
  <c r="K57" i="30"/>
  <c r="K54" i="30"/>
  <c r="O82" i="30"/>
  <c r="Q76" i="30"/>
  <c r="I76" i="30"/>
  <c r="E76" i="30"/>
  <c r="U76" i="30"/>
  <c r="S82" i="30"/>
  <c r="W82" i="30"/>
  <c r="J102" i="30"/>
  <c r="F102" i="30"/>
  <c r="J101" i="30"/>
  <c r="I101" i="30"/>
  <c r="E101" i="30"/>
  <c r="I97" i="30"/>
  <c r="J96" i="30"/>
  <c r="J99" i="30"/>
  <c r="I96" i="30"/>
  <c r="J95" i="30"/>
  <c r="F95" i="30"/>
  <c r="I95" i="30"/>
  <c r="J94" i="30"/>
  <c r="F94" i="30"/>
  <c r="I94" i="30"/>
  <c r="E94" i="30"/>
  <c r="C129" i="30"/>
  <c r="C124" i="30"/>
  <c r="C125" i="30"/>
  <c r="C126" i="30"/>
  <c r="C127" i="30"/>
  <c r="C128" i="30"/>
  <c r="C123" i="30"/>
  <c r="C117" i="30"/>
  <c r="C116" i="30"/>
  <c r="C115" i="30"/>
  <c r="C112" i="30"/>
  <c r="C111" i="30"/>
  <c r="C108" i="30"/>
  <c r="C102" i="30"/>
  <c r="C103" i="30"/>
  <c r="C104" i="30"/>
  <c r="C105" i="30"/>
  <c r="C106" i="30"/>
  <c r="C101" i="30"/>
  <c r="C95" i="30"/>
  <c r="C96" i="30"/>
  <c r="C97" i="30"/>
  <c r="C98" i="30"/>
  <c r="C94" i="30"/>
  <c r="G129" i="30"/>
  <c r="G118" i="30"/>
  <c r="C118" i="30"/>
  <c r="G113" i="30"/>
  <c r="C113" i="30"/>
  <c r="G107" i="30"/>
  <c r="C107" i="30"/>
  <c r="G99" i="30"/>
  <c r="C99" i="30"/>
  <c r="K129" i="30"/>
  <c r="L121" i="30"/>
  <c r="K118" i="30"/>
  <c r="K113" i="30"/>
  <c r="K107" i="30"/>
  <c r="K99" i="30"/>
  <c r="O129" i="30"/>
  <c r="O118" i="30"/>
  <c r="O107" i="30"/>
  <c r="O99" i="30"/>
  <c r="O109" i="30"/>
  <c r="O119" i="30"/>
  <c r="O121" i="30"/>
  <c r="S129" i="30"/>
  <c r="S118" i="30"/>
  <c r="S113" i="30"/>
  <c r="S109" i="30"/>
  <c r="S114" i="30"/>
  <c r="S107" i="30"/>
  <c r="S99" i="30"/>
  <c r="W129" i="30"/>
  <c r="W118" i="30"/>
  <c r="W107" i="30"/>
  <c r="W99" i="30"/>
  <c r="W109" i="30"/>
  <c r="W114" i="30"/>
  <c r="H94" i="30"/>
  <c r="J53" i="30"/>
  <c r="I53" i="30"/>
  <c r="I42" i="30"/>
  <c r="I40" i="30"/>
  <c r="I39" i="30"/>
  <c r="I74" i="30"/>
  <c r="I116" i="30"/>
  <c r="Z129" i="30"/>
  <c r="Y129" i="30"/>
  <c r="X129" i="30"/>
  <c r="V129" i="30"/>
  <c r="U129" i="30"/>
  <c r="T129" i="30"/>
  <c r="R129" i="30"/>
  <c r="Q129" i="30"/>
  <c r="P129" i="30"/>
  <c r="N129" i="30"/>
  <c r="M129" i="30"/>
  <c r="L129" i="30"/>
  <c r="D129" i="30"/>
  <c r="J129" i="30"/>
  <c r="I129" i="30"/>
  <c r="E129" i="30"/>
  <c r="H129" i="30"/>
  <c r="F128" i="30"/>
  <c r="E128" i="30"/>
  <c r="D128" i="30"/>
  <c r="E127" i="30"/>
  <c r="D127" i="30"/>
  <c r="F126" i="30"/>
  <c r="E126" i="30"/>
  <c r="D126" i="30"/>
  <c r="F125" i="30"/>
  <c r="E125" i="30"/>
  <c r="D125" i="30"/>
  <c r="F124" i="30"/>
  <c r="E124" i="30"/>
  <c r="D124" i="30"/>
  <c r="F123" i="30"/>
  <c r="E123" i="30"/>
  <c r="D123" i="30"/>
  <c r="F122" i="30"/>
  <c r="E122" i="30"/>
  <c r="D122" i="30"/>
  <c r="F120" i="30"/>
  <c r="E120" i="30"/>
  <c r="D120" i="30"/>
  <c r="Z118" i="30"/>
  <c r="Y118" i="30"/>
  <c r="X118" i="30"/>
  <c r="V118" i="30"/>
  <c r="U118" i="30"/>
  <c r="T118" i="30"/>
  <c r="R118" i="30"/>
  <c r="Q118" i="30"/>
  <c r="P118" i="30"/>
  <c r="N118" i="30"/>
  <c r="M118" i="30"/>
  <c r="L118" i="30"/>
  <c r="J118" i="30"/>
  <c r="F118" i="30"/>
  <c r="I118" i="30"/>
  <c r="E118" i="30"/>
  <c r="H118" i="30"/>
  <c r="D118" i="30"/>
  <c r="F117" i="30"/>
  <c r="E117" i="30"/>
  <c r="D117" i="30"/>
  <c r="F116" i="30"/>
  <c r="E116" i="30"/>
  <c r="D116" i="30"/>
  <c r="F115" i="30"/>
  <c r="E115" i="30"/>
  <c r="D115" i="30"/>
  <c r="V113" i="30"/>
  <c r="U113" i="30"/>
  <c r="T113" i="30"/>
  <c r="R113" i="30"/>
  <c r="Q113" i="30"/>
  <c r="P113" i="30"/>
  <c r="N113" i="30"/>
  <c r="M113" i="30"/>
  <c r="L113" i="30"/>
  <c r="J113" i="30"/>
  <c r="I113" i="30"/>
  <c r="E113" i="30"/>
  <c r="H113" i="30"/>
  <c r="F113" i="30"/>
  <c r="F112" i="30"/>
  <c r="E112" i="30"/>
  <c r="D112" i="30"/>
  <c r="F111" i="30"/>
  <c r="E111" i="30"/>
  <c r="D111" i="30"/>
  <c r="F110" i="30"/>
  <c r="E110" i="30"/>
  <c r="D110" i="30"/>
  <c r="F108" i="30"/>
  <c r="E108" i="30"/>
  <c r="D108" i="30"/>
  <c r="Z107" i="30"/>
  <c r="Y107" i="30"/>
  <c r="X107" i="30"/>
  <c r="V107" i="30"/>
  <c r="U107" i="30"/>
  <c r="T107" i="30"/>
  <c r="R107" i="30"/>
  <c r="Q107" i="30"/>
  <c r="P107" i="30"/>
  <c r="D107" i="30"/>
  <c r="N107" i="30"/>
  <c r="M107" i="30"/>
  <c r="L107" i="30"/>
  <c r="I107" i="30"/>
  <c r="E106" i="30"/>
  <c r="F106" i="30"/>
  <c r="D106" i="30"/>
  <c r="F105" i="30"/>
  <c r="E105" i="30"/>
  <c r="D105" i="30"/>
  <c r="F104" i="30"/>
  <c r="E104" i="30"/>
  <c r="D104" i="30"/>
  <c r="F103" i="30"/>
  <c r="E103" i="30"/>
  <c r="D103" i="30"/>
  <c r="E102" i="30"/>
  <c r="D102" i="30"/>
  <c r="H101" i="30"/>
  <c r="H107" i="30"/>
  <c r="F101" i="30"/>
  <c r="F100" i="30"/>
  <c r="E100" i="30"/>
  <c r="D100" i="30"/>
  <c r="Z99" i="30"/>
  <c r="Z109" i="30"/>
  <c r="Y99" i="30"/>
  <c r="Y109" i="30"/>
  <c r="X99" i="30"/>
  <c r="X109" i="30"/>
  <c r="X114" i="30"/>
  <c r="V99" i="30"/>
  <c r="V109" i="30"/>
  <c r="T99" i="30"/>
  <c r="T109" i="30"/>
  <c r="R99" i="30"/>
  <c r="R109" i="30"/>
  <c r="Q99" i="30"/>
  <c r="P99" i="30"/>
  <c r="P109" i="30"/>
  <c r="N99" i="30"/>
  <c r="N109" i="30"/>
  <c r="M99" i="30"/>
  <c r="M109" i="30"/>
  <c r="L99" i="30"/>
  <c r="L109" i="30"/>
  <c r="F98" i="30"/>
  <c r="E98" i="30"/>
  <c r="D98" i="30"/>
  <c r="E97" i="30"/>
  <c r="H97" i="30"/>
  <c r="F97" i="30"/>
  <c r="D97" i="30"/>
  <c r="U96" i="30"/>
  <c r="U99" i="30"/>
  <c r="U109" i="30"/>
  <c r="U114" i="30"/>
  <c r="T96" i="30"/>
  <c r="H96" i="30"/>
  <c r="D96" i="30"/>
  <c r="F96" i="30"/>
  <c r="E96" i="30"/>
  <c r="E95" i="30"/>
  <c r="H95" i="30"/>
  <c r="D95" i="30"/>
  <c r="H99" i="30"/>
  <c r="H109" i="30"/>
  <c r="J81" i="30"/>
  <c r="F81" i="30"/>
  <c r="I81" i="30"/>
  <c r="H81" i="30"/>
  <c r="D81" i="30"/>
  <c r="E81" i="30"/>
  <c r="I80" i="30"/>
  <c r="F80" i="30"/>
  <c r="E80" i="30"/>
  <c r="J79" i="30"/>
  <c r="I79" i="30"/>
  <c r="E79" i="30"/>
  <c r="H79" i="30"/>
  <c r="D79" i="30"/>
  <c r="F79" i="30"/>
  <c r="J78" i="30"/>
  <c r="F78" i="30"/>
  <c r="I78" i="30"/>
  <c r="E78" i="30"/>
  <c r="H78" i="30"/>
  <c r="D78" i="30"/>
  <c r="J77" i="30"/>
  <c r="I77" i="30"/>
  <c r="E77" i="30"/>
  <c r="H77" i="30"/>
  <c r="D77" i="30"/>
  <c r="F77" i="30"/>
  <c r="H76" i="30"/>
  <c r="D76" i="30"/>
  <c r="Z74" i="30"/>
  <c r="Y74" i="30"/>
  <c r="X74" i="30"/>
  <c r="V74" i="30"/>
  <c r="U74" i="30"/>
  <c r="T74" i="30"/>
  <c r="R74" i="30"/>
  <c r="Q74" i="30"/>
  <c r="P74" i="30"/>
  <c r="N74" i="30"/>
  <c r="F74" i="30"/>
  <c r="M74" i="30"/>
  <c r="E74" i="30"/>
  <c r="L74" i="30"/>
  <c r="J74" i="30"/>
  <c r="H74" i="30"/>
  <c r="D74" i="30"/>
  <c r="F73" i="30"/>
  <c r="E73" i="30"/>
  <c r="F72" i="30"/>
  <c r="E72" i="30"/>
  <c r="D72" i="30"/>
  <c r="F71" i="30"/>
  <c r="E71" i="30"/>
  <c r="D71" i="30"/>
  <c r="F70" i="30"/>
  <c r="E70" i="30"/>
  <c r="D70" i="30"/>
  <c r="X68" i="30"/>
  <c r="V68" i="30"/>
  <c r="U68" i="30"/>
  <c r="T68" i="30"/>
  <c r="D68" i="30"/>
  <c r="R68" i="30"/>
  <c r="Q68" i="30"/>
  <c r="P68" i="30"/>
  <c r="N68" i="30"/>
  <c r="M68" i="30"/>
  <c r="L68" i="30"/>
  <c r="J68" i="30"/>
  <c r="F68" i="30"/>
  <c r="H68" i="30"/>
  <c r="F67" i="30"/>
  <c r="E67" i="30"/>
  <c r="D67" i="30"/>
  <c r="F66" i="30"/>
  <c r="E66" i="30"/>
  <c r="D66" i="30"/>
  <c r="F65" i="30"/>
  <c r="E65" i="30"/>
  <c r="D65" i="30"/>
  <c r="F64" i="30"/>
  <c r="E64" i="30"/>
  <c r="D64" i="30"/>
  <c r="F63" i="30"/>
  <c r="E63" i="30"/>
  <c r="D63" i="30"/>
  <c r="F62" i="30"/>
  <c r="E62" i="30"/>
  <c r="D62" i="30"/>
  <c r="F61" i="30"/>
  <c r="E61" i="30"/>
  <c r="D61" i="30"/>
  <c r="F60" i="30"/>
  <c r="E60" i="30"/>
  <c r="D60" i="30"/>
  <c r="F59" i="30"/>
  <c r="E59" i="30"/>
  <c r="D59" i="30"/>
  <c r="F58" i="30"/>
  <c r="E58" i="30"/>
  <c r="D58" i="30"/>
  <c r="F56" i="30"/>
  <c r="E56" i="30"/>
  <c r="D56" i="30"/>
  <c r="F55" i="30"/>
  <c r="E55" i="30"/>
  <c r="D55" i="30"/>
  <c r="Z54" i="30"/>
  <c r="Y54" i="30"/>
  <c r="X54" i="30"/>
  <c r="V54" i="30"/>
  <c r="U54" i="30"/>
  <c r="T54" i="30"/>
  <c r="R54" i="30"/>
  <c r="Q54" i="30"/>
  <c r="P54" i="30"/>
  <c r="N54" i="30"/>
  <c r="M54" i="30"/>
  <c r="L54" i="30"/>
  <c r="D54" i="30"/>
  <c r="H54" i="30"/>
  <c r="F53" i="30"/>
  <c r="D53" i="30"/>
  <c r="F52" i="30"/>
  <c r="E52" i="30"/>
  <c r="D52" i="30"/>
  <c r="F51" i="30"/>
  <c r="E51" i="30"/>
  <c r="D51" i="30"/>
  <c r="F50" i="30"/>
  <c r="E50" i="30"/>
  <c r="D50" i="30"/>
  <c r="F49" i="30"/>
  <c r="D49" i="30"/>
  <c r="F48" i="30"/>
  <c r="E48" i="30"/>
  <c r="D48" i="30"/>
  <c r="Z47" i="30"/>
  <c r="Y47" i="30"/>
  <c r="X47" i="30"/>
  <c r="V47" i="30"/>
  <c r="U47" i="30"/>
  <c r="T47" i="30"/>
  <c r="R47" i="30"/>
  <c r="Q47" i="30"/>
  <c r="P47" i="30"/>
  <c r="N47" i="30"/>
  <c r="M47" i="30"/>
  <c r="L47" i="30"/>
  <c r="D47" i="30"/>
  <c r="J47" i="30"/>
  <c r="F47" i="30"/>
  <c r="I47" i="30"/>
  <c r="H47" i="30"/>
  <c r="F46" i="30"/>
  <c r="E46" i="30"/>
  <c r="D46" i="30"/>
  <c r="F45" i="30"/>
  <c r="E45" i="30"/>
  <c r="D45" i="30"/>
  <c r="F44" i="30"/>
  <c r="E44" i="30"/>
  <c r="D44" i="30"/>
  <c r="F43" i="30"/>
  <c r="E43" i="30"/>
  <c r="D43" i="30"/>
  <c r="F42" i="30"/>
  <c r="E42" i="30"/>
  <c r="D42" i="30"/>
  <c r="F41" i="30"/>
  <c r="E41" i="30"/>
  <c r="D41" i="30"/>
  <c r="F40" i="30"/>
  <c r="E40" i="30"/>
  <c r="D40" i="30"/>
  <c r="F39" i="30"/>
  <c r="E39" i="30"/>
  <c r="D39" i="30"/>
  <c r="F38" i="30"/>
  <c r="E38" i="30"/>
  <c r="D38" i="30"/>
  <c r="Z37" i="30"/>
  <c r="V35" i="30"/>
  <c r="U35" i="30"/>
  <c r="T35" i="30"/>
  <c r="R35" i="30"/>
  <c r="Q35" i="30"/>
  <c r="P35" i="30"/>
  <c r="N35" i="30"/>
  <c r="M35" i="30"/>
  <c r="L35" i="30"/>
  <c r="J35" i="30"/>
  <c r="I35" i="30"/>
  <c r="E35" i="30"/>
  <c r="H35" i="30"/>
  <c r="F34" i="30"/>
  <c r="E34" i="30"/>
  <c r="D34" i="30"/>
  <c r="F33" i="30"/>
  <c r="E33" i="30"/>
  <c r="D33" i="30"/>
  <c r="F32" i="30"/>
  <c r="E32" i="30"/>
  <c r="D32" i="30"/>
  <c r="F31" i="30"/>
  <c r="E31" i="30"/>
  <c r="D31" i="30"/>
  <c r="V30" i="30"/>
  <c r="U30" i="30"/>
  <c r="T30" i="30"/>
  <c r="R30" i="30"/>
  <c r="Q30" i="30"/>
  <c r="P30" i="30"/>
  <c r="N30" i="30"/>
  <c r="M30" i="30"/>
  <c r="L30" i="30"/>
  <c r="J30" i="30"/>
  <c r="F30" i="30"/>
  <c r="I30" i="30"/>
  <c r="H30" i="30"/>
  <c r="F29" i="30"/>
  <c r="E29" i="30"/>
  <c r="D29" i="30"/>
  <c r="F28" i="30"/>
  <c r="E28" i="30"/>
  <c r="D28" i="30"/>
  <c r="F27" i="30"/>
  <c r="E27" i="30"/>
  <c r="D27" i="30"/>
  <c r="F26" i="30"/>
  <c r="E26" i="30"/>
  <c r="D26" i="30"/>
  <c r="F25" i="30"/>
  <c r="E25" i="30"/>
  <c r="D25" i="30"/>
  <c r="F24" i="30"/>
  <c r="E24" i="30"/>
  <c r="D24" i="30"/>
  <c r="F23" i="30"/>
  <c r="E23" i="30"/>
  <c r="D23" i="30"/>
  <c r="V22" i="30"/>
  <c r="V36" i="30"/>
  <c r="U22" i="30"/>
  <c r="T22" i="30"/>
  <c r="T36" i="30"/>
  <c r="R22" i="30"/>
  <c r="R36" i="30"/>
  <c r="Q22" i="30"/>
  <c r="P22" i="30"/>
  <c r="P36" i="30"/>
  <c r="N22" i="30"/>
  <c r="M22" i="30"/>
  <c r="M36" i="30"/>
  <c r="L22" i="30"/>
  <c r="I22" i="30"/>
  <c r="F21" i="30"/>
  <c r="E21" i="30"/>
  <c r="D21" i="30"/>
  <c r="H20" i="30"/>
  <c r="H22" i="30"/>
  <c r="D22" i="30"/>
  <c r="F20" i="30"/>
  <c r="E20" i="30"/>
  <c r="F19" i="30"/>
  <c r="E19" i="30"/>
  <c r="D19" i="30"/>
  <c r="Z18" i="30"/>
  <c r="Y18" i="30"/>
  <c r="Y37" i="30"/>
  <c r="Y57" i="30"/>
  <c r="Y69" i="30"/>
  <c r="X18" i="30"/>
  <c r="X37" i="30"/>
  <c r="X57" i="30"/>
  <c r="X69" i="30"/>
  <c r="V18" i="30"/>
  <c r="V37" i="30"/>
  <c r="V57" i="30"/>
  <c r="V69" i="30"/>
  <c r="U18" i="30"/>
  <c r="T18" i="30"/>
  <c r="R18" i="30"/>
  <c r="Q18" i="30"/>
  <c r="P18" i="30"/>
  <c r="N18" i="30"/>
  <c r="M18" i="30"/>
  <c r="M37" i="30"/>
  <c r="L18" i="30"/>
  <c r="I18" i="30"/>
  <c r="E18" i="30"/>
  <c r="E17" i="30"/>
  <c r="D17" i="30"/>
  <c r="H16" i="30"/>
  <c r="H18" i="30"/>
  <c r="H37" i="30"/>
  <c r="F16" i="30"/>
  <c r="E16" i="30"/>
  <c r="F15" i="30"/>
  <c r="E15" i="30"/>
  <c r="D15" i="30"/>
  <c r="E14" i="30"/>
  <c r="D14" i="30"/>
  <c r="F13" i="30"/>
  <c r="E13" i="30"/>
  <c r="D13" i="30"/>
  <c r="E53" i="30"/>
  <c r="H36" i="30"/>
  <c r="D16" i="30"/>
  <c r="D20" i="30"/>
  <c r="E22" i="30"/>
  <c r="D101" i="30"/>
  <c r="F22" i="30"/>
  <c r="D113" i="30"/>
  <c r="D94" i="30"/>
  <c r="G36" i="30"/>
  <c r="G37" i="30"/>
  <c r="G57" i="30"/>
  <c r="J107" i="30"/>
  <c r="F107" i="30"/>
  <c r="E107" i="30"/>
  <c r="I99" i="30"/>
  <c r="I109" i="30"/>
  <c r="E109" i="30"/>
  <c r="G109" i="30"/>
  <c r="K109" i="30"/>
  <c r="K114" i="30"/>
  <c r="K119" i="30"/>
  <c r="K121" i="30"/>
  <c r="S119" i="30"/>
  <c r="S121" i="30"/>
  <c r="W119" i="30"/>
  <c r="W121" i="30"/>
  <c r="D99" i="30"/>
  <c r="L114" i="30"/>
  <c r="L119" i="30"/>
  <c r="M114" i="30"/>
  <c r="M119" i="30"/>
  <c r="M121" i="30"/>
  <c r="Q109" i="30"/>
  <c r="Q119" i="30"/>
  <c r="Q121" i="30"/>
  <c r="J109" i="30"/>
  <c r="J114" i="30"/>
  <c r="R37" i="30"/>
  <c r="R57" i="30"/>
  <c r="R69" i="30"/>
  <c r="T37" i="30"/>
  <c r="T57" i="30"/>
  <c r="T69" i="30"/>
  <c r="T82" i="30"/>
  <c r="D35" i="30"/>
  <c r="L36" i="30"/>
  <c r="L37" i="30"/>
  <c r="L57" i="30"/>
  <c r="L69" i="30"/>
  <c r="Q36" i="30"/>
  <c r="Q37" i="30"/>
  <c r="Q57" i="30"/>
  <c r="Q69" i="30"/>
  <c r="Q82" i="30"/>
  <c r="N36" i="30"/>
  <c r="N37" i="30"/>
  <c r="N57" i="30"/>
  <c r="N69" i="30"/>
  <c r="D30" i="30"/>
  <c r="F35" i="30"/>
  <c r="Z57" i="30"/>
  <c r="Z69" i="30"/>
  <c r="Z75" i="30"/>
  <c r="E54" i="30"/>
  <c r="V119" i="30"/>
  <c r="V121" i="30"/>
  <c r="V114" i="30"/>
  <c r="Z114" i="30"/>
  <c r="Z119" i="30"/>
  <c r="Z121" i="30"/>
  <c r="D36" i="30"/>
  <c r="Y75" i="30"/>
  <c r="Y82" i="30"/>
  <c r="L82" i="30"/>
  <c r="L75" i="30"/>
  <c r="P119" i="30"/>
  <c r="P121" i="30"/>
  <c r="P114" i="30"/>
  <c r="T114" i="30"/>
  <c r="T119" i="30"/>
  <c r="T121" i="30"/>
  <c r="Y119" i="30"/>
  <c r="Y121" i="30"/>
  <c r="Y114" i="30"/>
  <c r="H57" i="30"/>
  <c r="D37" i="30"/>
  <c r="M57" i="30"/>
  <c r="X75" i="30"/>
  <c r="X82" i="30"/>
  <c r="T75" i="30"/>
  <c r="P37" i="30"/>
  <c r="P57" i="30"/>
  <c r="P69" i="30"/>
  <c r="Z82" i="30"/>
  <c r="H114" i="30"/>
  <c r="D109" i="30"/>
  <c r="H119" i="30"/>
  <c r="N114" i="30"/>
  <c r="N119" i="30"/>
  <c r="N121" i="30"/>
  <c r="R114" i="30"/>
  <c r="R119" i="30"/>
  <c r="R121" i="30"/>
  <c r="F99" i="30"/>
  <c r="X119" i="30"/>
  <c r="X121" i="30"/>
  <c r="D18" i="30"/>
  <c r="U119" i="30"/>
  <c r="U121" i="30"/>
  <c r="U36" i="30"/>
  <c r="Q75" i="30"/>
  <c r="I119" i="30"/>
  <c r="I121" i="30"/>
  <c r="E121" i="30"/>
  <c r="I114" i="30"/>
  <c r="E99" i="30"/>
  <c r="F109" i="30"/>
  <c r="J119" i="30"/>
  <c r="J121" i="30"/>
  <c r="F121" i="30"/>
  <c r="G114" i="30"/>
  <c r="C114" i="30"/>
  <c r="C109" i="30"/>
  <c r="G119" i="30"/>
  <c r="Q114" i="30"/>
  <c r="D114" i="30"/>
  <c r="N82" i="30"/>
  <c r="N75" i="30"/>
  <c r="U37" i="30"/>
  <c r="P75" i="30"/>
  <c r="P82" i="30"/>
  <c r="D57" i="30"/>
  <c r="H69" i="30"/>
  <c r="H121" i="30"/>
  <c r="D121" i="30"/>
  <c r="D119" i="30"/>
  <c r="E114" i="30"/>
  <c r="F114" i="30"/>
  <c r="M69" i="30"/>
  <c r="E119" i="30"/>
  <c r="F119" i="30"/>
  <c r="C119" i="30"/>
  <c r="G121" i="30"/>
  <c r="C121" i="30"/>
  <c r="D69" i="30"/>
  <c r="H82" i="30"/>
  <c r="D82" i="30"/>
  <c r="H75" i="30"/>
  <c r="D75" i="30"/>
  <c r="M82" i="30"/>
  <c r="M75" i="30"/>
  <c r="U57" i="30"/>
  <c r="U69" i="30"/>
  <c r="U75" i="30"/>
  <c r="U82" i="30"/>
  <c r="F129" i="30"/>
  <c r="F17" i="30"/>
  <c r="J18" i="30"/>
  <c r="F18" i="30"/>
  <c r="V75" i="30"/>
  <c r="V82" i="30"/>
  <c r="R82" i="30"/>
  <c r="R75" i="30"/>
  <c r="J36" i="30"/>
  <c r="F36" i="30"/>
  <c r="I36" i="30"/>
  <c r="I68" i="30"/>
  <c r="E68" i="30"/>
  <c r="E30" i="30"/>
  <c r="I37" i="30"/>
  <c r="E37" i="30"/>
  <c r="E36" i="30"/>
  <c r="E47" i="30"/>
  <c r="J37" i="30"/>
  <c r="J57" i="30"/>
  <c r="F57" i="30"/>
  <c r="I57" i="30"/>
  <c r="I69" i="30"/>
  <c r="E69" i="30"/>
  <c r="E57" i="30"/>
  <c r="I82" i="30"/>
  <c r="E82" i="30"/>
  <c r="F37" i="30"/>
  <c r="I75" i="30"/>
  <c r="E75" i="30"/>
  <c r="J69" i="30"/>
  <c r="J75" i="30"/>
  <c r="F75" i="30"/>
  <c r="J82" i="30"/>
  <c r="F82" i="30"/>
  <c r="F69" i="30"/>
  <c r="G68" i="31"/>
  <c r="C107" i="31"/>
  <c r="J36" i="31"/>
  <c r="L109" i="31"/>
  <c r="L119" i="31"/>
  <c r="L121" i="31"/>
  <c r="Q119" i="31"/>
  <c r="Q121" i="31"/>
  <c r="C118" i="31"/>
  <c r="I119" i="31"/>
  <c r="I121" i="31"/>
  <c r="Q36" i="31"/>
  <c r="Q37" i="31"/>
  <c r="Q57" i="31"/>
  <c r="Q69" i="31"/>
  <c r="I69" i="31"/>
  <c r="I75" i="31"/>
  <c r="E101" i="31"/>
  <c r="D129" i="31"/>
  <c r="S57" i="31"/>
  <c r="S69" i="31"/>
  <c r="S82" i="31"/>
  <c r="C74" i="31"/>
  <c r="K109" i="31"/>
  <c r="K119" i="31"/>
  <c r="K121" i="31"/>
  <c r="O109" i="31"/>
  <c r="O119" i="31"/>
  <c r="O121" i="31"/>
  <c r="C129" i="31"/>
  <c r="I82" i="31"/>
  <c r="F109" i="31"/>
  <c r="F114" i="31"/>
  <c r="C113" i="31"/>
  <c r="E129" i="31"/>
  <c r="N36" i="31"/>
  <c r="N37" i="31"/>
  <c r="N57" i="31"/>
  <c r="N69" i="31"/>
  <c r="N82" i="31"/>
  <c r="R109" i="31"/>
  <c r="R119" i="31"/>
  <c r="R121" i="31"/>
  <c r="C41" i="31"/>
  <c r="C22" i="31"/>
  <c r="D35" i="31"/>
  <c r="C54" i="31"/>
  <c r="C99" i="31"/>
  <c r="E29" i="31"/>
  <c r="D30" i="31"/>
  <c r="C68" i="31"/>
  <c r="E118" i="31"/>
  <c r="E47" i="31"/>
  <c r="E74" i="31"/>
  <c r="I114" i="31"/>
  <c r="H18" i="31"/>
  <c r="S109" i="31"/>
  <c r="S114" i="31"/>
  <c r="E127" i="31"/>
  <c r="T57" i="31"/>
  <c r="T69" i="31"/>
  <c r="T75" i="31"/>
  <c r="E17" i="31"/>
  <c r="P36" i="31"/>
  <c r="G54" i="31"/>
  <c r="E68" i="31"/>
  <c r="E107" i="31"/>
  <c r="F37" i="31"/>
  <c r="C18" i="31"/>
  <c r="M36" i="31"/>
  <c r="D22" i="31"/>
  <c r="M37" i="31"/>
  <c r="M57" i="31"/>
  <c r="G107" i="31"/>
  <c r="D107" i="31"/>
  <c r="G118" i="31"/>
  <c r="D118" i="31"/>
  <c r="S75" i="31"/>
  <c r="K36" i="31"/>
  <c r="K37" i="31"/>
  <c r="K57" i="31"/>
  <c r="K69" i="31"/>
  <c r="K82" i="31"/>
  <c r="K114" i="31"/>
  <c r="J37" i="31"/>
  <c r="E22" i="31"/>
  <c r="G36" i="31"/>
  <c r="G37" i="31"/>
  <c r="H99" i="31"/>
  <c r="S119" i="31"/>
  <c r="S121" i="31"/>
  <c r="E113" i="31"/>
  <c r="H54" i="31"/>
  <c r="E54" i="31"/>
  <c r="D61" i="31"/>
  <c r="E15" i="31"/>
  <c r="O114" i="31"/>
  <c r="T82" i="31"/>
  <c r="F119" i="31"/>
  <c r="F121" i="31"/>
  <c r="C121" i="31"/>
  <c r="R114" i="31"/>
  <c r="C109" i="31"/>
  <c r="N75" i="31"/>
  <c r="E99" i="31"/>
  <c r="H109" i="31"/>
  <c r="H114" i="31"/>
  <c r="C119" i="31"/>
  <c r="C114" i="31"/>
  <c r="F57" i="31"/>
  <c r="C37" i="31"/>
  <c r="C57" i="31"/>
  <c r="F69" i="31"/>
  <c r="F82" i="31"/>
  <c r="C82" i="31"/>
  <c r="F75" i="31"/>
  <c r="C75" i="31"/>
  <c r="C69" i="31"/>
  <c r="H119" i="31"/>
  <c r="H121" i="31"/>
  <c r="N114" i="31"/>
  <c r="N119" i="31"/>
  <c r="N121" i="31"/>
  <c r="T114" i="31"/>
  <c r="E114" i="31"/>
  <c r="T119" i="31"/>
  <c r="E109" i="31"/>
  <c r="K75" i="31"/>
  <c r="H37" i="31"/>
  <c r="H57" i="31"/>
  <c r="H69" i="31"/>
  <c r="H75" i="31"/>
  <c r="E30" i="31"/>
  <c r="D36" i="31"/>
  <c r="E37" i="31"/>
  <c r="E18" i="31"/>
  <c r="Q75" i="31"/>
  <c r="Q82" i="31"/>
  <c r="P37" i="31"/>
  <c r="P57" i="31"/>
  <c r="P69" i="31"/>
  <c r="M69" i="31"/>
  <c r="E119" i="31"/>
  <c r="T121" i="31"/>
  <c r="E121" i="31"/>
  <c r="E57" i="31"/>
  <c r="E69" i="31"/>
  <c r="H82" i="31"/>
  <c r="E82" i="31"/>
  <c r="E75" i="31"/>
  <c r="P75" i="31"/>
  <c r="D37" i="31"/>
  <c r="M82" i="31"/>
  <c r="M75" i="31"/>
  <c r="G113" i="31"/>
  <c r="D113" i="31"/>
  <c r="G99" i="31"/>
  <c r="G109" i="31"/>
  <c r="G119" i="31"/>
  <c r="G121" i="31"/>
  <c r="M119" i="31"/>
  <c r="M121" i="31"/>
  <c r="M114" i="31"/>
  <c r="G76" i="31"/>
  <c r="D76" i="31"/>
  <c r="P109" i="31"/>
  <c r="P114" i="31"/>
  <c r="P119" i="31"/>
  <c r="P121" i="31"/>
  <c r="J99" i="31"/>
  <c r="D99" i="31"/>
  <c r="J109" i="31"/>
  <c r="D94" i="31"/>
  <c r="D54" i="31"/>
  <c r="J57" i="31"/>
  <c r="J69" i="31"/>
  <c r="G47" i="31"/>
  <c r="D47" i="31"/>
  <c r="D68" i="31"/>
  <c r="G114" i="31"/>
  <c r="D109" i="31"/>
  <c r="J114" i="31"/>
  <c r="D114" i="31"/>
  <c r="J119" i="31"/>
  <c r="J75" i="31"/>
  <c r="J82" i="31"/>
  <c r="G57" i="31"/>
  <c r="D57" i="31"/>
  <c r="G69" i="31"/>
  <c r="J121" i="31"/>
  <c r="D121" i="31"/>
  <c r="D119" i="31"/>
  <c r="G82" i="31"/>
  <c r="D82" i="31"/>
  <c r="D69" i="31"/>
  <c r="G75" i="31"/>
  <c r="D75" i="31"/>
  <c r="H18" i="32"/>
  <c r="E18" i="32"/>
  <c r="G18" i="32"/>
  <c r="D18" i="32"/>
  <c r="G36" i="32"/>
  <c r="H36" i="32"/>
  <c r="E36" i="32"/>
  <c r="D54" i="32"/>
  <c r="G113" i="32"/>
  <c r="D113" i="32"/>
  <c r="G99" i="32"/>
  <c r="E54" i="32"/>
  <c r="E107" i="32"/>
  <c r="K114" i="32"/>
  <c r="G76" i="32"/>
  <c r="D76" i="32"/>
  <c r="M109" i="32"/>
  <c r="M119" i="32"/>
  <c r="M121" i="32"/>
  <c r="M37" i="32"/>
  <c r="M57" i="32"/>
  <c r="M69" i="32"/>
  <c r="P37" i="32"/>
  <c r="P57" i="32"/>
  <c r="P69" i="32"/>
  <c r="P82" i="32"/>
  <c r="D36" i="32"/>
  <c r="N119" i="32"/>
  <c r="N121" i="32"/>
  <c r="N114" i="32"/>
  <c r="R119" i="32"/>
  <c r="R121" i="32"/>
  <c r="R114" i="32"/>
  <c r="I114" i="32"/>
  <c r="F57" i="32"/>
  <c r="C37" i="32"/>
  <c r="K82" i="32"/>
  <c r="K75" i="32"/>
  <c r="Q75" i="32"/>
  <c r="Q82" i="32"/>
  <c r="J119" i="32"/>
  <c r="J121" i="32"/>
  <c r="J114" i="32"/>
  <c r="M75" i="32"/>
  <c r="M82" i="32"/>
  <c r="I82" i="32"/>
  <c r="I75" i="32"/>
  <c r="J57" i="32"/>
  <c r="J69" i="32"/>
  <c r="F119" i="32"/>
  <c r="F114" i="32"/>
  <c r="C109" i="32"/>
  <c r="P114" i="32"/>
  <c r="P119" i="32"/>
  <c r="P121" i="32"/>
  <c r="T114" i="32"/>
  <c r="T119" i="32"/>
  <c r="T121" i="32"/>
  <c r="S82" i="32"/>
  <c r="S75" i="32"/>
  <c r="N37" i="32"/>
  <c r="N57" i="32"/>
  <c r="N69" i="32"/>
  <c r="T82" i="32"/>
  <c r="T75" i="32"/>
  <c r="D99" i="32"/>
  <c r="E109" i="32"/>
  <c r="H119" i="32"/>
  <c r="L114" i="32"/>
  <c r="L119" i="32"/>
  <c r="L121" i="32"/>
  <c r="H114" i="32"/>
  <c r="M114" i="32"/>
  <c r="Q114" i="32"/>
  <c r="C18" i="32"/>
  <c r="D22" i="32"/>
  <c r="E99" i="32"/>
  <c r="E113" i="32"/>
  <c r="S114" i="32"/>
  <c r="G118" i="32"/>
  <c r="D118" i="32"/>
  <c r="D49" i="32"/>
  <c r="D94" i="32"/>
  <c r="C99" i="32"/>
  <c r="H37" i="32"/>
  <c r="G37" i="32"/>
  <c r="G57" i="32"/>
  <c r="P75" i="32"/>
  <c r="E114" i="32"/>
  <c r="H57" i="32"/>
  <c r="E37" i="32"/>
  <c r="F69" i="32"/>
  <c r="C57" i="32"/>
  <c r="N82" i="32"/>
  <c r="N75" i="32"/>
  <c r="C114" i="32"/>
  <c r="J82" i="32"/>
  <c r="J75" i="32"/>
  <c r="E119" i="32"/>
  <c r="H121" i="32"/>
  <c r="E121" i="32"/>
  <c r="C119" i="32"/>
  <c r="F121" i="32"/>
  <c r="C121" i="32"/>
  <c r="D37" i="32"/>
  <c r="C69" i="32"/>
  <c r="F82" i="32"/>
  <c r="C82" i="32"/>
  <c r="F75" i="32"/>
  <c r="C75" i="32"/>
  <c r="G69" i="32"/>
  <c r="D57" i="32"/>
  <c r="E57" i="32"/>
  <c r="H69" i="32"/>
  <c r="G82" i="32"/>
  <c r="D82" i="32"/>
  <c r="G75" i="32"/>
  <c r="D75" i="32"/>
  <c r="D69" i="32"/>
  <c r="H82" i="32"/>
  <c r="E82" i="32"/>
  <c r="E69" i="32"/>
  <c r="H75" i="32"/>
  <c r="E75" i="32"/>
  <c r="D107" i="32"/>
  <c r="G109" i="32"/>
  <c r="D101" i="32"/>
  <c r="G119" i="32"/>
  <c r="D109" i="32"/>
  <c r="G114" i="32"/>
  <c r="D114" i="32"/>
  <c r="G121" i="32"/>
  <c r="D121" i="32"/>
  <c r="D119" i="32"/>
</calcChain>
</file>

<file path=xl/sharedStrings.xml><?xml version="1.0" encoding="utf-8"?>
<sst xmlns="http://schemas.openxmlformats.org/spreadsheetml/2006/main" count="815" uniqueCount="167">
  <si>
    <t xml:space="preserve">BEVÉTELEK </t>
  </si>
  <si>
    <t>Bevételek forrásonként</t>
  </si>
  <si>
    <t>Bevétel összesen</t>
  </si>
  <si>
    <t>Eredei ei.</t>
  </si>
  <si>
    <t>I.Működési bevételek</t>
  </si>
  <si>
    <t xml:space="preserve"> - Alaptev.összef.szolg.ellenért.</t>
  </si>
  <si>
    <t xml:space="preserve"> - Egyéb intézményi bev.</t>
  </si>
  <si>
    <t xml:space="preserve"> -Építményadó</t>
  </si>
  <si>
    <t xml:space="preserve"> - Magánszemély kommunális adója</t>
  </si>
  <si>
    <t xml:space="preserve"> - Iparüzési adó</t>
  </si>
  <si>
    <t xml:space="preserve"> - Önkormányzati lakások lakbér bev.</t>
  </si>
  <si>
    <t>c.)Egyéb sajátos működési bev.összesen:</t>
  </si>
  <si>
    <t>MŰKÖDÉSI BEVÉTELEK ÖSSZESEN:</t>
  </si>
  <si>
    <t xml:space="preserve"> - Működési célú pénzmaradvány </t>
  </si>
  <si>
    <t>PÉNZFORGALMI BEVÉTEL ÖSSZESEN:</t>
  </si>
  <si>
    <t>PÉNZFORGALOMNÉLKÜLI BEV.ÖSSZESEN:</t>
  </si>
  <si>
    <t>BEVÉTEK ÖSSZESEN:</t>
  </si>
  <si>
    <t>Szomód Fő u.23.</t>
  </si>
  <si>
    <t>Szomód Kis u. 1.</t>
  </si>
  <si>
    <t>Szomód Fő u.21.</t>
  </si>
  <si>
    <t xml:space="preserve">                                     D.M.</t>
  </si>
  <si>
    <t xml:space="preserve">                                     Állami</t>
  </si>
  <si>
    <t>KÖLTSÉGVETÉSI BEVÉTEL</t>
  </si>
  <si>
    <t xml:space="preserve"> - Egyéb helység bérbeadás,sajátos bev</t>
  </si>
  <si>
    <t xml:space="preserve"> - Felhalmozási c.pénzmaradvány</t>
  </si>
  <si>
    <t xml:space="preserve">                                    Kistérségi </t>
  </si>
  <si>
    <t>Költségvetési hiány belső finanszírozása:</t>
  </si>
  <si>
    <t>Szomód Község Önkormányzata</t>
  </si>
  <si>
    <t>gazd.f.:önállóan működő és gazdálkodó</t>
  </si>
  <si>
    <t>3.melléklet</t>
  </si>
  <si>
    <t xml:space="preserve"> - Általános forgalmi adó bevétel</t>
  </si>
  <si>
    <t xml:space="preserve"> - Egyéb sajátos bevétel</t>
  </si>
  <si>
    <t xml:space="preserve"> - Egyéb fizetési kötelezettségből származó bev.</t>
  </si>
  <si>
    <t>TÁMOGATÁSÉRTÉKŰ BEVÉTELEK ÖSSZESEN:</t>
  </si>
  <si>
    <t xml:space="preserve"> - Tb. Alapjából átvett pénzeszköz</t>
  </si>
  <si>
    <t xml:space="preserve"> - Helyi, nemzetiségi önk. átvett pénzeszköz</t>
  </si>
  <si>
    <t xml:space="preserve"> - Többcélú kistérségi társ. átvett pénzeszköz</t>
  </si>
  <si>
    <t xml:space="preserve"> - EU támogatás</t>
  </si>
  <si>
    <t xml:space="preserve"> - Egyéb működési célú támogatásértékű bev.</t>
  </si>
  <si>
    <t>ÖNKORMÁNYZAT MŰKÖDÉSI BEVÉTELEK :</t>
  </si>
  <si>
    <t xml:space="preserve"> - Felhalmozási c.pénze.átvét.ÁHT kivülről</t>
  </si>
  <si>
    <t>VIII.Pénzforgalom nélküli bevétel</t>
  </si>
  <si>
    <t>FELHALMOZÁSI BEV.ÖSSZ:</t>
  </si>
  <si>
    <t>Igazgatási feladatok</t>
  </si>
  <si>
    <t>Egészségügyi ellátás</t>
  </si>
  <si>
    <t>Önkormányzati támogatás Szomód  :</t>
  </si>
  <si>
    <t>Kiadások forrásonként</t>
  </si>
  <si>
    <t>Kiadás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</si>
  <si>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</si>
  <si>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</si>
  <si>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</si>
  <si>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</si>
  <si>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</si>
  <si>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</si>
  <si>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</si>
  <si>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</si>
  <si>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</si>
  <si>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</si>
  <si>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</si>
  <si>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</si>
  <si>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</si>
  <si>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I.Működési kiadás</t>
  </si>
  <si>
    <t xml:space="preserve"> - Személyi juttatások</t>
  </si>
  <si>
    <t xml:space="preserve"> - Munkaadókat terhelő járulékok és szoc.ho.</t>
  </si>
  <si>
    <t xml:space="preserve"> - Dologi kiadások</t>
  </si>
  <si>
    <t xml:space="preserve"> - Ellátottak pénzbeni támogatása</t>
  </si>
  <si>
    <t>MŰKÖDÉSI KIADÁSOK ÖSSZESEN:</t>
  </si>
  <si>
    <t>II. Felhalmozási kiadások</t>
  </si>
  <si>
    <t>FELHALMOZÁSI KIADÁS ÖSSZESE:</t>
  </si>
  <si>
    <t>Pénzforgalmi kiadás összesen:</t>
  </si>
  <si>
    <t xml:space="preserve"> - általános tartalék</t>
  </si>
  <si>
    <t xml:space="preserve"> - céltartalék</t>
  </si>
  <si>
    <t>Pénzforgalom nélküli kiadások összesen:</t>
  </si>
  <si>
    <t>KÖLTSÉGVETÉSI KIADÁS</t>
  </si>
  <si>
    <t>KIADÁSOK ÖSSZESEN:</t>
  </si>
  <si>
    <t>Függő kiadás:</t>
  </si>
  <si>
    <t>állományba tart.létszám fö:-közalkalmazott</t>
  </si>
  <si>
    <t xml:space="preserve">                                       - köztisztviselő</t>
  </si>
  <si>
    <t xml:space="preserve">                                       - Mtk.hatálya alá t.</t>
  </si>
  <si>
    <t xml:space="preserve">                                       - közfoglalkoztatott</t>
  </si>
  <si>
    <t>állományba nem tart.létszám:- foglakoztatott</t>
  </si>
  <si>
    <t>összes létszám :</t>
  </si>
  <si>
    <t xml:space="preserve"> - Egyéb Működési célú kiadás</t>
  </si>
  <si>
    <t xml:space="preserve"> -Intézményi beruházás</t>
  </si>
  <si>
    <t xml:space="preserve"> - Felújítás</t>
  </si>
  <si>
    <t xml:space="preserve"> - Lakástámogatás</t>
  </si>
  <si>
    <t xml:space="preserve"> - EU-s forrásból f.t.megvalósuló projektek kiad.</t>
  </si>
  <si>
    <t xml:space="preserve"> - EU-s forrásból f.t.megvalósuló projektek önkorm.kiad.</t>
  </si>
  <si>
    <t>IV.Tartalék</t>
  </si>
  <si>
    <t>V. Finanszírozási c.pénzügyi műveletek kiad.</t>
  </si>
  <si>
    <t xml:space="preserve">  - Működési c.pénzügyi műveletek</t>
  </si>
  <si>
    <t>FINANSZÍROZÁSI C. PÉNZÜGYI MŰV.KIADÁSAI</t>
  </si>
  <si>
    <t>KIADÁS</t>
  </si>
  <si>
    <t>2.old</t>
  </si>
  <si>
    <t>1.old</t>
  </si>
  <si>
    <t>Mód.ei.</t>
  </si>
  <si>
    <t>1./ Közfel.ellátása soránnyújt.közszolg. bev.összesen:</t>
  </si>
  <si>
    <t>2./ Kamat bev.</t>
  </si>
  <si>
    <t xml:space="preserve"> - Talajterhelés</t>
  </si>
  <si>
    <t xml:space="preserve"> - Gépjárműadó</t>
  </si>
  <si>
    <t xml:space="preserve"> - Termőföld bérbead.</t>
  </si>
  <si>
    <t xml:space="preserve"> - Bírság</t>
  </si>
  <si>
    <t>II. Állami támogatás</t>
  </si>
  <si>
    <t xml:space="preserve"> - Általános feladatok támogatása</t>
  </si>
  <si>
    <t xml:space="preserve"> - Köznevelés támogatás</t>
  </si>
  <si>
    <t xml:space="preserve"> - Egyes szociális és gyermekjóléti fel.támogatása</t>
  </si>
  <si>
    <t xml:space="preserve"> - Települési Önk.kulturális feladtok támogatás</t>
  </si>
  <si>
    <t xml:space="preserve"> - Lakott külterülettel kapcsolatos feladatok</t>
  </si>
  <si>
    <t>HELYI ÖNK.KÖLTSÉGVETÉSI KAPCS.SZÁM.BEVÉT.:</t>
  </si>
  <si>
    <t>III.Működési célú támogatásértékű bev.</t>
  </si>
  <si>
    <t>IV. Átvett pénzeszközök</t>
  </si>
  <si>
    <t>V.Felhalmozási célú támogatásértékű bev.</t>
  </si>
  <si>
    <t>VI. Felhalmozási célú bevételek</t>
  </si>
  <si>
    <t>VII. Átvett pénzeszközök</t>
  </si>
  <si>
    <t xml:space="preserve"> -Tám.ért.műk.bev.elkülönített áll.pénzügyia.</t>
  </si>
  <si>
    <t xml:space="preserve"> - Felhalmozási célú tám.ért.kiad.</t>
  </si>
  <si>
    <t>3./Közhatalmi bevétel összesen:</t>
  </si>
  <si>
    <t>b.)Helyi adó és adó jellegű bevétel összesen:</t>
  </si>
  <si>
    <t>Függő,átfutó,kiegyenlítő bev.</t>
  </si>
  <si>
    <t>a.)Önkormányzat átengedett közh.bev. összesen:</t>
  </si>
  <si>
    <t>Művelődési tevékenység</t>
  </si>
  <si>
    <t>Szomód Fő u. 17.</t>
  </si>
  <si>
    <t>074031 Egészségház</t>
  </si>
  <si>
    <t>011130 Önkormányzat</t>
  </si>
  <si>
    <t>N</t>
  </si>
  <si>
    <t>O</t>
  </si>
  <si>
    <t>P</t>
  </si>
  <si>
    <t>Q</t>
  </si>
  <si>
    <t>R</t>
  </si>
  <si>
    <t>S</t>
  </si>
  <si>
    <t xml:space="preserve"> - Egyéb felhalmozási célú támogatásértékű bev.</t>
  </si>
  <si>
    <t xml:space="preserve"> - Költségvetés kiegészítő tánm.</t>
  </si>
  <si>
    <t xml:space="preserve"> - Elszámolásból szárm.bevétel</t>
  </si>
  <si>
    <t xml:space="preserve">  - ÁHT belüli megelőlegezés</t>
  </si>
  <si>
    <t xml:space="preserve">                                   Állami tám átcsoportosítás</t>
  </si>
  <si>
    <t xml:space="preserve"> - Vagyon tipusú adó</t>
  </si>
  <si>
    <t xml:space="preserve"> - Pótlék, egyéb bevétel</t>
  </si>
  <si>
    <t>Adatok  Ft-ban</t>
  </si>
  <si>
    <t xml:space="preserve"> - Működési c.pénze.átvét.</t>
  </si>
  <si>
    <t>Teljesülés</t>
  </si>
  <si>
    <t xml:space="preserve">III. Kölcsön </t>
  </si>
  <si>
    <t xml:space="preserve"> - megelőlegezés</t>
  </si>
  <si>
    <t>086020 Helyi ,térségi közösségi tér biz.,működtetés -082091 társ.részvétel fejlesztése</t>
  </si>
  <si>
    <t xml:space="preserve"> </t>
  </si>
  <si>
    <t xml:space="preserve">  -visszatérítendő tám.,kölcsön</t>
  </si>
  <si>
    <t xml:space="preserve"> - közvetített szolg.</t>
  </si>
  <si>
    <t xml:space="preserve"> - Tulajdonosi bev.</t>
  </si>
  <si>
    <t>081030/Sportétesítmények,edzőtáborok üzemeltetése,fenntartása</t>
  </si>
  <si>
    <t>Szomód Temető u. 16., Kiss utca 33.</t>
  </si>
  <si>
    <t xml:space="preserve">Sportétesítmények,edzőtáborok </t>
  </si>
  <si>
    <t>O082044/Könyvtári szolgáltatások</t>
  </si>
  <si>
    <t>Könyvtári szolgáltatások</t>
  </si>
  <si>
    <t>2019.évi</t>
  </si>
  <si>
    <t>2019.évi várható</t>
  </si>
  <si>
    <t>2020.évi</t>
  </si>
  <si>
    <t>T</t>
  </si>
  <si>
    <t>U</t>
  </si>
  <si>
    <t>V</t>
  </si>
  <si>
    <t>WW</t>
  </si>
  <si>
    <t>X</t>
  </si>
  <si>
    <t>Y</t>
  </si>
  <si>
    <t xml:space="preserve"> - Fejezeti kez.ei. átvett pénzeszköz</t>
  </si>
  <si>
    <t xml:space="preserve"> - Ingatlan értékesítés</t>
  </si>
  <si>
    <t xml:space="preserve">                                           - képviselő,társ.megbiz.polg.</t>
  </si>
  <si>
    <t>a        / 2020.(IX.  .) önkormányzati rendelethez</t>
  </si>
  <si>
    <t>Ö</t>
  </si>
  <si>
    <t>a   2 / 2020.(II.11.)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</si>
</sst>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"/>
  </numFmts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6" xfId="0" applyFill="1" applyBorder="1"/>
    <xf numFmtId="0" fontId="0" fillId="0" borderId="3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3" xfId="0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7" xfId="0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4" fillId="0" borderId="0" xfId="0" applyFont="1" applyFill="1"/>
    <xf numFmtId="0" fontId="2" fillId="0" borderId="5" xfId="0" applyFont="1" applyFill="1" applyBorder="1"/>
    <xf numFmtId="0" fontId="1" fillId="0" borderId="5" xfId="0" applyFont="1" applyFill="1" applyBorder="1"/>
    <xf numFmtId="0" fontId="2" fillId="0" borderId="3" xfId="0" applyFont="1" applyFill="1" applyBorder="1"/>
    <xf numFmtId="0" fontId="1" fillId="0" borderId="3" xfId="0" applyFont="1" applyFill="1" applyBorder="1"/>
    <xf numFmtId="0" fontId="1" fillId="0" borderId="0" xfId="0" applyFont="1" applyFill="1" applyBorder="1"/>
    <xf numFmtId="0" fontId="0" fillId="0" borderId="8" xfId="0" applyFill="1" applyBorder="1"/>
    <xf numFmtId="0" fontId="4" fillId="0" borderId="3" xfId="0" applyFont="1" applyFill="1" applyBorder="1"/>
    <xf numFmtId="0" fontId="4" fillId="0" borderId="5" xfId="0" applyFont="1" applyFill="1" applyBorder="1"/>
    <xf numFmtId="3" fontId="0" fillId="0" borderId="0" xfId="0" applyNumberFormat="1" applyFill="1"/>
    <xf numFmtId="3" fontId="0" fillId="0" borderId="9" xfId="0" applyNumberFormat="1" applyFill="1" applyBorder="1" applyAlignment="1"/>
    <xf numFmtId="3" fontId="0" fillId="0" borderId="10" xfId="0" applyNumberFormat="1" applyFill="1" applyBorder="1" applyAlignment="1"/>
    <xf numFmtId="3" fontId="0" fillId="0" borderId="11" xfId="0" applyNumberFormat="1" applyFill="1" applyBorder="1"/>
    <xf numFmtId="3" fontId="0" fillId="0" borderId="1" xfId="0" applyNumberFormat="1" applyFill="1" applyBorder="1"/>
    <xf numFmtId="3" fontId="0" fillId="0" borderId="6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0" xfId="0" applyNumberFormat="1" applyFill="1" applyBorder="1"/>
    <xf numFmtId="3" fontId="0" fillId="0" borderId="4" xfId="0" applyNumberFormat="1" applyFill="1" applyBorder="1"/>
    <xf numFmtId="3" fontId="0" fillId="0" borderId="2" xfId="0" applyNumberFormat="1" applyFill="1" applyBorder="1"/>
    <xf numFmtId="3" fontId="0" fillId="0" borderId="12" xfId="0" applyNumberFormat="1" applyFill="1" applyBorder="1" applyAlignment="1">
      <alignment wrapText="1"/>
    </xf>
    <xf numFmtId="3" fontId="0" fillId="0" borderId="13" xfId="0" applyNumberFormat="1" applyFill="1" applyBorder="1" applyAlignment="1">
      <alignment wrapText="1"/>
    </xf>
    <xf numFmtId="3" fontId="0" fillId="0" borderId="7" xfId="0" applyNumberFormat="1" applyFill="1" applyBorder="1" applyAlignment="1">
      <alignment wrapText="1"/>
    </xf>
    <xf numFmtId="3" fontId="0" fillId="0" borderId="5" xfId="0" applyNumberFormat="1" applyFill="1" applyBorder="1" applyAlignment="1"/>
    <xf numFmtId="3" fontId="0" fillId="0" borderId="3" xfId="0" applyNumberFormat="1" applyFill="1" applyBorder="1" applyAlignment="1">
      <alignment horizontal="center"/>
    </xf>
    <xf numFmtId="3" fontId="0" fillId="0" borderId="14" xfId="0" applyNumberFormat="1" applyFill="1" applyBorder="1"/>
    <xf numFmtId="3" fontId="0" fillId="0" borderId="3" xfId="0" applyNumberFormat="1" applyFill="1" applyBorder="1"/>
    <xf numFmtId="3" fontId="3" fillId="0" borderId="3" xfId="0" applyNumberFormat="1" applyFont="1" applyFill="1" applyBorder="1"/>
    <xf numFmtId="3" fontId="1" fillId="0" borderId="3" xfId="0" applyNumberFormat="1" applyFont="1" applyFill="1" applyBorder="1"/>
    <xf numFmtId="3" fontId="2" fillId="0" borderId="3" xfId="0" applyNumberFormat="1" applyFont="1" applyFill="1" applyBorder="1"/>
    <xf numFmtId="3" fontId="0" fillId="0" borderId="3" xfId="0" applyNumberFormat="1" applyFont="1" applyFill="1" applyBorder="1"/>
    <xf numFmtId="3" fontId="1" fillId="0" borderId="0" xfId="0" applyNumberFormat="1" applyFon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7" xfId="0" applyNumberFormat="1" applyFill="1" applyBorder="1"/>
    <xf numFmtId="3" fontId="4" fillId="0" borderId="3" xfId="0" applyNumberFormat="1" applyFont="1" applyFill="1" applyBorder="1"/>
    <xf numFmtId="3" fontId="0" fillId="0" borderId="0" xfId="0" applyNumberFormat="1"/>
    <xf numFmtId="172" fontId="0" fillId="0" borderId="3" xfId="0" applyNumberFormat="1" applyFill="1" applyBorder="1"/>
    <xf numFmtId="3" fontId="0" fillId="0" borderId="9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wrapText="1"/>
    </xf>
    <xf numFmtId="3" fontId="0" fillId="0" borderId="9" xfId="0" applyNumberFormat="1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Fill="1" applyBorder="1"/>
    <xf numFmtId="0" fontId="0" fillId="0" borderId="13" xfId="0" applyFill="1" applyBorder="1" applyAlignment="1">
      <alignment wrapText="1"/>
    </xf>
    <xf numFmtId="0" fontId="0" fillId="0" borderId="9" xfId="0" applyFill="1" applyBorder="1"/>
    <xf numFmtId="0" fontId="0" fillId="0" borderId="11" xfId="0" applyFill="1" applyBorder="1"/>
    <xf numFmtId="0" fontId="0" fillId="0" borderId="4" xfId="0" applyFill="1" applyBorder="1"/>
    <xf numFmtId="0" fontId="0" fillId="0" borderId="12" xfId="0" applyFill="1" applyBorder="1" applyAlignment="1">
      <alignment wrapText="1"/>
    </xf>
    <xf numFmtId="0" fontId="0" fillId="0" borderId="12" xfId="0" applyFill="1" applyBorder="1"/>
    <xf numFmtId="3" fontId="0" fillId="0" borderId="10" xfId="0" applyNumberFormat="1" applyFill="1" applyBorder="1" applyAlignment="1"/>
    <xf numFmtId="3" fontId="0" fillId="0" borderId="5" xfId="0" applyNumberFormat="1" applyFill="1" applyBorder="1" applyAlignment="1"/>
    <xf numFmtId="3" fontId="0" fillId="0" borderId="10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wrapText="1"/>
    </xf>
    <xf numFmtId="3" fontId="0" fillId="0" borderId="5" xfId="0" applyNumberFormat="1" applyFill="1" applyBorder="1" applyAlignment="1">
      <alignment wrapText="1"/>
    </xf>
    <xf numFmtId="3" fontId="0" fillId="0" borderId="10" xfId="0" applyNumberForma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29"/>
  <sheetViews>
    <sheetView workbookViewId="0">
      <selection activeCell="F2" sqref="F2"/>
    </sheetView>
  </sheetViews>
  <sheetFormatPr defaultRowHeight="12.75" x14ac:dyDescent="0.2"/>
  <cols>
    <col min="1" max="1" width="3.7109375" customWidth="1"/>
    <col min="2" max="2" width="46.7109375" customWidth="1"/>
    <col min="3" max="3" width="13" customWidth="1"/>
    <col min="4" max="5" width="11.5703125" style="30" customWidth="1"/>
    <col min="6" max="6" width="13.5703125" style="30" customWidth="1"/>
    <col min="7" max="9" width="11.5703125" style="30" customWidth="1"/>
    <col min="10" max="10" width="13.140625" style="30" customWidth="1"/>
    <col min="11" max="13" width="11.5703125" style="57" customWidth="1"/>
    <col min="14" max="14" width="13.28515625" style="57" customWidth="1"/>
    <col min="15" max="17" width="11.5703125" style="57" customWidth="1"/>
    <col min="18" max="18" width="13.140625" style="57" customWidth="1"/>
    <col min="19" max="21" width="11.5703125" style="57" customWidth="1"/>
    <col min="22" max="22" width="13.5703125" style="57" customWidth="1"/>
    <col min="23" max="25" width="11.5703125" style="57" customWidth="1"/>
    <col min="26" max="26" width="12.85546875" style="57" customWidth="1"/>
  </cols>
  <sheetData>
    <row r="1" spans="1:27" x14ac:dyDescent="0.2">
      <c r="A1" s="11"/>
      <c r="B1" s="11"/>
      <c r="C1" s="11"/>
      <c r="H1" s="30" t="s">
        <v>29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 t="s">
        <v>94</v>
      </c>
    </row>
    <row r="2" spans="1:27" x14ac:dyDescent="0.2">
      <c r="A2" s="11"/>
      <c r="B2" s="11"/>
      <c r="C2" s="11"/>
      <c r="F2" s="30" t="s">
        <v>166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7" x14ac:dyDescent="0.2">
      <c r="A3" s="11"/>
      <c r="B3" s="11"/>
      <c r="C3" s="11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7" x14ac:dyDescent="0.2">
      <c r="A4" s="11"/>
      <c r="B4" s="11"/>
      <c r="C4" s="11"/>
      <c r="H4" s="30" t="s">
        <v>137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7" x14ac:dyDescent="0.2">
      <c r="A5" s="6">
        <v>1</v>
      </c>
      <c r="B5" s="9" t="s">
        <v>0</v>
      </c>
      <c r="C5" s="65"/>
      <c r="D5" s="32"/>
      <c r="E5" s="32"/>
      <c r="F5" s="32"/>
      <c r="G5" s="31"/>
      <c r="H5" s="72" t="s">
        <v>27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7" x14ac:dyDescent="0.2">
      <c r="A6" s="6">
        <v>2</v>
      </c>
      <c r="B6" s="12" t="s">
        <v>1</v>
      </c>
      <c r="C6" s="66"/>
      <c r="D6" s="34" t="s">
        <v>2</v>
      </c>
      <c r="E6" s="34"/>
      <c r="F6" s="34"/>
      <c r="G6" s="33"/>
      <c r="H6" s="37" t="s">
        <v>27</v>
      </c>
      <c r="I6" s="37"/>
      <c r="J6" s="37"/>
      <c r="K6" s="37"/>
      <c r="L6" s="37" t="s">
        <v>28</v>
      </c>
      <c r="M6" s="37"/>
      <c r="N6" s="37"/>
      <c r="O6" s="38"/>
      <c r="P6" s="38"/>
      <c r="Q6" s="38"/>
      <c r="R6" s="38"/>
      <c r="S6" s="38"/>
      <c r="T6" s="38"/>
      <c r="U6" s="38"/>
      <c r="V6" s="38"/>
      <c r="W6" s="38"/>
      <c r="X6" s="30"/>
      <c r="Y6" s="34"/>
      <c r="Z6" s="35"/>
    </row>
    <row r="7" spans="1:27" x14ac:dyDescent="0.2">
      <c r="A7" s="6">
        <v>3</v>
      </c>
      <c r="B7" s="5"/>
      <c r="C7" s="67"/>
      <c r="D7" s="38"/>
      <c r="E7" s="38"/>
      <c r="F7" s="38"/>
      <c r="G7" s="36"/>
      <c r="H7" s="72" t="s">
        <v>43</v>
      </c>
      <c r="I7" s="72"/>
      <c r="J7" s="73"/>
      <c r="K7" s="59"/>
      <c r="L7" s="72" t="s">
        <v>44</v>
      </c>
      <c r="M7" s="72"/>
      <c r="N7" s="73"/>
      <c r="O7" s="59"/>
      <c r="P7" s="72" t="s">
        <v>149</v>
      </c>
      <c r="Q7" s="72"/>
      <c r="R7" s="73"/>
      <c r="S7" s="59"/>
      <c r="T7" s="72" t="s">
        <v>120</v>
      </c>
      <c r="U7" s="72"/>
      <c r="V7" s="73"/>
      <c r="W7" s="59"/>
      <c r="X7" s="72" t="s">
        <v>151</v>
      </c>
      <c r="Y7" s="72"/>
      <c r="Z7" s="73"/>
    </row>
    <row r="8" spans="1:27" s="10" customFormat="1" ht="25.5" customHeight="1" x14ac:dyDescent="0.2">
      <c r="A8" s="13">
        <v>4</v>
      </c>
      <c r="B8" s="14"/>
      <c r="C8" s="68"/>
      <c r="D8" s="42"/>
      <c r="E8" s="42"/>
      <c r="F8" s="42"/>
      <c r="G8" s="41"/>
      <c r="H8" s="74" t="s">
        <v>123</v>
      </c>
      <c r="I8" s="74"/>
      <c r="J8" s="75"/>
      <c r="K8" s="60"/>
      <c r="L8" s="74" t="s">
        <v>122</v>
      </c>
      <c r="M8" s="74"/>
      <c r="N8" s="75"/>
      <c r="O8" s="60"/>
      <c r="P8" s="76" t="s">
        <v>147</v>
      </c>
      <c r="Q8" s="76"/>
      <c r="R8" s="77"/>
      <c r="S8" s="61"/>
      <c r="T8" s="74" t="s">
        <v>142</v>
      </c>
      <c r="U8" s="74"/>
      <c r="V8" s="75"/>
      <c r="W8" s="60"/>
      <c r="X8" s="74" t="s">
        <v>150</v>
      </c>
      <c r="Y8" s="74"/>
      <c r="Z8" s="75"/>
    </row>
    <row r="9" spans="1:27" x14ac:dyDescent="0.2">
      <c r="A9" s="6">
        <v>5</v>
      </c>
      <c r="B9" s="5"/>
      <c r="C9" s="63"/>
      <c r="D9" s="39"/>
      <c r="E9" s="38"/>
      <c r="F9" s="40"/>
      <c r="G9" s="36"/>
      <c r="H9" s="70" t="s">
        <v>17</v>
      </c>
      <c r="I9" s="70"/>
      <c r="J9" s="71"/>
      <c r="K9" s="31"/>
      <c r="L9" s="70" t="s">
        <v>18</v>
      </c>
      <c r="M9" s="70"/>
      <c r="N9" s="71"/>
      <c r="O9" s="31"/>
      <c r="P9" s="70" t="s">
        <v>148</v>
      </c>
      <c r="Q9" s="70"/>
      <c r="R9" s="71"/>
      <c r="S9" s="31"/>
      <c r="T9" s="70" t="s">
        <v>121</v>
      </c>
      <c r="U9" s="70"/>
      <c r="V9" s="71"/>
      <c r="W9" s="31"/>
      <c r="X9" s="32" t="s">
        <v>19</v>
      </c>
      <c r="Y9" s="32"/>
      <c r="Z9" s="44"/>
    </row>
    <row r="10" spans="1:27" x14ac:dyDescent="0.2">
      <c r="A10" s="15">
        <v>6</v>
      </c>
      <c r="B10" s="16" t="s">
        <v>48</v>
      </c>
      <c r="C10" s="45" t="s">
        <v>49</v>
      </c>
      <c r="D10" s="45" t="s">
        <v>50</v>
      </c>
      <c r="E10" s="45" t="s">
        <v>51</v>
      </c>
      <c r="F10" s="45" t="s">
        <v>52</v>
      </c>
      <c r="G10" s="45" t="s">
        <v>53</v>
      </c>
      <c r="H10" s="45" t="s">
        <v>54</v>
      </c>
      <c r="I10" s="45" t="s">
        <v>55</v>
      </c>
      <c r="J10" s="45" t="s">
        <v>56</v>
      </c>
      <c r="K10" s="45" t="s">
        <v>57</v>
      </c>
      <c r="L10" s="45" t="s">
        <v>58</v>
      </c>
      <c r="M10" s="45" t="s">
        <v>59</v>
      </c>
      <c r="N10" s="45" t="s">
        <v>60</v>
      </c>
      <c r="O10" s="45" t="s">
        <v>124</v>
      </c>
      <c r="P10" s="45" t="s">
        <v>125</v>
      </c>
      <c r="Q10" s="45" t="s">
        <v>126</v>
      </c>
      <c r="R10" s="45" t="s">
        <v>127</v>
      </c>
      <c r="S10" s="45" t="s">
        <v>128</v>
      </c>
      <c r="T10" s="45" t="s">
        <v>129</v>
      </c>
      <c r="U10" s="45" t="s">
        <v>155</v>
      </c>
      <c r="V10" s="45" t="s">
        <v>156</v>
      </c>
      <c r="W10" s="45" t="s">
        <v>157</v>
      </c>
      <c r="X10" s="45" t="s">
        <v>158</v>
      </c>
      <c r="Y10" s="45" t="s">
        <v>159</v>
      </c>
      <c r="Z10" s="45" t="s">
        <v>160</v>
      </c>
    </row>
    <row r="11" spans="1:27" s="8" customFormat="1" x14ac:dyDescent="0.2">
      <c r="A11" s="15">
        <v>7</v>
      </c>
      <c r="B11" s="17"/>
      <c r="C11" s="45" t="s">
        <v>154</v>
      </c>
      <c r="D11" s="45" t="s">
        <v>152</v>
      </c>
      <c r="E11" s="45" t="s">
        <v>152</v>
      </c>
      <c r="F11" s="45" t="s">
        <v>153</v>
      </c>
      <c r="G11" s="45" t="s">
        <v>154</v>
      </c>
      <c r="H11" s="45" t="s">
        <v>152</v>
      </c>
      <c r="I11" s="45" t="s">
        <v>152</v>
      </c>
      <c r="J11" s="45" t="s">
        <v>153</v>
      </c>
      <c r="K11" s="45" t="s">
        <v>154</v>
      </c>
      <c r="L11" s="45" t="s">
        <v>152</v>
      </c>
      <c r="M11" s="45" t="s">
        <v>152</v>
      </c>
      <c r="N11" s="45" t="s">
        <v>153</v>
      </c>
      <c r="O11" s="45" t="s">
        <v>154</v>
      </c>
      <c r="P11" s="45" t="s">
        <v>152</v>
      </c>
      <c r="Q11" s="45" t="s">
        <v>152</v>
      </c>
      <c r="R11" s="45" t="s">
        <v>153</v>
      </c>
      <c r="S11" s="45" t="s">
        <v>154</v>
      </c>
      <c r="T11" s="45" t="s">
        <v>152</v>
      </c>
      <c r="U11" s="45" t="s">
        <v>152</v>
      </c>
      <c r="V11" s="45" t="s">
        <v>153</v>
      </c>
      <c r="W11" s="45" t="s">
        <v>154</v>
      </c>
      <c r="X11" s="45" t="s">
        <v>152</v>
      </c>
      <c r="Y11" s="45" t="s">
        <v>152</v>
      </c>
      <c r="Z11" s="45" t="s">
        <v>153</v>
      </c>
      <c r="AA11" s="7"/>
    </row>
    <row r="12" spans="1:27" x14ac:dyDescent="0.2">
      <c r="A12" s="15">
        <v>8</v>
      </c>
      <c r="B12" s="18" t="s">
        <v>4</v>
      </c>
      <c r="C12" s="46" t="s">
        <v>3</v>
      </c>
      <c r="D12" s="46" t="s">
        <v>3</v>
      </c>
      <c r="E12" s="46" t="s">
        <v>95</v>
      </c>
      <c r="F12" s="46" t="s">
        <v>139</v>
      </c>
      <c r="G12" s="46" t="s">
        <v>3</v>
      </c>
      <c r="H12" s="46" t="s">
        <v>3</v>
      </c>
      <c r="I12" s="46" t="s">
        <v>95</v>
      </c>
      <c r="J12" s="46" t="s">
        <v>139</v>
      </c>
      <c r="K12" s="46" t="s">
        <v>3</v>
      </c>
      <c r="L12" s="46" t="s">
        <v>3</v>
      </c>
      <c r="M12" s="46" t="s">
        <v>95</v>
      </c>
      <c r="N12" s="46" t="s">
        <v>139</v>
      </c>
      <c r="O12" s="46" t="s">
        <v>3</v>
      </c>
      <c r="P12" s="46" t="s">
        <v>3</v>
      </c>
      <c r="Q12" s="46" t="s">
        <v>95</v>
      </c>
      <c r="R12" s="46" t="s">
        <v>139</v>
      </c>
      <c r="S12" s="46" t="s">
        <v>3</v>
      </c>
      <c r="T12" s="46" t="s">
        <v>3</v>
      </c>
      <c r="U12" s="46" t="s">
        <v>95</v>
      </c>
      <c r="V12" s="46" t="s">
        <v>139</v>
      </c>
      <c r="W12" s="46" t="s">
        <v>3</v>
      </c>
      <c r="X12" s="46" t="s">
        <v>3</v>
      </c>
      <c r="Y12" s="46" t="s">
        <v>95</v>
      </c>
      <c r="Z12" s="46" t="s">
        <v>139</v>
      </c>
    </row>
    <row r="13" spans="1:27" x14ac:dyDescent="0.2">
      <c r="A13" s="6">
        <v>9</v>
      </c>
      <c r="B13" s="9" t="s">
        <v>146</v>
      </c>
      <c r="C13" s="47">
        <f t="shared" ref="C13:D44" si="0">G13+K13+W13+O13+S13</f>
        <v>0</v>
      </c>
      <c r="D13" s="47">
        <f t="shared" si="0"/>
        <v>0</v>
      </c>
      <c r="E13" s="47">
        <f t="shared" ref="E13:E44" si="1">I13+M13+Y13+Q13+U13</f>
        <v>521880</v>
      </c>
      <c r="F13" s="47">
        <f t="shared" ref="F13:F44" si="2">J13+N13+Z13+R13+V13</f>
        <v>521880</v>
      </c>
      <c r="G13" s="47"/>
      <c r="H13" s="47"/>
      <c r="I13" s="47">
        <v>521880</v>
      </c>
      <c r="J13" s="47">
        <v>521880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7" x14ac:dyDescent="0.2">
      <c r="A14" s="6">
        <v>10</v>
      </c>
      <c r="B14" s="9" t="s">
        <v>145</v>
      </c>
      <c r="C14" s="47">
        <f t="shared" si="0"/>
        <v>0</v>
      </c>
      <c r="D14" s="47">
        <f t="shared" si="0"/>
        <v>0</v>
      </c>
      <c r="E14" s="47">
        <f t="shared" si="1"/>
        <v>655697</v>
      </c>
      <c r="F14" s="47">
        <f t="shared" si="2"/>
        <v>869582</v>
      </c>
      <c r="G14" s="47"/>
      <c r="H14" s="47"/>
      <c r="I14" s="47">
        <v>655697</v>
      </c>
      <c r="J14" s="47">
        <f>234310+123135+512137</f>
        <v>869582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7" x14ac:dyDescent="0.2">
      <c r="A15" s="6">
        <v>11</v>
      </c>
      <c r="B15" s="9" t="s">
        <v>30</v>
      </c>
      <c r="C15" s="47">
        <f t="shared" si="0"/>
        <v>0</v>
      </c>
      <c r="D15" s="47">
        <f t="shared" si="0"/>
        <v>0</v>
      </c>
      <c r="E15" s="47">
        <f t="shared" si="1"/>
        <v>264746</v>
      </c>
      <c r="F15" s="47">
        <f t="shared" si="2"/>
        <v>281555</v>
      </c>
      <c r="G15" s="47"/>
      <c r="H15" s="47"/>
      <c r="I15" s="47">
        <v>264746</v>
      </c>
      <c r="J15" s="47">
        <f>281555-2375</f>
        <v>279180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>
        <v>2375</v>
      </c>
      <c r="W15" s="47"/>
      <c r="X15" s="47"/>
      <c r="Y15" s="47"/>
      <c r="Z15" s="47"/>
    </row>
    <row r="16" spans="1:27" x14ac:dyDescent="0.2">
      <c r="A16" s="6">
        <v>12</v>
      </c>
      <c r="B16" s="9" t="s">
        <v>5</v>
      </c>
      <c r="C16" s="47">
        <f t="shared" si="0"/>
        <v>1720000</v>
      </c>
      <c r="D16" s="47">
        <f t="shared" si="0"/>
        <v>870000</v>
      </c>
      <c r="E16" s="47">
        <f t="shared" si="1"/>
        <v>720000</v>
      </c>
      <c r="F16" s="47">
        <f t="shared" si="2"/>
        <v>720000</v>
      </c>
      <c r="G16" s="47">
        <f>1000000+720000</f>
        <v>1720000</v>
      </c>
      <c r="H16" s="47">
        <f>150000+720000</f>
        <v>870000</v>
      </c>
      <c r="I16" s="47">
        <v>720000</v>
      </c>
      <c r="J16" s="47">
        <v>720000</v>
      </c>
      <c r="K16" s="47"/>
      <c r="L16" s="47"/>
      <c r="M16" s="47"/>
      <c r="N16" s="47"/>
      <c r="O16" s="47"/>
      <c r="P16" s="47"/>
      <c r="Q16" s="47">
        <v>0</v>
      </c>
      <c r="R16" s="47">
        <v>0</v>
      </c>
      <c r="S16" s="47"/>
      <c r="T16" s="47"/>
      <c r="U16" s="47">
        <v>0</v>
      </c>
      <c r="V16" s="47">
        <v>0</v>
      </c>
      <c r="W16" s="47"/>
      <c r="X16" s="47"/>
      <c r="Y16" s="47"/>
      <c r="Z16" s="47"/>
    </row>
    <row r="17" spans="1:26" x14ac:dyDescent="0.2">
      <c r="A17" s="6">
        <v>13</v>
      </c>
      <c r="B17" s="9" t="s">
        <v>6</v>
      </c>
      <c r="C17" s="47">
        <f t="shared" si="0"/>
        <v>0</v>
      </c>
      <c r="D17" s="47">
        <f t="shared" si="0"/>
        <v>0</v>
      </c>
      <c r="E17" s="47">
        <f t="shared" si="1"/>
        <v>3473899</v>
      </c>
      <c r="F17" s="47">
        <f t="shared" si="2"/>
        <v>4945658</v>
      </c>
      <c r="G17" s="47"/>
      <c r="H17" s="47">
        <v>0</v>
      </c>
      <c r="I17" s="47">
        <v>12000</v>
      </c>
      <c r="J17" s="47">
        <f>12000+5496+64600+374000+20000+2832+173330</f>
        <v>652258</v>
      </c>
      <c r="K17" s="47"/>
      <c r="L17" s="47"/>
      <c r="M17" s="47"/>
      <c r="N17" s="47"/>
      <c r="O17" s="47"/>
      <c r="P17" s="47"/>
      <c r="Q17" s="47">
        <v>3434000</v>
      </c>
      <c r="R17" s="47">
        <v>3433100</v>
      </c>
      <c r="S17" s="47"/>
      <c r="T17" s="47"/>
      <c r="U17" s="47">
        <v>27899</v>
      </c>
      <c r="V17" s="47">
        <f>28000+834675-2375</f>
        <v>860300</v>
      </c>
      <c r="W17" s="47"/>
      <c r="X17" s="47"/>
      <c r="Y17" s="47"/>
      <c r="Z17" s="47"/>
    </row>
    <row r="18" spans="1:26" x14ac:dyDescent="0.2">
      <c r="A18" s="6">
        <v>14</v>
      </c>
      <c r="B18" s="9" t="s">
        <v>96</v>
      </c>
      <c r="C18" s="47">
        <f t="shared" ref="C18:C23" si="3">G18+K18+W18+O18+S18</f>
        <v>1720000</v>
      </c>
      <c r="D18" s="47">
        <f t="shared" si="0"/>
        <v>870000</v>
      </c>
      <c r="E18" s="47">
        <f t="shared" si="1"/>
        <v>5636222</v>
      </c>
      <c r="F18" s="47">
        <f t="shared" si="2"/>
        <v>7338675</v>
      </c>
      <c r="G18" s="47">
        <f t="shared" ref="G18:X18" si="4">SUM(G13:G17)</f>
        <v>1720000</v>
      </c>
      <c r="H18" s="47">
        <f t="shared" si="4"/>
        <v>870000</v>
      </c>
      <c r="I18" s="47">
        <f>SUM(I13:I17)</f>
        <v>2174323</v>
      </c>
      <c r="J18" s="47">
        <f>SUM(J13:J17)</f>
        <v>3042900</v>
      </c>
      <c r="K18" s="47"/>
      <c r="L18" s="47">
        <f t="shared" si="4"/>
        <v>0</v>
      </c>
      <c r="M18" s="47">
        <f t="shared" si="4"/>
        <v>0</v>
      </c>
      <c r="N18" s="47">
        <f t="shared" si="4"/>
        <v>0</v>
      </c>
      <c r="O18" s="47"/>
      <c r="P18" s="47">
        <f t="shared" si="4"/>
        <v>0</v>
      </c>
      <c r="Q18" s="47">
        <f t="shared" si="4"/>
        <v>3434000</v>
      </c>
      <c r="R18" s="47">
        <f t="shared" si="4"/>
        <v>3433100</v>
      </c>
      <c r="S18" s="47"/>
      <c r="T18" s="47">
        <f t="shared" si="4"/>
        <v>0</v>
      </c>
      <c r="U18" s="47">
        <f t="shared" si="4"/>
        <v>27899</v>
      </c>
      <c r="V18" s="47">
        <f t="shared" si="4"/>
        <v>862675</v>
      </c>
      <c r="W18" s="47"/>
      <c r="X18" s="47">
        <f t="shared" si="4"/>
        <v>0</v>
      </c>
      <c r="Y18" s="47">
        <f>SUM(Y13:Y17)</f>
        <v>0</v>
      </c>
      <c r="Z18" s="47">
        <f>SUM(Z13:Z17)</f>
        <v>0</v>
      </c>
    </row>
    <row r="19" spans="1:26" x14ac:dyDescent="0.2">
      <c r="A19" s="6">
        <v>15</v>
      </c>
      <c r="B19" s="9" t="s">
        <v>97</v>
      </c>
      <c r="C19" s="47">
        <f t="shared" si="3"/>
        <v>50000</v>
      </c>
      <c r="D19" s="47">
        <f t="shared" si="0"/>
        <v>200000</v>
      </c>
      <c r="E19" s="47">
        <f t="shared" si="1"/>
        <v>20000</v>
      </c>
      <c r="F19" s="47">
        <f t="shared" si="2"/>
        <v>19103</v>
      </c>
      <c r="G19" s="47">
        <v>50000</v>
      </c>
      <c r="H19" s="47">
        <v>200000</v>
      </c>
      <c r="I19" s="47">
        <v>20000</v>
      </c>
      <c r="J19" s="47">
        <v>19103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x14ac:dyDescent="0.2">
      <c r="A20" s="6">
        <v>16</v>
      </c>
      <c r="B20" s="9" t="s">
        <v>99</v>
      </c>
      <c r="C20" s="47">
        <f t="shared" si="3"/>
        <v>10819347</v>
      </c>
      <c r="D20" s="47">
        <f t="shared" si="0"/>
        <v>10819347</v>
      </c>
      <c r="E20" s="47">
        <f t="shared" si="1"/>
        <v>14819347</v>
      </c>
      <c r="F20" s="47">
        <f t="shared" si="2"/>
        <v>9728856</v>
      </c>
      <c r="G20" s="47">
        <v>10819347</v>
      </c>
      <c r="H20" s="47">
        <f>9000000+1819347</f>
        <v>10819347</v>
      </c>
      <c r="I20" s="47">
        <v>14819347</v>
      </c>
      <c r="J20" s="47">
        <v>9728856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x14ac:dyDescent="0.2">
      <c r="A21" s="6">
        <v>17</v>
      </c>
      <c r="B21" s="9" t="s">
        <v>100</v>
      </c>
      <c r="C21" s="47">
        <f t="shared" si="3"/>
        <v>0</v>
      </c>
      <c r="D21" s="47">
        <f t="shared" si="0"/>
        <v>0</v>
      </c>
      <c r="E21" s="47">
        <f t="shared" si="1"/>
        <v>0</v>
      </c>
      <c r="F21" s="47">
        <f t="shared" si="2"/>
        <v>0</v>
      </c>
      <c r="G21" s="47"/>
      <c r="H21" s="47">
        <v>0</v>
      </c>
      <c r="I21" s="47">
        <v>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s="3" customFormat="1" x14ac:dyDescent="0.2">
      <c r="A22" s="19">
        <v>18</v>
      </c>
      <c r="B22" s="20" t="s">
        <v>119</v>
      </c>
      <c r="C22" s="47">
        <f t="shared" si="3"/>
        <v>10819347</v>
      </c>
      <c r="D22" s="47">
        <f t="shared" si="0"/>
        <v>10819347</v>
      </c>
      <c r="E22" s="47">
        <f t="shared" si="1"/>
        <v>14819347</v>
      </c>
      <c r="F22" s="47">
        <f t="shared" si="2"/>
        <v>10289241</v>
      </c>
      <c r="G22" s="48">
        <f t="shared" ref="G22:V22" si="5">SUM(G20:G21)</f>
        <v>10819347</v>
      </c>
      <c r="H22" s="48">
        <f t="shared" si="5"/>
        <v>10819347</v>
      </c>
      <c r="I22" s="48">
        <f>SUM(I20:I21)</f>
        <v>14819347</v>
      </c>
      <c r="J22" s="48">
        <v>10289241</v>
      </c>
      <c r="K22" s="48"/>
      <c r="L22" s="48">
        <f t="shared" si="5"/>
        <v>0</v>
      </c>
      <c r="M22" s="48">
        <f t="shared" si="5"/>
        <v>0</v>
      </c>
      <c r="N22" s="48">
        <f t="shared" si="5"/>
        <v>0</v>
      </c>
      <c r="O22" s="48"/>
      <c r="P22" s="48">
        <f t="shared" si="5"/>
        <v>0</v>
      </c>
      <c r="Q22" s="48">
        <f t="shared" si="5"/>
        <v>0</v>
      </c>
      <c r="R22" s="48">
        <f t="shared" si="5"/>
        <v>0</v>
      </c>
      <c r="S22" s="48"/>
      <c r="T22" s="48">
        <f t="shared" si="5"/>
        <v>0</v>
      </c>
      <c r="U22" s="48">
        <f t="shared" si="5"/>
        <v>0</v>
      </c>
      <c r="V22" s="48">
        <f t="shared" si="5"/>
        <v>0</v>
      </c>
      <c r="W22" s="48"/>
      <c r="X22" s="48"/>
      <c r="Y22" s="48"/>
      <c r="Z22" s="47"/>
    </row>
    <row r="23" spans="1:26" s="3" customFormat="1" x14ac:dyDescent="0.2">
      <c r="A23" s="19">
        <v>19</v>
      </c>
      <c r="B23" s="9" t="s">
        <v>8</v>
      </c>
      <c r="C23" s="47">
        <f t="shared" si="3"/>
        <v>7500000</v>
      </c>
      <c r="D23" s="47">
        <f t="shared" si="0"/>
        <v>7500000</v>
      </c>
      <c r="E23" s="47">
        <f t="shared" si="1"/>
        <v>8000000</v>
      </c>
      <c r="F23" s="47">
        <f t="shared" si="2"/>
        <v>7826915</v>
      </c>
      <c r="G23" s="47">
        <v>7500000</v>
      </c>
      <c r="H23" s="47">
        <v>7500000</v>
      </c>
      <c r="I23" s="47">
        <v>8000000</v>
      </c>
      <c r="J23" s="47">
        <v>7826915</v>
      </c>
      <c r="K23" s="4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7"/>
    </row>
    <row r="24" spans="1:26" s="3" customFormat="1" x14ac:dyDescent="0.2">
      <c r="A24" s="19">
        <v>20</v>
      </c>
      <c r="B24" s="9" t="s">
        <v>98</v>
      </c>
      <c r="C24" s="47">
        <f t="shared" ref="C24:C29" si="6">G24+K24+W24+O24+S24</f>
        <v>0</v>
      </c>
      <c r="D24" s="47">
        <f t="shared" si="0"/>
        <v>0</v>
      </c>
      <c r="E24" s="47">
        <f t="shared" si="1"/>
        <v>0</v>
      </c>
      <c r="F24" s="47">
        <f t="shared" si="2"/>
        <v>250400</v>
      </c>
      <c r="G24" s="47"/>
      <c r="H24" s="47">
        <v>0</v>
      </c>
      <c r="I24" s="47">
        <v>0</v>
      </c>
      <c r="J24" s="47">
        <v>250400</v>
      </c>
      <c r="K24" s="47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7"/>
    </row>
    <row r="25" spans="1:26" x14ac:dyDescent="0.2">
      <c r="A25" s="6">
        <v>21</v>
      </c>
      <c r="B25" s="9" t="s">
        <v>7</v>
      </c>
      <c r="C25" s="47">
        <f t="shared" si="6"/>
        <v>1000000</v>
      </c>
      <c r="D25" s="47">
        <f t="shared" si="0"/>
        <v>1000000</v>
      </c>
      <c r="E25" s="47">
        <f t="shared" si="1"/>
        <v>1500000</v>
      </c>
      <c r="F25" s="47">
        <f t="shared" si="2"/>
        <v>1422093</v>
      </c>
      <c r="G25" s="47">
        <v>1000000</v>
      </c>
      <c r="H25" s="47">
        <v>1000000</v>
      </c>
      <c r="I25" s="47">
        <v>1500000</v>
      </c>
      <c r="J25" s="47">
        <v>1422093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x14ac:dyDescent="0.2">
      <c r="A26" s="6">
        <v>22</v>
      </c>
      <c r="B26" s="5" t="s">
        <v>101</v>
      </c>
      <c r="C26" s="47">
        <f t="shared" si="6"/>
        <v>0</v>
      </c>
      <c r="D26" s="47">
        <f t="shared" si="0"/>
        <v>0</v>
      </c>
      <c r="E26" s="47">
        <f t="shared" si="1"/>
        <v>0</v>
      </c>
      <c r="F26" s="47">
        <f t="shared" si="2"/>
        <v>0</v>
      </c>
      <c r="G26" s="47"/>
      <c r="H26" s="47"/>
      <c r="I26" s="47">
        <v>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x14ac:dyDescent="0.2">
      <c r="A27" s="6">
        <v>23</v>
      </c>
      <c r="B27" s="9" t="s">
        <v>9</v>
      </c>
      <c r="C27" s="47">
        <f t="shared" si="6"/>
        <v>37000000</v>
      </c>
      <c r="D27" s="47">
        <f t="shared" si="0"/>
        <v>37000000</v>
      </c>
      <c r="E27" s="47">
        <f t="shared" si="1"/>
        <v>50000000</v>
      </c>
      <c r="F27" s="47">
        <f t="shared" si="2"/>
        <v>24013481</v>
      </c>
      <c r="G27" s="47">
        <v>37000000</v>
      </c>
      <c r="H27" s="47">
        <v>37000000</v>
      </c>
      <c r="I27" s="47">
        <v>50000000</v>
      </c>
      <c r="J27" s="47">
        <v>24013481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x14ac:dyDescent="0.2">
      <c r="A28" s="6">
        <v>24</v>
      </c>
      <c r="B28" s="5" t="s">
        <v>135</v>
      </c>
      <c r="C28" s="47">
        <f t="shared" si="6"/>
        <v>0</v>
      </c>
      <c r="D28" s="47">
        <f t="shared" si="0"/>
        <v>0</v>
      </c>
      <c r="E28" s="47">
        <f t="shared" si="1"/>
        <v>0</v>
      </c>
      <c r="F28" s="47">
        <f t="shared" si="2"/>
        <v>1514378</v>
      </c>
      <c r="G28" s="47"/>
      <c r="H28" s="47"/>
      <c r="I28" s="47">
        <v>0</v>
      </c>
      <c r="J28" s="47">
        <v>1514378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x14ac:dyDescent="0.2">
      <c r="A29" s="6">
        <v>25</v>
      </c>
      <c r="B29" s="9" t="s">
        <v>136</v>
      </c>
      <c r="C29" s="47">
        <f t="shared" si="6"/>
        <v>0</v>
      </c>
      <c r="D29" s="47">
        <f t="shared" si="0"/>
        <v>0</v>
      </c>
      <c r="E29" s="47">
        <f t="shared" si="1"/>
        <v>0</v>
      </c>
      <c r="F29" s="47">
        <f t="shared" si="2"/>
        <v>228936</v>
      </c>
      <c r="G29" s="47"/>
      <c r="H29" s="47"/>
      <c r="I29" s="47">
        <v>0</v>
      </c>
      <c r="J29" s="47">
        <f>90000+138936</f>
        <v>228936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x14ac:dyDescent="0.2">
      <c r="A30" s="6">
        <v>26</v>
      </c>
      <c r="B30" s="20" t="s">
        <v>117</v>
      </c>
      <c r="C30" s="47">
        <f t="shared" ref="C30:C37" si="7">G30+K30+W30+O30+S30</f>
        <v>45500000</v>
      </c>
      <c r="D30" s="47">
        <f t="shared" si="0"/>
        <v>45500000</v>
      </c>
      <c r="E30" s="47">
        <f t="shared" si="1"/>
        <v>59500000</v>
      </c>
      <c r="F30" s="47">
        <f t="shared" si="2"/>
        <v>35256203</v>
      </c>
      <c r="G30" s="47">
        <f t="shared" ref="G30:V30" si="8">SUM(G23:G29)</f>
        <v>45500000</v>
      </c>
      <c r="H30" s="47">
        <f t="shared" si="8"/>
        <v>45500000</v>
      </c>
      <c r="I30" s="47">
        <f>SUM(I23:I29)</f>
        <v>59500000</v>
      </c>
      <c r="J30" s="47">
        <f t="shared" si="8"/>
        <v>35256203</v>
      </c>
      <c r="K30" s="47"/>
      <c r="L30" s="47">
        <f t="shared" si="8"/>
        <v>0</v>
      </c>
      <c r="M30" s="47">
        <f t="shared" si="8"/>
        <v>0</v>
      </c>
      <c r="N30" s="47">
        <f t="shared" si="8"/>
        <v>0</v>
      </c>
      <c r="O30" s="47"/>
      <c r="P30" s="47">
        <f t="shared" si="8"/>
        <v>0</v>
      </c>
      <c r="Q30" s="47">
        <f t="shared" si="8"/>
        <v>0</v>
      </c>
      <c r="R30" s="47">
        <f t="shared" si="8"/>
        <v>0</v>
      </c>
      <c r="S30" s="47"/>
      <c r="T30" s="47">
        <f t="shared" si="8"/>
        <v>0</v>
      </c>
      <c r="U30" s="47">
        <f t="shared" si="8"/>
        <v>0</v>
      </c>
      <c r="V30" s="47">
        <f t="shared" si="8"/>
        <v>0</v>
      </c>
      <c r="W30" s="47"/>
      <c r="X30" s="47"/>
      <c r="Y30" s="47"/>
      <c r="Z30" s="47"/>
    </row>
    <row r="31" spans="1:26" x14ac:dyDescent="0.2">
      <c r="A31" s="6">
        <v>27</v>
      </c>
      <c r="B31" s="9" t="s">
        <v>31</v>
      </c>
      <c r="C31" s="47">
        <f t="shared" si="7"/>
        <v>0</v>
      </c>
      <c r="D31" s="47">
        <f t="shared" si="0"/>
        <v>0</v>
      </c>
      <c r="E31" s="47">
        <f t="shared" si="1"/>
        <v>2661000</v>
      </c>
      <c r="F31" s="47">
        <f t="shared" si="2"/>
        <v>1755000</v>
      </c>
      <c r="G31" s="47"/>
      <c r="H31" s="47"/>
      <c r="I31" s="47">
        <v>2661000</v>
      </c>
      <c r="J31" s="47">
        <v>1755000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s="3" customFormat="1" x14ac:dyDescent="0.2">
      <c r="A32" s="19">
        <v>28</v>
      </c>
      <c r="B32" s="21" t="s">
        <v>32</v>
      </c>
      <c r="C32" s="47">
        <f t="shared" si="7"/>
        <v>0</v>
      </c>
      <c r="D32" s="47">
        <f t="shared" si="0"/>
        <v>0</v>
      </c>
      <c r="E32" s="47">
        <f t="shared" si="1"/>
        <v>0</v>
      </c>
      <c r="F32" s="47">
        <f t="shared" si="2"/>
        <v>0</v>
      </c>
      <c r="G32" s="47"/>
      <c r="H32" s="48"/>
      <c r="I32" s="48">
        <v>0</v>
      </c>
      <c r="J32" s="47"/>
      <c r="K32" s="47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7"/>
    </row>
    <row r="33" spans="1:63" s="3" customFormat="1" x14ac:dyDescent="0.2">
      <c r="A33" s="19">
        <v>29</v>
      </c>
      <c r="B33" s="9" t="s">
        <v>10</v>
      </c>
      <c r="C33" s="47">
        <f t="shared" si="7"/>
        <v>0</v>
      </c>
      <c r="D33" s="47">
        <f t="shared" si="0"/>
        <v>0</v>
      </c>
      <c r="E33" s="47">
        <f t="shared" si="1"/>
        <v>0</v>
      </c>
      <c r="F33" s="47">
        <f t="shared" si="2"/>
        <v>0</v>
      </c>
      <c r="G33" s="47"/>
      <c r="H33" s="48"/>
      <c r="I33" s="48">
        <v>0</v>
      </c>
      <c r="J33" s="47"/>
      <c r="K33" s="47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7"/>
    </row>
    <row r="34" spans="1:63" s="3" customFormat="1" x14ac:dyDescent="0.2">
      <c r="A34" s="19">
        <v>30</v>
      </c>
      <c r="B34" s="9" t="s">
        <v>23</v>
      </c>
      <c r="C34" s="47">
        <f t="shared" si="7"/>
        <v>0</v>
      </c>
      <c r="D34" s="47">
        <f t="shared" si="0"/>
        <v>0</v>
      </c>
      <c r="E34" s="47">
        <f t="shared" si="1"/>
        <v>0</v>
      </c>
      <c r="F34" s="47">
        <f t="shared" si="2"/>
        <v>0</v>
      </c>
      <c r="G34" s="47"/>
      <c r="H34" s="48"/>
      <c r="I34" s="48">
        <v>0</v>
      </c>
      <c r="J34" s="47"/>
      <c r="K34" s="47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7"/>
    </row>
    <row r="35" spans="1:63" s="3" customFormat="1" x14ac:dyDescent="0.2">
      <c r="A35" s="19">
        <v>31</v>
      </c>
      <c r="B35" s="20" t="s">
        <v>11</v>
      </c>
      <c r="C35" s="47">
        <f t="shared" si="7"/>
        <v>0</v>
      </c>
      <c r="D35" s="47">
        <f t="shared" si="0"/>
        <v>0</v>
      </c>
      <c r="E35" s="47">
        <f t="shared" si="1"/>
        <v>2661000</v>
      </c>
      <c r="F35" s="47">
        <f t="shared" si="2"/>
        <v>1755000</v>
      </c>
      <c r="G35" s="47"/>
      <c r="H35" s="48">
        <f t="shared" ref="H35:V35" si="9">SUM(H31:H34)</f>
        <v>0</v>
      </c>
      <c r="I35" s="48">
        <f>SUM(I31:I34)</f>
        <v>2661000</v>
      </c>
      <c r="J35" s="48">
        <f t="shared" si="9"/>
        <v>1755000</v>
      </c>
      <c r="K35" s="48"/>
      <c r="L35" s="48">
        <f t="shared" si="9"/>
        <v>0</v>
      </c>
      <c r="M35" s="48">
        <f t="shared" si="9"/>
        <v>0</v>
      </c>
      <c r="N35" s="48">
        <f t="shared" si="9"/>
        <v>0</v>
      </c>
      <c r="O35" s="48"/>
      <c r="P35" s="48">
        <f t="shared" si="9"/>
        <v>0</v>
      </c>
      <c r="Q35" s="48">
        <f t="shared" si="9"/>
        <v>0</v>
      </c>
      <c r="R35" s="48">
        <f t="shared" si="9"/>
        <v>0</v>
      </c>
      <c r="S35" s="48"/>
      <c r="T35" s="48">
        <f t="shared" si="9"/>
        <v>0</v>
      </c>
      <c r="U35" s="48">
        <f t="shared" si="9"/>
        <v>0</v>
      </c>
      <c r="V35" s="48">
        <f t="shared" si="9"/>
        <v>0</v>
      </c>
      <c r="W35" s="48"/>
      <c r="X35" s="48"/>
      <c r="Y35" s="48"/>
      <c r="Z35" s="47"/>
    </row>
    <row r="36" spans="1:63" x14ac:dyDescent="0.2">
      <c r="A36" s="6">
        <v>32</v>
      </c>
      <c r="B36" s="9" t="s">
        <v>116</v>
      </c>
      <c r="C36" s="47">
        <f t="shared" si="7"/>
        <v>56319347</v>
      </c>
      <c r="D36" s="47">
        <f t="shared" si="0"/>
        <v>56319347</v>
      </c>
      <c r="E36" s="47">
        <f t="shared" si="1"/>
        <v>76980347</v>
      </c>
      <c r="F36" s="47">
        <f t="shared" si="2"/>
        <v>47300444</v>
      </c>
      <c r="G36" s="47">
        <f t="shared" ref="G36:V36" si="10">G22+G30+G35</f>
        <v>56319347</v>
      </c>
      <c r="H36" s="47">
        <f t="shared" si="10"/>
        <v>56319347</v>
      </c>
      <c r="I36" s="47">
        <f>I22+I30+I35</f>
        <v>76980347</v>
      </c>
      <c r="J36" s="47">
        <f t="shared" si="10"/>
        <v>47300444</v>
      </c>
      <c r="K36" s="47"/>
      <c r="L36" s="47">
        <f t="shared" si="10"/>
        <v>0</v>
      </c>
      <c r="M36" s="47">
        <f t="shared" si="10"/>
        <v>0</v>
      </c>
      <c r="N36" s="47">
        <f t="shared" si="10"/>
        <v>0</v>
      </c>
      <c r="O36" s="47"/>
      <c r="P36" s="47">
        <f t="shared" si="10"/>
        <v>0</v>
      </c>
      <c r="Q36" s="47">
        <f t="shared" si="10"/>
        <v>0</v>
      </c>
      <c r="R36" s="47">
        <f t="shared" si="10"/>
        <v>0</v>
      </c>
      <c r="S36" s="47"/>
      <c r="T36" s="47">
        <f t="shared" si="10"/>
        <v>0</v>
      </c>
      <c r="U36" s="47">
        <f t="shared" si="10"/>
        <v>0</v>
      </c>
      <c r="V36" s="47">
        <f t="shared" si="10"/>
        <v>0</v>
      </c>
      <c r="W36" s="47"/>
      <c r="X36" s="47"/>
      <c r="Y36" s="47"/>
      <c r="Z36" s="47"/>
    </row>
    <row r="37" spans="1:63" x14ac:dyDescent="0.2">
      <c r="A37" s="6">
        <v>33</v>
      </c>
      <c r="B37" s="22" t="s">
        <v>39</v>
      </c>
      <c r="C37" s="49">
        <f t="shared" si="7"/>
        <v>58089347</v>
      </c>
      <c r="D37" s="49">
        <f t="shared" si="0"/>
        <v>57389347</v>
      </c>
      <c r="E37" s="49">
        <f t="shared" si="1"/>
        <v>82636569</v>
      </c>
      <c r="F37" s="49">
        <f t="shared" si="2"/>
        <v>54658222</v>
      </c>
      <c r="G37" s="50">
        <f>G18+G19+G36</f>
        <v>58089347</v>
      </c>
      <c r="H37" s="50">
        <f>H18+H19+H36</f>
        <v>57389347</v>
      </c>
      <c r="I37" s="50">
        <f>I18+I19+I36</f>
        <v>79174670</v>
      </c>
      <c r="J37" s="50">
        <f>J18+J19+J36</f>
        <v>50362447</v>
      </c>
      <c r="K37" s="50"/>
      <c r="L37" s="50">
        <f t="shared" ref="L37:X37" si="11">L18+L36</f>
        <v>0</v>
      </c>
      <c r="M37" s="50">
        <f t="shared" si="11"/>
        <v>0</v>
      </c>
      <c r="N37" s="50">
        <f t="shared" si="11"/>
        <v>0</v>
      </c>
      <c r="O37" s="50"/>
      <c r="P37" s="50">
        <f t="shared" si="11"/>
        <v>0</v>
      </c>
      <c r="Q37" s="50">
        <f t="shared" si="11"/>
        <v>3434000</v>
      </c>
      <c r="R37" s="50">
        <f t="shared" si="11"/>
        <v>3433100</v>
      </c>
      <c r="S37" s="50"/>
      <c r="T37" s="50">
        <f t="shared" si="11"/>
        <v>0</v>
      </c>
      <c r="U37" s="50">
        <f t="shared" si="11"/>
        <v>27899</v>
      </c>
      <c r="V37" s="50">
        <f t="shared" si="11"/>
        <v>862675</v>
      </c>
      <c r="W37" s="50"/>
      <c r="X37" s="50">
        <f t="shared" si="11"/>
        <v>0</v>
      </c>
      <c r="Y37" s="50">
        <f>Y18+Y36</f>
        <v>0</v>
      </c>
      <c r="Z37" s="50">
        <f>Z18+Z36</f>
        <v>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63" x14ac:dyDescent="0.2">
      <c r="A38" s="6">
        <v>34</v>
      </c>
      <c r="B38" s="23" t="s">
        <v>102</v>
      </c>
      <c r="C38" s="23"/>
      <c r="D38" s="47">
        <f t="shared" si="0"/>
        <v>0</v>
      </c>
      <c r="E38" s="47">
        <f t="shared" si="1"/>
        <v>0</v>
      </c>
      <c r="F38" s="47">
        <f t="shared" si="2"/>
        <v>0</v>
      </c>
      <c r="G38" s="47"/>
      <c r="H38" s="50"/>
      <c r="I38" s="50"/>
      <c r="J38" s="47"/>
      <c r="K38" s="47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47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</row>
    <row r="39" spans="1:63" x14ac:dyDescent="0.2">
      <c r="A39" s="6">
        <v>35</v>
      </c>
      <c r="B39" s="9" t="s">
        <v>103</v>
      </c>
      <c r="C39" s="47">
        <f>G39+K39+W39+O39+S39</f>
        <v>61315094</v>
      </c>
      <c r="D39" s="47">
        <f t="shared" si="0"/>
        <v>47794091</v>
      </c>
      <c r="E39" s="47">
        <f t="shared" si="1"/>
        <v>49621091</v>
      </c>
      <c r="F39" s="47">
        <f t="shared" si="2"/>
        <v>49637150</v>
      </c>
      <c r="G39" s="47">
        <v>61315094</v>
      </c>
      <c r="H39" s="47">
        <v>47794091</v>
      </c>
      <c r="I39" s="47">
        <f>47794091+1827000</f>
        <v>49621091</v>
      </c>
      <c r="J39" s="47">
        <v>49637150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63" x14ac:dyDescent="0.2">
      <c r="A40" s="6">
        <v>36</v>
      </c>
      <c r="B40" s="9" t="s">
        <v>104</v>
      </c>
      <c r="C40" s="47">
        <f t="shared" ref="C40:C46" si="12">G40+K40+W40+O40+S40</f>
        <v>58119900</v>
      </c>
      <c r="D40" s="47">
        <f t="shared" si="0"/>
        <v>56798900</v>
      </c>
      <c r="E40" s="47">
        <f t="shared" si="1"/>
        <v>57773900</v>
      </c>
      <c r="F40" s="47">
        <f t="shared" si="2"/>
        <v>58281744</v>
      </c>
      <c r="G40" s="47">
        <v>58119900</v>
      </c>
      <c r="H40" s="47">
        <v>56798900</v>
      </c>
      <c r="I40" s="47">
        <f>56798900+975000</f>
        <v>57773900</v>
      </c>
      <c r="J40" s="47">
        <v>58281744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63" x14ac:dyDescent="0.2">
      <c r="A41" s="6">
        <v>37</v>
      </c>
      <c r="B41" s="9" t="s">
        <v>105</v>
      </c>
      <c r="C41" s="47">
        <f t="shared" si="12"/>
        <v>29850387</v>
      </c>
      <c r="D41" s="47">
        <f t="shared" si="0"/>
        <v>26004832</v>
      </c>
      <c r="E41" s="47">
        <f t="shared" si="1"/>
        <v>28212984</v>
      </c>
      <c r="F41" s="47">
        <f t="shared" si="2"/>
        <v>28212984</v>
      </c>
      <c r="G41" s="47">
        <f>11770000+10070762+8009625</f>
        <v>29850387</v>
      </c>
      <c r="H41" s="47">
        <v>26004832</v>
      </c>
      <c r="I41" s="47">
        <f>26004832+1026000+1182152</f>
        <v>28212984</v>
      </c>
      <c r="J41" s="47">
        <v>28212984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63" x14ac:dyDescent="0.2">
      <c r="A42" s="6">
        <v>38</v>
      </c>
      <c r="B42" s="9" t="s">
        <v>106</v>
      </c>
      <c r="C42" s="47">
        <f t="shared" si="12"/>
        <v>2816001</v>
      </c>
      <c r="D42" s="47">
        <f t="shared" si="0"/>
        <v>2640220</v>
      </c>
      <c r="E42" s="47">
        <f t="shared" si="1"/>
        <v>2729220</v>
      </c>
      <c r="F42" s="47">
        <f t="shared" si="2"/>
        <v>2729220</v>
      </c>
      <c r="G42" s="47">
        <v>2816001</v>
      </c>
      <c r="H42" s="47">
        <v>2640220</v>
      </c>
      <c r="I42" s="47">
        <f>2640220+89000</f>
        <v>2729220</v>
      </c>
      <c r="J42" s="47">
        <v>2729220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63" x14ac:dyDescent="0.2">
      <c r="A43" s="6">
        <v>39</v>
      </c>
      <c r="B43" s="9" t="s">
        <v>107</v>
      </c>
      <c r="C43" s="47">
        <f t="shared" si="12"/>
        <v>0</v>
      </c>
      <c r="D43" s="47">
        <f t="shared" si="0"/>
        <v>0</v>
      </c>
      <c r="E43" s="47">
        <f t="shared" si="1"/>
        <v>0</v>
      </c>
      <c r="F43" s="47">
        <f t="shared" si="2"/>
        <v>0</v>
      </c>
      <c r="G43" s="47"/>
      <c r="H43" s="47">
        <v>0</v>
      </c>
      <c r="I43" s="47">
        <v>0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63" x14ac:dyDescent="0.2">
      <c r="A44" s="6">
        <v>40</v>
      </c>
      <c r="B44" s="9" t="s">
        <v>132</v>
      </c>
      <c r="C44" s="47">
        <f t="shared" si="12"/>
        <v>0</v>
      </c>
      <c r="D44" s="47">
        <f t="shared" si="0"/>
        <v>0</v>
      </c>
      <c r="E44" s="47">
        <f t="shared" si="1"/>
        <v>0</v>
      </c>
      <c r="F44" s="47">
        <f t="shared" si="2"/>
        <v>0</v>
      </c>
      <c r="G44" s="47"/>
      <c r="H44" s="47">
        <v>0</v>
      </c>
      <c r="I44" s="47">
        <v>0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63" x14ac:dyDescent="0.2">
      <c r="A45" s="6">
        <v>41</v>
      </c>
      <c r="B45" s="9" t="s">
        <v>141</v>
      </c>
      <c r="C45" s="47">
        <f t="shared" si="12"/>
        <v>0</v>
      </c>
      <c r="D45" s="47">
        <f t="shared" ref="D45:D76" si="13">H45+L45+X45+P45+T45</f>
        <v>0</v>
      </c>
      <c r="E45" s="47">
        <f t="shared" ref="E45:E76" si="14">I45+M45+Y45+Q45+U45</f>
        <v>0</v>
      </c>
      <c r="F45" s="47">
        <f t="shared" ref="F45:F76" si="15">J45+N45+Z45+R45+V45</f>
        <v>6084055</v>
      </c>
      <c r="G45" s="47"/>
      <c r="H45" s="47"/>
      <c r="I45" s="47"/>
      <c r="J45" s="47">
        <v>6084055</v>
      </c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63" x14ac:dyDescent="0.2">
      <c r="A46" s="6">
        <v>42</v>
      </c>
      <c r="B46" s="9" t="s">
        <v>131</v>
      </c>
      <c r="C46" s="47">
        <f t="shared" si="12"/>
        <v>0</v>
      </c>
      <c r="D46" s="47">
        <f t="shared" si="13"/>
        <v>0</v>
      </c>
      <c r="E46" s="47">
        <f t="shared" si="14"/>
        <v>0</v>
      </c>
      <c r="F46" s="47">
        <f t="shared" si="15"/>
        <v>0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63" s="2" customFormat="1" x14ac:dyDescent="0.2">
      <c r="A47" s="24">
        <v>43</v>
      </c>
      <c r="B47" s="22" t="s">
        <v>108</v>
      </c>
      <c r="C47" s="49">
        <f>G47+K47+W47+O47+S47</f>
        <v>152101382</v>
      </c>
      <c r="D47" s="49">
        <f t="shared" si="13"/>
        <v>133238043</v>
      </c>
      <c r="E47" s="49">
        <f t="shared" si="14"/>
        <v>138337195</v>
      </c>
      <c r="F47" s="49">
        <f t="shared" si="15"/>
        <v>144945153</v>
      </c>
      <c r="G47" s="50">
        <f>SUM(G39:G44)</f>
        <v>152101382</v>
      </c>
      <c r="H47" s="50">
        <f>SUM(H39:H44)</f>
        <v>133238043</v>
      </c>
      <c r="I47" s="50">
        <f>SUM(I39:I46)</f>
        <v>138337195</v>
      </c>
      <c r="J47" s="50">
        <f>SUM(J39:J46)</f>
        <v>144945153</v>
      </c>
      <c r="K47" s="50"/>
      <c r="L47" s="50">
        <f t="shared" ref="L47:Z47" si="16">SUM(L39:L44)</f>
        <v>0</v>
      </c>
      <c r="M47" s="50">
        <f t="shared" si="16"/>
        <v>0</v>
      </c>
      <c r="N47" s="50">
        <f t="shared" si="16"/>
        <v>0</v>
      </c>
      <c r="O47" s="50"/>
      <c r="P47" s="50">
        <f t="shared" si="16"/>
        <v>0</v>
      </c>
      <c r="Q47" s="50">
        <f t="shared" si="16"/>
        <v>0</v>
      </c>
      <c r="R47" s="50">
        <f t="shared" si="16"/>
        <v>0</v>
      </c>
      <c r="S47" s="50"/>
      <c r="T47" s="50">
        <f t="shared" si="16"/>
        <v>0</v>
      </c>
      <c r="U47" s="50">
        <f t="shared" si="16"/>
        <v>0</v>
      </c>
      <c r="V47" s="50">
        <f t="shared" si="16"/>
        <v>0</v>
      </c>
      <c r="W47" s="50"/>
      <c r="X47" s="50">
        <f t="shared" si="16"/>
        <v>0</v>
      </c>
      <c r="Y47" s="50">
        <f t="shared" si="16"/>
        <v>0</v>
      </c>
      <c r="Z47" s="50">
        <f t="shared" si="16"/>
        <v>0</v>
      </c>
    </row>
    <row r="48" spans="1:63" x14ac:dyDescent="0.2">
      <c r="A48" s="6">
        <v>44</v>
      </c>
      <c r="B48" s="9" t="s">
        <v>109</v>
      </c>
      <c r="C48" s="9"/>
      <c r="D48" s="47">
        <f t="shared" si="13"/>
        <v>0</v>
      </c>
      <c r="E48" s="47">
        <f t="shared" si="14"/>
        <v>0</v>
      </c>
      <c r="F48" s="47">
        <f t="shared" si="15"/>
        <v>0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x14ac:dyDescent="0.2">
      <c r="A49" s="6">
        <v>45</v>
      </c>
      <c r="B49" s="9" t="s">
        <v>34</v>
      </c>
      <c r="C49" s="47">
        <f t="shared" ref="C49:C54" si="17">G49+K49+W49+O49+S49</f>
        <v>5292500</v>
      </c>
      <c r="D49" s="47">
        <f t="shared" si="13"/>
        <v>5292500</v>
      </c>
      <c r="E49" s="47">
        <f>I49+M49+Y49+Q49+U49</f>
        <v>5292500</v>
      </c>
      <c r="F49" s="47">
        <f t="shared" si="15"/>
        <v>6612900</v>
      </c>
      <c r="G49" s="47">
        <v>73200</v>
      </c>
      <c r="H49" s="47">
        <v>73200</v>
      </c>
      <c r="I49" s="47">
        <v>73200</v>
      </c>
      <c r="J49" s="47">
        <f>55800+28550</f>
        <v>84350</v>
      </c>
      <c r="K49" s="47">
        <v>5219300</v>
      </c>
      <c r="L49" s="47">
        <v>5219300</v>
      </c>
      <c r="M49" s="47">
        <v>5219300</v>
      </c>
      <c r="N49" s="47">
        <v>6528550</v>
      </c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x14ac:dyDescent="0.2">
      <c r="A50" s="6">
        <v>46</v>
      </c>
      <c r="B50" s="9" t="s">
        <v>161</v>
      </c>
      <c r="C50" s="47">
        <f t="shared" si="17"/>
        <v>0</v>
      </c>
      <c r="D50" s="47">
        <f t="shared" si="13"/>
        <v>0</v>
      </c>
      <c r="E50" s="47">
        <f t="shared" si="14"/>
        <v>1647247</v>
      </c>
      <c r="F50" s="47">
        <f t="shared" si="15"/>
        <v>1647247</v>
      </c>
      <c r="G50" s="47"/>
      <c r="H50" s="47">
        <v>0</v>
      </c>
      <c r="I50" s="47">
        <v>1647247</v>
      </c>
      <c r="J50" s="47">
        <v>1647247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x14ac:dyDescent="0.2">
      <c r="A51" s="6">
        <v>47</v>
      </c>
      <c r="B51" s="9" t="s">
        <v>114</v>
      </c>
      <c r="C51" s="47">
        <f t="shared" si="17"/>
        <v>3130752</v>
      </c>
      <c r="D51" s="47">
        <f t="shared" si="13"/>
        <v>3798228</v>
      </c>
      <c r="E51" s="47">
        <f t="shared" si="14"/>
        <v>3798228</v>
      </c>
      <c r="F51" s="47">
        <f t="shared" si="15"/>
        <v>2613490</v>
      </c>
      <c r="G51" s="47">
        <v>3130752</v>
      </c>
      <c r="H51" s="47">
        <v>3798228</v>
      </c>
      <c r="I51" s="47">
        <v>3798228</v>
      </c>
      <c r="J51" s="47">
        <v>2613490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>
        <v>0</v>
      </c>
      <c r="Z51" s="47"/>
    </row>
    <row r="52" spans="1:26" x14ac:dyDescent="0.2">
      <c r="A52" s="6">
        <v>48</v>
      </c>
      <c r="B52" s="9" t="s">
        <v>37</v>
      </c>
      <c r="C52" s="47">
        <f t="shared" si="17"/>
        <v>0</v>
      </c>
      <c r="D52" s="47">
        <f t="shared" si="13"/>
        <v>0</v>
      </c>
      <c r="E52" s="47">
        <f t="shared" si="14"/>
        <v>6822065</v>
      </c>
      <c r="F52" s="47">
        <f t="shared" si="15"/>
        <v>6822065</v>
      </c>
      <c r="G52" s="47"/>
      <c r="H52" s="47"/>
      <c r="I52" s="47">
        <v>6822065</v>
      </c>
      <c r="J52" s="47">
        <v>6822065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x14ac:dyDescent="0.2">
      <c r="A53" s="6">
        <v>49</v>
      </c>
      <c r="B53" s="9" t="s">
        <v>38</v>
      </c>
      <c r="C53" s="47">
        <f t="shared" si="17"/>
        <v>0</v>
      </c>
      <c r="D53" s="47">
        <f t="shared" si="13"/>
        <v>5088000</v>
      </c>
      <c r="E53" s="47">
        <f t="shared" si="14"/>
        <v>5088000</v>
      </c>
      <c r="F53" s="47">
        <f t="shared" si="15"/>
        <v>5088000</v>
      </c>
      <c r="G53" s="47"/>
      <c r="H53" s="47">
        <v>5088000</v>
      </c>
      <c r="I53" s="47">
        <f>5088000</f>
        <v>5088000</v>
      </c>
      <c r="J53" s="47">
        <f>5088000</f>
        <v>5088000</v>
      </c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s="2" customFormat="1" x14ac:dyDescent="0.2">
      <c r="A54" s="24">
        <v>50</v>
      </c>
      <c r="B54" s="22" t="s">
        <v>33</v>
      </c>
      <c r="C54" s="49">
        <f t="shared" si="17"/>
        <v>8423252</v>
      </c>
      <c r="D54" s="49">
        <f t="shared" si="13"/>
        <v>14178728</v>
      </c>
      <c r="E54" s="49">
        <f t="shared" si="14"/>
        <v>22648040</v>
      </c>
      <c r="F54" s="49">
        <f t="shared" si="15"/>
        <v>22783702</v>
      </c>
      <c r="G54" s="50">
        <f t="shared" ref="G54:Z54" si="18">SUM(G49:G53)</f>
        <v>3203952</v>
      </c>
      <c r="H54" s="50">
        <f t="shared" si="18"/>
        <v>8959428</v>
      </c>
      <c r="I54" s="50">
        <f>SUM(I49:I53)</f>
        <v>17428740</v>
      </c>
      <c r="J54" s="50">
        <f t="shared" si="18"/>
        <v>16255152</v>
      </c>
      <c r="K54" s="50">
        <f t="shared" si="18"/>
        <v>5219300</v>
      </c>
      <c r="L54" s="50">
        <f t="shared" si="18"/>
        <v>5219300</v>
      </c>
      <c r="M54" s="50">
        <f t="shared" si="18"/>
        <v>5219300</v>
      </c>
      <c r="N54" s="50">
        <f t="shared" si="18"/>
        <v>6528550</v>
      </c>
      <c r="O54" s="50"/>
      <c r="P54" s="50">
        <f t="shared" si="18"/>
        <v>0</v>
      </c>
      <c r="Q54" s="50">
        <f t="shared" si="18"/>
        <v>0</v>
      </c>
      <c r="R54" s="50">
        <f t="shared" si="18"/>
        <v>0</v>
      </c>
      <c r="S54" s="50"/>
      <c r="T54" s="50">
        <f t="shared" si="18"/>
        <v>0</v>
      </c>
      <c r="U54" s="50">
        <f t="shared" si="18"/>
        <v>0</v>
      </c>
      <c r="V54" s="50">
        <f t="shared" si="18"/>
        <v>0</v>
      </c>
      <c r="W54" s="50"/>
      <c r="X54" s="50">
        <f t="shared" si="18"/>
        <v>0</v>
      </c>
      <c r="Y54" s="50">
        <f t="shared" si="18"/>
        <v>0</v>
      </c>
      <c r="Z54" s="50">
        <f t="shared" si="18"/>
        <v>0</v>
      </c>
    </row>
    <row r="55" spans="1:26" s="2" customFormat="1" x14ac:dyDescent="0.2">
      <c r="A55" s="24">
        <v>51</v>
      </c>
      <c r="B55" s="9" t="s">
        <v>110</v>
      </c>
      <c r="C55" s="9"/>
      <c r="D55" s="47">
        <f t="shared" si="13"/>
        <v>0</v>
      </c>
      <c r="E55" s="47">
        <f t="shared" si="14"/>
        <v>0</v>
      </c>
      <c r="F55" s="47">
        <f t="shared" si="15"/>
        <v>0</v>
      </c>
      <c r="G55" s="47"/>
      <c r="H55" s="50"/>
      <c r="I55" s="51">
        <v>0</v>
      </c>
      <c r="J55" s="47"/>
      <c r="K55" s="47"/>
      <c r="L55" s="50"/>
      <c r="M55" s="50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50"/>
      <c r="Y55" s="50"/>
      <c r="Z55" s="47"/>
    </row>
    <row r="56" spans="1:26" s="2" customFormat="1" x14ac:dyDescent="0.2">
      <c r="A56" s="24">
        <v>52</v>
      </c>
      <c r="B56" s="9" t="s">
        <v>138</v>
      </c>
      <c r="C56" s="47">
        <f>G56+K56+W56+O56+S56</f>
        <v>0</v>
      </c>
      <c r="D56" s="47">
        <f t="shared" si="13"/>
        <v>0</v>
      </c>
      <c r="E56" s="47">
        <f t="shared" si="14"/>
        <v>0</v>
      </c>
      <c r="F56" s="47">
        <f t="shared" si="15"/>
        <v>1780881</v>
      </c>
      <c r="G56" s="47"/>
      <c r="H56" s="50"/>
      <c r="I56" s="51">
        <v>0</v>
      </c>
      <c r="J56" s="47">
        <v>1780881</v>
      </c>
      <c r="K56" s="47"/>
      <c r="L56" s="50"/>
      <c r="M56" s="50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50"/>
      <c r="Y56" s="50"/>
      <c r="Z56" s="47"/>
    </row>
    <row r="57" spans="1:26" s="2" customFormat="1" x14ac:dyDescent="0.2">
      <c r="A57" s="24">
        <v>53</v>
      </c>
      <c r="B57" s="22" t="s">
        <v>12</v>
      </c>
      <c r="C57" s="49">
        <f>G57+K57+W57+O57+S57</f>
        <v>218613981</v>
      </c>
      <c r="D57" s="49">
        <f t="shared" si="13"/>
        <v>204806118</v>
      </c>
      <c r="E57" s="49">
        <f t="shared" si="14"/>
        <v>243621804</v>
      </c>
      <c r="F57" s="49">
        <f>J57+N57+Z57+R57+V57</f>
        <v>224167958</v>
      </c>
      <c r="G57" s="50">
        <f t="shared" ref="G57:Z57" si="19">G37+G38+G47+G54+G56</f>
        <v>213394681</v>
      </c>
      <c r="H57" s="50">
        <f t="shared" si="19"/>
        <v>199586818</v>
      </c>
      <c r="I57" s="50">
        <f>I37+I38+I47+I54+I56+I55</f>
        <v>234940605</v>
      </c>
      <c r="J57" s="50">
        <f>J37+J38+J47+J54+J56</f>
        <v>213343633</v>
      </c>
      <c r="K57" s="50">
        <f t="shared" si="19"/>
        <v>5219300</v>
      </c>
      <c r="L57" s="50">
        <f t="shared" si="19"/>
        <v>5219300</v>
      </c>
      <c r="M57" s="50">
        <f t="shared" si="19"/>
        <v>5219300</v>
      </c>
      <c r="N57" s="50">
        <f t="shared" si="19"/>
        <v>6528550</v>
      </c>
      <c r="O57" s="50"/>
      <c r="P57" s="50">
        <f t="shared" si="19"/>
        <v>0</v>
      </c>
      <c r="Q57" s="50">
        <f t="shared" si="19"/>
        <v>3434000</v>
      </c>
      <c r="R57" s="50">
        <f t="shared" si="19"/>
        <v>3433100</v>
      </c>
      <c r="S57" s="50"/>
      <c r="T57" s="50">
        <f t="shared" si="19"/>
        <v>0</v>
      </c>
      <c r="U57" s="50">
        <f t="shared" si="19"/>
        <v>27899</v>
      </c>
      <c r="V57" s="50">
        <f t="shared" si="19"/>
        <v>862675</v>
      </c>
      <c r="W57" s="50"/>
      <c r="X57" s="50">
        <f t="shared" si="19"/>
        <v>0</v>
      </c>
      <c r="Y57" s="50">
        <f t="shared" si="19"/>
        <v>0</v>
      </c>
      <c r="Z57" s="50">
        <f t="shared" si="19"/>
        <v>0</v>
      </c>
    </row>
    <row r="58" spans="1:26" s="2" customFormat="1" x14ac:dyDescent="0.2">
      <c r="A58" s="24">
        <v>54</v>
      </c>
      <c r="B58" s="9" t="s">
        <v>111</v>
      </c>
      <c r="C58" s="47">
        <f>G58+K58+W58+O58+S58</f>
        <v>0</v>
      </c>
      <c r="D58" s="47">
        <f t="shared" si="13"/>
        <v>0</v>
      </c>
      <c r="E58" s="47">
        <f t="shared" si="14"/>
        <v>0</v>
      </c>
      <c r="F58" s="47">
        <f t="shared" si="15"/>
        <v>0</v>
      </c>
      <c r="G58" s="47"/>
      <c r="H58" s="50"/>
      <c r="I58" s="50"/>
      <c r="J58" s="47"/>
      <c r="K58" s="47"/>
      <c r="L58" s="50"/>
      <c r="M58" s="50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50"/>
      <c r="Y58" s="50"/>
      <c r="Z58" s="47"/>
    </row>
    <row r="59" spans="1:26" x14ac:dyDescent="0.2">
      <c r="A59" s="6">
        <v>55</v>
      </c>
      <c r="B59" s="9" t="s">
        <v>35</v>
      </c>
      <c r="C59" s="47">
        <f t="shared" ref="C59:C67" si="20">G59+K59+W59+O59+S59</f>
        <v>0</v>
      </c>
      <c r="D59" s="47">
        <f t="shared" si="13"/>
        <v>0</v>
      </c>
      <c r="E59" s="47">
        <f t="shared" si="14"/>
        <v>0</v>
      </c>
      <c r="F59" s="47">
        <f t="shared" si="15"/>
        <v>0</v>
      </c>
      <c r="G59" s="47"/>
      <c r="H59" s="47">
        <v>0</v>
      </c>
      <c r="I59" s="47">
        <v>0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x14ac:dyDescent="0.2">
      <c r="A60" s="6">
        <v>56</v>
      </c>
      <c r="B60" s="9" t="s">
        <v>36</v>
      </c>
      <c r="C60" s="47">
        <f t="shared" si="20"/>
        <v>0</v>
      </c>
      <c r="D60" s="47">
        <f t="shared" si="13"/>
        <v>0</v>
      </c>
      <c r="E60" s="47">
        <f t="shared" si="14"/>
        <v>0</v>
      </c>
      <c r="F60" s="47">
        <f t="shared" si="15"/>
        <v>0</v>
      </c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x14ac:dyDescent="0.2">
      <c r="A61" s="6">
        <v>57</v>
      </c>
      <c r="B61" s="9" t="s">
        <v>37</v>
      </c>
      <c r="C61" s="47">
        <f t="shared" si="20"/>
        <v>0</v>
      </c>
      <c r="D61" s="47">
        <f t="shared" si="13"/>
        <v>0</v>
      </c>
      <c r="E61" s="47">
        <f t="shared" si="14"/>
        <v>171596105</v>
      </c>
      <c r="F61" s="47">
        <f t="shared" si="15"/>
        <v>171596105</v>
      </c>
      <c r="G61" s="47"/>
      <c r="H61" s="47"/>
      <c r="I61" s="47">
        <f>169691105+1905000</f>
        <v>171596105</v>
      </c>
      <c r="J61" s="47">
        <v>171596105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x14ac:dyDescent="0.2">
      <c r="A62" s="6">
        <v>58</v>
      </c>
      <c r="B62" s="9" t="s">
        <v>130</v>
      </c>
      <c r="C62" s="47">
        <f t="shared" si="20"/>
        <v>0</v>
      </c>
      <c r="D62" s="47">
        <f t="shared" si="13"/>
        <v>0</v>
      </c>
      <c r="E62" s="47">
        <f t="shared" si="14"/>
        <v>56385533</v>
      </c>
      <c r="F62" s="47">
        <f t="shared" si="15"/>
        <v>56385533</v>
      </c>
      <c r="G62" s="47"/>
      <c r="H62" s="47"/>
      <c r="I62" s="47">
        <f>52659216+3726317</f>
        <v>56385533</v>
      </c>
      <c r="J62" s="47">
        <v>56385533</v>
      </c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x14ac:dyDescent="0.2">
      <c r="A63" s="6">
        <v>59</v>
      </c>
      <c r="B63" s="9" t="s">
        <v>112</v>
      </c>
      <c r="C63" s="47">
        <f t="shared" si="20"/>
        <v>0</v>
      </c>
      <c r="D63" s="47">
        <f t="shared" si="13"/>
        <v>0</v>
      </c>
      <c r="E63" s="47">
        <f t="shared" si="14"/>
        <v>9062224</v>
      </c>
      <c r="F63" s="47">
        <f t="shared" si="15"/>
        <v>9062224</v>
      </c>
      <c r="G63" s="47"/>
      <c r="H63" s="47"/>
      <c r="I63" s="47">
        <v>9062224</v>
      </c>
      <c r="J63" s="47">
        <v>9062224</v>
      </c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x14ac:dyDescent="0.2">
      <c r="A64" s="6">
        <v>60</v>
      </c>
      <c r="B64" s="9" t="s">
        <v>162</v>
      </c>
      <c r="C64" s="47">
        <f t="shared" si="20"/>
        <v>0</v>
      </c>
      <c r="D64" s="47">
        <f t="shared" si="13"/>
        <v>0</v>
      </c>
      <c r="E64" s="47">
        <f t="shared" si="14"/>
        <v>0</v>
      </c>
      <c r="F64" s="47">
        <f t="shared" si="15"/>
        <v>1090000</v>
      </c>
      <c r="G64" s="47"/>
      <c r="H64" s="47"/>
      <c r="I64" s="47"/>
      <c r="J64" s="47">
        <v>1090000</v>
      </c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x14ac:dyDescent="0.2">
      <c r="A65" s="6">
        <v>61</v>
      </c>
      <c r="B65" s="9" t="s">
        <v>144</v>
      </c>
      <c r="C65" s="47">
        <f t="shared" si="20"/>
        <v>0</v>
      </c>
      <c r="D65" s="47">
        <f t="shared" si="13"/>
        <v>0</v>
      </c>
      <c r="E65" s="47">
        <f t="shared" si="14"/>
        <v>0</v>
      </c>
      <c r="F65" s="47">
        <f t="shared" si="15"/>
        <v>0</v>
      </c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x14ac:dyDescent="0.2">
      <c r="A66" s="6">
        <v>62</v>
      </c>
      <c r="B66" s="9" t="s">
        <v>113</v>
      </c>
      <c r="C66" s="47">
        <f t="shared" si="20"/>
        <v>0</v>
      </c>
      <c r="D66" s="47">
        <f t="shared" si="13"/>
        <v>0</v>
      </c>
      <c r="E66" s="47">
        <f t="shared" si="14"/>
        <v>0</v>
      </c>
      <c r="F66" s="47">
        <f t="shared" si="15"/>
        <v>0</v>
      </c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x14ac:dyDescent="0.2">
      <c r="A67" s="6">
        <v>63</v>
      </c>
      <c r="B67" s="9" t="s">
        <v>40</v>
      </c>
      <c r="C67" s="47">
        <f t="shared" si="20"/>
        <v>0</v>
      </c>
      <c r="D67" s="47">
        <f t="shared" si="13"/>
        <v>0</v>
      </c>
      <c r="E67" s="47">
        <f t="shared" si="14"/>
        <v>0</v>
      </c>
      <c r="F67" s="47">
        <f t="shared" si="15"/>
        <v>0</v>
      </c>
      <c r="G67" s="47"/>
      <c r="H67" s="47">
        <v>0</v>
      </c>
      <c r="I67" s="47">
        <v>0</v>
      </c>
      <c r="J67" s="47">
        <v>0</v>
      </c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s="2" customFormat="1" x14ac:dyDescent="0.2">
      <c r="A68" s="24">
        <v>64</v>
      </c>
      <c r="B68" s="22" t="s">
        <v>42</v>
      </c>
      <c r="C68" s="49">
        <f>G68+K68+W68+O68+S68</f>
        <v>0</v>
      </c>
      <c r="D68" s="49">
        <f t="shared" si="13"/>
        <v>0</v>
      </c>
      <c r="E68" s="49">
        <f t="shared" si="14"/>
        <v>237043862</v>
      </c>
      <c r="F68" s="49">
        <f t="shared" si="15"/>
        <v>238133862</v>
      </c>
      <c r="G68" s="50">
        <f>G59+G64+G65+G60+G62+G67</f>
        <v>0</v>
      </c>
      <c r="H68" s="50">
        <f>H59+H64+H65+H60+H62+H67</f>
        <v>0</v>
      </c>
      <c r="I68" s="50">
        <f>SUM(I59:I67)</f>
        <v>237043862</v>
      </c>
      <c r="J68" s="50">
        <f>SUM(J59:J67)</f>
        <v>238133862</v>
      </c>
      <c r="K68" s="50">
        <f t="shared" ref="K68:X68" si="21">SUM(K64)</f>
        <v>0</v>
      </c>
      <c r="L68" s="50">
        <f t="shared" si="21"/>
        <v>0</v>
      </c>
      <c r="M68" s="50">
        <f t="shared" si="21"/>
        <v>0</v>
      </c>
      <c r="N68" s="50">
        <f t="shared" si="21"/>
        <v>0</v>
      </c>
      <c r="O68" s="50"/>
      <c r="P68" s="50">
        <f t="shared" si="21"/>
        <v>0</v>
      </c>
      <c r="Q68" s="50">
        <f t="shared" si="21"/>
        <v>0</v>
      </c>
      <c r="R68" s="50">
        <f t="shared" si="21"/>
        <v>0</v>
      </c>
      <c r="S68" s="50"/>
      <c r="T68" s="50">
        <f t="shared" si="21"/>
        <v>0</v>
      </c>
      <c r="U68" s="50">
        <f t="shared" si="21"/>
        <v>0</v>
      </c>
      <c r="V68" s="50">
        <f t="shared" si="21"/>
        <v>0</v>
      </c>
      <c r="W68" s="50"/>
      <c r="X68" s="50">
        <f t="shared" si="21"/>
        <v>0</v>
      </c>
      <c r="Y68" s="50"/>
      <c r="Z68" s="47"/>
    </row>
    <row r="69" spans="1:26" s="1" customFormat="1" x14ac:dyDescent="0.2">
      <c r="A69" s="25">
        <v>65</v>
      </c>
      <c r="B69" s="23" t="s">
        <v>14</v>
      </c>
      <c r="C69" s="49">
        <f>G69+K69+W69+O69+S69</f>
        <v>218613981</v>
      </c>
      <c r="D69" s="49">
        <f t="shared" si="13"/>
        <v>204806118</v>
      </c>
      <c r="E69" s="49">
        <f t="shared" si="14"/>
        <v>480665666</v>
      </c>
      <c r="F69" s="49">
        <f t="shared" si="15"/>
        <v>462301820</v>
      </c>
      <c r="G69" s="49">
        <f t="shared" ref="G69:Z69" si="22">G57+G68</f>
        <v>213394681</v>
      </c>
      <c r="H69" s="49">
        <f t="shared" si="22"/>
        <v>199586818</v>
      </c>
      <c r="I69" s="49">
        <f>I57+I68</f>
        <v>471984467</v>
      </c>
      <c r="J69" s="49">
        <f t="shared" si="22"/>
        <v>451477495</v>
      </c>
      <c r="K69" s="49">
        <f t="shared" si="22"/>
        <v>5219300</v>
      </c>
      <c r="L69" s="49">
        <f t="shared" si="22"/>
        <v>5219300</v>
      </c>
      <c r="M69" s="49">
        <f t="shared" si="22"/>
        <v>5219300</v>
      </c>
      <c r="N69" s="49">
        <f t="shared" si="22"/>
        <v>6528550</v>
      </c>
      <c r="O69" s="49"/>
      <c r="P69" s="49">
        <f t="shared" si="22"/>
        <v>0</v>
      </c>
      <c r="Q69" s="49">
        <f t="shared" si="22"/>
        <v>3434000</v>
      </c>
      <c r="R69" s="49">
        <f t="shared" si="22"/>
        <v>3433100</v>
      </c>
      <c r="S69" s="49"/>
      <c r="T69" s="49">
        <f t="shared" si="22"/>
        <v>0</v>
      </c>
      <c r="U69" s="49">
        <f t="shared" si="22"/>
        <v>27899</v>
      </c>
      <c r="V69" s="49">
        <f t="shared" si="22"/>
        <v>862675</v>
      </c>
      <c r="W69" s="49"/>
      <c r="X69" s="49">
        <f t="shared" si="22"/>
        <v>0</v>
      </c>
      <c r="Y69" s="49">
        <f t="shared" si="22"/>
        <v>0</v>
      </c>
      <c r="Z69" s="49">
        <f t="shared" si="22"/>
        <v>0</v>
      </c>
    </row>
    <row r="70" spans="1:26" s="1" customFormat="1" x14ac:dyDescent="0.2">
      <c r="A70" s="25">
        <v>66</v>
      </c>
      <c r="B70" s="23" t="s">
        <v>26</v>
      </c>
      <c r="C70" s="23"/>
      <c r="D70" s="47">
        <f t="shared" si="13"/>
        <v>0</v>
      </c>
      <c r="E70" s="47">
        <f t="shared" si="14"/>
        <v>0</v>
      </c>
      <c r="F70" s="47">
        <f t="shared" si="15"/>
        <v>0</v>
      </c>
      <c r="G70" s="47"/>
      <c r="H70" s="49"/>
      <c r="I70" s="49"/>
      <c r="J70" s="47"/>
      <c r="K70" s="47"/>
      <c r="L70" s="49"/>
      <c r="M70" s="49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9"/>
      <c r="Y70" s="49"/>
      <c r="Z70" s="47"/>
    </row>
    <row r="71" spans="1:26" x14ac:dyDescent="0.2">
      <c r="A71" s="6">
        <v>67</v>
      </c>
      <c r="B71" s="9" t="s">
        <v>41</v>
      </c>
      <c r="C71" s="9"/>
      <c r="D71" s="47">
        <f t="shared" si="13"/>
        <v>0</v>
      </c>
      <c r="E71" s="47">
        <f t="shared" si="14"/>
        <v>0</v>
      </c>
      <c r="F71" s="47">
        <f t="shared" si="15"/>
        <v>0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x14ac:dyDescent="0.2">
      <c r="A72" s="6">
        <v>68</v>
      </c>
      <c r="B72" s="9" t="s">
        <v>13</v>
      </c>
      <c r="C72" s="47">
        <f t="shared" ref="C72:C82" si="23">G72+K72+W72+O72+S72</f>
        <v>13994362</v>
      </c>
      <c r="D72" s="47">
        <f t="shared" si="13"/>
        <v>0</v>
      </c>
      <c r="E72" s="47">
        <f t="shared" si="14"/>
        <v>0</v>
      </c>
      <c r="F72" s="47">
        <f t="shared" si="15"/>
        <v>0</v>
      </c>
      <c r="G72" s="47">
        <v>13994362</v>
      </c>
      <c r="H72" s="47"/>
      <c r="I72" s="47"/>
      <c r="J72" s="47"/>
      <c r="K72" s="47"/>
      <c r="L72" s="47"/>
      <c r="M72" s="47">
        <v>0</v>
      </c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x14ac:dyDescent="0.2">
      <c r="A73" s="6">
        <v>69</v>
      </c>
      <c r="B73" s="9" t="s">
        <v>24</v>
      </c>
      <c r="C73" s="47">
        <f t="shared" si="23"/>
        <v>0</v>
      </c>
      <c r="D73" s="47">
        <f t="shared" si="13"/>
        <v>0</v>
      </c>
      <c r="E73" s="47">
        <f t="shared" si="14"/>
        <v>119960271</v>
      </c>
      <c r="F73" s="47">
        <f t="shared" si="15"/>
        <v>119960271</v>
      </c>
      <c r="G73" s="47"/>
      <c r="H73" s="47">
        <v>0</v>
      </c>
      <c r="I73" s="47">
        <v>119960271</v>
      </c>
      <c r="J73" s="47">
        <v>119960271</v>
      </c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s="1" customFormat="1" x14ac:dyDescent="0.2">
      <c r="A74" s="25">
        <v>70</v>
      </c>
      <c r="B74" s="23" t="s">
        <v>15</v>
      </c>
      <c r="C74" s="49">
        <f t="shared" si="23"/>
        <v>13994362</v>
      </c>
      <c r="D74" s="49">
        <f t="shared" si="13"/>
        <v>0</v>
      </c>
      <c r="E74" s="49">
        <f t="shared" si="14"/>
        <v>119960271</v>
      </c>
      <c r="F74" s="49">
        <f t="shared" si="15"/>
        <v>119960271</v>
      </c>
      <c r="G74" s="49">
        <f>SUM(G72:G73)</f>
        <v>13994362</v>
      </c>
      <c r="H74" s="49">
        <f>SUM(H72:H73)</f>
        <v>0</v>
      </c>
      <c r="I74" s="49">
        <f>SUM(I71:I73)</f>
        <v>119960271</v>
      </c>
      <c r="J74" s="49">
        <f>SUM(J71:J73)</f>
        <v>119960271</v>
      </c>
      <c r="K74" s="49">
        <f t="shared" ref="K74:Z74" si="24">SUM(K72)</f>
        <v>0</v>
      </c>
      <c r="L74" s="49">
        <f t="shared" si="24"/>
        <v>0</v>
      </c>
      <c r="M74" s="49">
        <f t="shared" si="24"/>
        <v>0</v>
      </c>
      <c r="N74" s="49">
        <f t="shared" si="24"/>
        <v>0</v>
      </c>
      <c r="O74" s="49"/>
      <c r="P74" s="49">
        <f t="shared" si="24"/>
        <v>0</v>
      </c>
      <c r="Q74" s="49">
        <f t="shared" si="24"/>
        <v>0</v>
      </c>
      <c r="R74" s="49">
        <f t="shared" si="24"/>
        <v>0</v>
      </c>
      <c r="S74" s="49"/>
      <c r="T74" s="49">
        <f t="shared" si="24"/>
        <v>0</v>
      </c>
      <c r="U74" s="49">
        <f t="shared" si="24"/>
        <v>0</v>
      </c>
      <c r="V74" s="49">
        <f t="shared" si="24"/>
        <v>0</v>
      </c>
      <c r="W74" s="49"/>
      <c r="X74" s="49">
        <f t="shared" si="24"/>
        <v>0</v>
      </c>
      <c r="Y74" s="49">
        <f t="shared" si="24"/>
        <v>0</v>
      </c>
      <c r="Z74" s="49">
        <f t="shared" si="24"/>
        <v>0</v>
      </c>
    </row>
    <row r="75" spans="1:26" s="1" customFormat="1" x14ac:dyDescent="0.2">
      <c r="A75" s="25">
        <v>71</v>
      </c>
      <c r="B75" s="23" t="s">
        <v>22</v>
      </c>
      <c r="C75" s="49">
        <f t="shared" si="23"/>
        <v>232608343</v>
      </c>
      <c r="D75" s="49">
        <f t="shared" si="13"/>
        <v>204806118</v>
      </c>
      <c r="E75" s="49">
        <f t="shared" si="14"/>
        <v>600625937</v>
      </c>
      <c r="F75" s="49">
        <f t="shared" si="15"/>
        <v>582262091</v>
      </c>
      <c r="G75" s="49">
        <f t="shared" ref="G75:Z75" si="25">G69+G74</f>
        <v>227389043</v>
      </c>
      <c r="H75" s="49">
        <f t="shared" si="25"/>
        <v>199586818</v>
      </c>
      <c r="I75" s="49">
        <f t="shared" si="25"/>
        <v>591944738</v>
      </c>
      <c r="J75" s="49">
        <f t="shared" si="25"/>
        <v>571437766</v>
      </c>
      <c r="K75" s="49">
        <f t="shared" si="25"/>
        <v>5219300</v>
      </c>
      <c r="L75" s="49">
        <f t="shared" si="25"/>
        <v>5219300</v>
      </c>
      <c r="M75" s="49">
        <f t="shared" si="25"/>
        <v>5219300</v>
      </c>
      <c r="N75" s="49">
        <f t="shared" si="25"/>
        <v>6528550</v>
      </c>
      <c r="O75" s="49"/>
      <c r="P75" s="49">
        <f t="shared" si="25"/>
        <v>0</v>
      </c>
      <c r="Q75" s="49">
        <f t="shared" si="25"/>
        <v>3434000</v>
      </c>
      <c r="R75" s="49">
        <f t="shared" si="25"/>
        <v>3433100</v>
      </c>
      <c r="S75" s="49"/>
      <c r="T75" s="49">
        <f t="shared" si="25"/>
        <v>0</v>
      </c>
      <c r="U75" s="49">
        <f t="shared" si="25"/>
        <v>27899</v>
      </c>
      <c r="V75" s="49">
        <f t="shared" si="25"/>
        <v>862675</v>
      </c>
      <c r="W75" s="49"/>
      <c r="X75" s="49">
        <f t="shared" si="25"/>
        <v>0</v>
      </c>
      <c r="Y75" s="49">
        <f t="shared" si="25"/>
        <v>0</v>
      </c>
      <c r="Z75" s="49">
        <f t="shared" si="25"/>
        <v>0</v>
      </c>
    </row>
    <row r="76" spans="1:26" s="1" customFormat="1" x14ac:dyDescent="0.2">
      <c r="A76" s="25">
        <v>72</v>
      </c>
      <c r="B76" s="23" t="s">
        <v>45</v>
      </c>
      <c r="C76" s="49">
        <f t="shared" si="23"/>
        <v>0</v>
      </c>
      <c r="D76" s="49">
        <f t="shared" si="13"/>
        <v>0</v>
      </c>
      <c r="E76" s="49">
        <f t="shared" si="14"/>
        <v>0</v>
      </c>
      <c r="F76" s="49">
        <f t="shared" si="15"/>
        <v>0</v>
      </c>
      <c r="G76" s="49">
        <f t="shared" ref="G76:J79" si="26">-K76-W76-O76-S76</f>
        <v>-20382471</v>
      </c>
      <c r="H76" s="49">
        <f t="shared" si="26"/>
        <v>-15616425</v>
      </c>
      <c r="I76" s="49">
        <f t="shared" si="26"/>
        <v>-12991818</v>
      </c>
      <c r="J76" s="49">
        <f t="shared" si="26"/>
        <v>-4380586</v>
      </c>
      <c r="K76" s="49">
        <v>2454259</v>
      </c>
      <c r="L76" s="49">
        <v>1228247</v>
      </c>
      <c r="M76" s="49">
        <v>937099</v>
      </c>
      <c r="N76" s="49">
        <v>1921115</v>
      </c>
      <c r="O76" s="49">
        <v>12013713</v>
      </c>
      <c r="P76" s="49">
        <v>8433588</v>
      </c>
      <c r="Q76" s="49">
        <f>7888723-3382200+1665065</f>
        <v>6171588</v>
      </c>
      <c r="R76" s="49">
        <f>1260046+45000</f>
        <v>1305046</v>
      </c>
      <c r="S76" s="49">
        <v>4665679</v>
      </c>
      <c r="T76" s="49">
        <v>4705770</v>
      </c>
      <c r="U76" s="49">
        <f>3953277-451000+1175594-43560</f>
        <v>4634311</v>
      </c>
      <c r="V76" s="49">
        <v>536851</v>
      </c>
      <c r="W76" s="49">
        <v>1248820</v>
      </c>
      <c r="X76" s="49">
        <v>1248820</v>
      </c>
      <c r="Y76" s="49">
        <v>1248820</v>
      </c>
      <c r="Z76" s="49">
        <v>617574</v>
      </c>
    </row>
    <row r="77" spans="1:26" s="1" customFormat="1" x14ac:dyDescent="0.2">
      <c r="A77" s="25">
        <v>73</v>
      </c>
      <c r="B77" s="23" t="s">
        <v>20</v>
      </c>
      <c r="C77" s="49">
        <f t="shared" si="23"/>
        <v>0</v>
      </c>
      <c r="D77" s="49">
        <f t="shared" ref="D77:D82" si="27">H77+L77+X77+P77+T77</f>
        <v>0</v>
      </c>
      <c r="E77" s="49">
        <f t="shared" ref="E77:E82" si="28">I77+M77+Y77+Q77+U77</f>
        <v>0</v>
      </c>
      <c r="F77" s="49">
        <f t="shared" ref="F77:F82" si="29">J77+N77+Z77+R77+V77</f>
        <v>0</v>
      </c>
      <c r="G77" s="49">
        <f t="shared" si="26"/>
        <v>0</v>
      </c>
      <c r="H77" s="49">
        <f t="shared" si="26"/>
        <v>0</v>
      </c>
      <c r="I77" s="49">
        <f t="shared" si="26"/>
        <v>0</v>
      </c>
      <c r="J77" s="49">
        <f t="shared" si="26"/>
        <v>0</v>
      </c>
      <c r="K77" s="49"/>
      <c r="L77" s="49"/>
      <c r="M77" s="49"/>
      <c r="N77" s="47"/>
      <c r="O77" s="47"/>
      <c r="P77" s="49"/>
      <c r="Q77" s="49">
        <v>0</v>
      </c>
      <c r="R77" s="49"/>
      <c r="S77" s="49"/>
      <c r="T77" s="47"/>
      <c r="U77" s="49"/>
      <c r="V77" s="49"/>
      <c r="W77" s="49"/>
      <c r="X77" s="49"/>
      <c r="Y77" s="49"/>
      <c r="Z77" s="47"/>
    </row>
    <row r="78" spans="1:26" s="1" customFormat="1" x14ac:dyDescent="0.2">
      <c r="A78" s="25">
        <v>74</v>
      </c>
      <c r="B78" s="23" t="s">
        <v>21</v>
      </c>
      <c r="C78" s="49">
        <f t="shared" si="23"/>
        <v>0</v>
      </c>
      <c r="D78" s="49">
        <f t="shared" si="27"/>
        <v>0</v>
      </c>
      <c r="E78" s="49">
        <f t="shared" si="28"/>
        <v>0</v>
      </c>
      <c r="F78" s="49">
        <f t="shared" si="29"/>
        <v>0</v>
      </c>
      <c r="G78" s="49">
        <f t="shared" si="26"/>
        <v>-2816001</v>
      </c>
      <c r="H78" s="49">
        <f t="shared" si="26"/>
        <v>-2596660</v>
      </c>
      <c r="I78" s="49">
        <f t="shared" si="26"/>
        <v>-2640220</v>
      </c>
      <c r="J78" s="49">
        <f t="shared" si="26"/>
        <v>-2640220</v>
      </c>
      <c r="K78" s="49"/>
      <c r="L78" s="49"/>
      <c r="M78" s="49"/>
      <c r="N78" s="47"/>
      <c r="O78" s="47"/>
      <c r="P78" s="49"/>
      <c r="Q78" s="49">
        <v>0</v>
      </c>
      <c r="R78" s="49"/>
      <c r="S78" s="49">
        <v>2816001</v>
      </c>
      <c r="T78" s="49">
        <v>2596660</v>
      </c>
      <c r="U78" s="49">
        <v>2640220</v>
      </c>
      <c r="V78" s="49">
        <v>2640220</v>
      </c>
      <c r="W78" s="49"/>
      <c r="X78" s="49"/>
      <c r="Y78" s="49">
        <v>0</v>
      </c>
      <c r="Z78" s="47"/>
    </row>
    <row r="79" spans="1:26" s="1" customFormat="1" x14ac:dyDescent="0.2">
      <c r="A79" s="25">
        <v>75</v>
      </c>
      <c r="B79" s="23" t="s">
        <v>25</v>
      </c>
      <c r="C79" s="49">
        <f t="shared" si="23"/>
        <v>0</v>
      </c>
      <c r="D79" s="49">
        <f t="shared" si="27"/>
        <v>0</v>
      </c>
      <c r="E79" s="49">
        <f t="shared" si="28"/>
        <v>0</v>
      </c>
      <c r="F79" s="49">
        <f t="shared" si="29"/>
        <v>0</v>
      </c>
      <c r="G79" s="49">
        <f t="shared" si="26"/>
        <v>0</v>
      </c>
      <c r="H79" s="49">
        <f t="shared" si="26"/>
        <v>0</v>
      </c>
      <c r="I79" s="49">
        <f t="shared" si="26"/>
        <v>0</v>
      </c>
      <c r="J79" s="49">
        <f t="shared" si="26"/>
        <v>0</v>
      </c>
      <c r="K79" s="49"/>
      <c r="L79" s="49"/>
      <c r="M79" s="49"/>
      <c r="N79" s="47"/>
      <c r="O79" s="47"/>
      <c r="P79" s="49"/>
      <c r="Q79" s="49">
        <v>0</v>
      </c>
      <c r="R79" s="49"/>
      <c r="S79" s="49"/>
      <c r="T79" s="47"/>
      <c r="U79" s="49"/>
      <c r="V79" s="49"/>
      <c r="W79" s="49"/>
      <c r="X79" s="49"/>
      <c r="Y79" s="49"/>
      <c r="Z79" s="47"/>
    </row>
    <row r="80" spans="1:26" s="1" customFormat="1" x14ac:dyDescent="0.2">
      <c r="A80" s="25">
        <v>76</v>
      </c>
      <c r="B80" s="23" t="s">
        <v>134</v>
      </c>
      <c r="C80" s="49">
        <f t="shared" si="23"/>
        <v>0</v>
      </c>
      <c r="D80" s="49">
        <f t="shared" si="27"/>
        <v>0</v>
      </c>
      <c r="E80" s="49">
        <f t="shared" si="28"/>
        <v>0</v>
      </c>
      <c r="F80" s="49">
        <f t="shared" si="29"/>
        <v>0</v>
      </c>
      <c r="G80" s="49">
        <f t="shared" ref="G80:I81" si="30">-K80-W80-O80-S80</f>
        <v>0</v>
      </c>
      <c r="H80" s="49">
        <f t="shared" si="30"/>
        <v>0</v>
      </c>
      <c r="I80" s="49">
        <f t="shared" si="30"/>
        <v>0</v>
      </c>
      <c r="J80" s="49"/>
      <c r="K80" s="49"/>
      <c r="L80" s="49"/>
      <c r="M80" s="49"/>
      <c r="N80" s="47"/>
      <c r="O80" s="47"/>
      <c r="P80" s="49"/>
      <c r="Q80" s="49">
        <v>0</v>
      </c>
      <c r="R80" s="49"/>
      <c r="S80" s="49"/>
      <c r="T80" s="47"/>
      <c r="U80" s="49"/>
      <c r="V80" s="49"/>
      <c r="W80" s="49"/>
      <c r="X80" s="49"/>
      <c r="Y80" s="49"/>
      <c r="Z80" s="47"/>
    </row>
    <row r="81" spans="1:26" s="1" customFormat="1" x14ac:dyDescent="0.2">
      <c r="A81" s="25">
        <v>77</v>
      </c>
      <c r="B81" s="23" t="s">
        <v>118</v>
      </c>
      <c r="C81" s="49">
        <f t="shared" si="23"/>
        <v>0</v>
      </c>
      <c r="D81" s="49">
        <f t="shared" si="27"/>
        <v>0</v>
      </c>
      <c r="E81" s="49">
        <f t="shared" si="28"/>
        <v>0</v>
      </c>
      <c r="F81" s="49">
        <f t="shared" si="29"/>
        <v>0</v>
      </c>
      <c r="G81" s="49">
        <f t="shared" si="30"/>
        <v>0</v>
      </c>
      <c r="H81" s="49">
        <f t="shared" si="30"/>
        <v>0</v>
      </c>
      <c r="I81" s="49">
        <f t="shared" si="30"/>
        <v>0</v>
      </c>
      <c r="J81" s="49">
        <f>-N81-Z81-R81-V81</f>
        <v>0</v>
      </c>
      <c r="K81" s="49"/>
      <c r="L81" s="49"/>
      <c r="M81" s="49"/>
      <c r="N81" s="47"/>
      <c r="O81" s="47"/>
      <c r="P81" s="49"/>
      <c r="Q81" s="49"/>
      <c r="R81" s="49"/>
      <c r="S81" s="49"/>
      <c r="T81" s="47"/>
      <c r="U81" s="49"/>
      <c r="V81" s="49"/>
      <c r="W81" s="49"/>
      <c r="X81" s="49"/>
      <c r="Y81" s="49"/>
      <c r="Z81" s="47"/>
    </row>
    <row r="82" spans="1:26" s="1" customFormat="1" x14ac:dyDescent="0.2">
      <c r="A82" s="25">
        <v>78</v>
      </c>
      <c r="B82" s="23" t="s">
        <v>16</v>
      </c>
      <c r="C82" s="49">
        <f t="shared" si="23"/>
        <v>232608343</v>
      </c>
      <c r="D82" s="49">
        <f t="shared" si="27"/>
        <v>204806118</v>
      </c>
      <c r="E82" s="49">
        <f t="shared" si="28"/>
        <v>600625937</v>
      </c>
      <c r="F82" s="49">
        <f t="shared" si="29"/>
        <v>582262091</v>
      </c>
      <c r="G82" s="49">
        <f>G69+G74+G76+G77+G78+G79+G81</f>
        <v>204190571</v>
      </c>
      <c r="H82" s="49">
        <f>H69+H74+H76+H77+H78+H79+H81</f>
        <v>181373733</v>
      </c>
      <c r="I82" s="49">
        <f>I69+I74+I76+I77+I78+I79+I81+I80</f>
        <v>576312700</v>
      </c>
      <c r="J82" s="49">
        <f>J69+J74+J76+J77+J78+J79+J81</f>
        <v>564416960</v>
      </c>
      <c r="K82" s="49">
        <f t="shared" ref="K82:P82" si="31">K69+K74+K76+K77+K78</f>
        <v>7673559</v>
      </c>
      <c r="L82" s="49">
        <f t="shared" si="31"/>
        <v>6447547</v>
      </c>
      <c r="M82" s="49">
        <f t="shared" si="31"/>
        <v>6156399</v>
      </c>
      <c r="N82" s="49">
        <f t="shared" si="31"/>
        <v>8449665</v>
      </c>
      <c r="O82" s="49">
        <f t="shared" si="31"/>
        <v>12013713</v>
      </c>
      <c r="P82" s="49">
        <f t="shared" si="31"/>
        <v>8433588</v>
      </c>
      <c r="Q82" s="49">
        <f>Q69+Q74+Q76+Q77+Q78+Q79+Q80</f>
        <v>9605588</v>
      </c>
      <c r="R82" s="49">
        <f t="shared" ref="R82:Z82" si="32">R69+R74+R76+R77+R78</f>
        <v>4738146</v>
      </c>
      <c r="S82" s="49">
        <f t="shared" si="32"/>
        <v>7481680</v>
      </c>
      <c r="T82" s="49">
        <f t="shared" si="32"/>
        <v>7302430</v>
      </c>
      <c r="U82" s="49">
        <f t="shared" si="32"/>
        <v>7302430</v>
      </c>
      <c r="V82" s="49">
        <f t="shared" si="32"/>
        <v>4039746</v>
      </c>
      <c r="W82" s="49">
        <f t="shared" si="32"/>
        <v>1248820</v>
      </c>
      <c r="X82" s="49">
        <f t="shared" si="32"/>
        <v>1248820</v>
      </c>
      <c r="Y82" s="49">
        <f t="shared" si="32"/>
        <v>1248820</v>
      </c>
      <c r="Z82" s="49">
        <f t="shared" si="32"/>
        <v>617574</v>
      </c>
    </row>
    <row r="83" spans="1:26" s="1" customFormat="1" x14ac:dyDescent="0.2">
      <c r="A83" s="4"/>
      <c r="B83" s="26"/>
      <c r="C83" s="26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s="1" customFormat="1" x14ac:dyDescent="0.2">
      <c r="A84" s="4"/>
      <c r="B84" s="26"/>
      <c r="C84" s="26"/>
      <c r="D84" s="52"/>
      <c r="E84" s="52"/>
      <c r="F84" s="52"/>
      <c r="G84" s="52"/>
      <c r="H84" s="52"/>
      <c r="I84" s="52" t="s">
        <v>143</v>
      </c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x14ac:dyDescent="0.2">
      <c r="A85" s="4"/>
      <c r="B85" s="11"/>
      <c r="C85" s="11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.75" customHeight="1" x14ac:dyDescent="0.2">
      <c r="A86" s="11"/>
      <c r="B86" s="11" t="s">
        <v>92</v>
      </c>
      <c r="C86" s="11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x14ac:dyDescent="0.2">
      <c r="A87" s="6">
        <v>1</v>
      </c>
      <c r="B87" s="62" t="s">
        <v>46</v>
      </c>
      <c r="C87" s="66"/>
      <c r="D87" s="34" t="s">
        <v>47</v>
      </c>
      <c r="E87" s="34"/>
      <c r="F87" s="35"/>
      <c r="G87" s="33"/>
      <c r="H87" s="37" t="s">
        <v>27</v>
      </c>
      <c r="I87" s="37"/>
      <c r="J87" s="37"/>
      <c r="K87" s="37"/>
      <c r="L87" s="37" t="s">
        <v>28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0" t="s">
        <v>93</v>
      </c>
    </row>
    <row r="88" spans="1:26" ht="12" customHeight="1" x14ac:dyDescent="0.2">
      <c r="A88" s="6">
        <v>2</v>
      </c>
      <c r="B88" s="63"/>
      <c r="C88" s="67"/>
      <c r="D88" s="38"/>
      <c r="E88" s="38"/>
      <c r="F88" s="40"/>
      <c r="G88" s="36"/>
      <c r="H88" s="72" t="s">
        <v>43</v>
      </c>
      <c r="I88" s="72"/>
      <c r="J88" s="73"/>
      <c r="K88" s="59"/>
      <c r="L88" s="72" t="s">
        <v>44</v>
      </c>
      <c r="M88" s="72"/>
      <c r="N88" s="73"/>
      <c r="O88" s="59"/>
      <c r="P88" s="72" t="s">
        <v>149</v>
      </c>
      <c r="Q88" s="72"/>
      <c r="R88" s="73"/>
      <c r="S88" s="59"/>
      <c r="T88" s="72" t="s">
        <v>120</v>
      </c>
      <c r="U88" s="72"/>
      <c r="V88" s="73"/>
      <c r="W88" s="59"/>
      <c r="X88" s="72" t="s">
        <v>151</v>
      </c>
      <c r="Y88" s="72"/>
      <c r="Z88" s="73"/>
    </row>
    <row r="89" spans="1:26" s="10" customFormat="1" ht="36.75" customHeight="1" x14ac:dyDescent="0.2">
      <c r="A89" s="13">
        <v>3</v>
      </c>
      <c r="B89" s="64"/>
      <c r="C89" s="68"/>
      <c r="D89" s="42"/>
      <c r="E89" s="42"/>
      <c r="F89" s="43"/>
      <c r="G89" s="41"/>
      <c r="H89" s="74" t="s">
        <v>123</v>
      </c>
      <c r="I89" s="74"/>
      <c r="J89" s="75"/>
      <c r="K89" s="60"/>
      <c r="L89" s="74" t="s">
        <v>122</v>
      </c>
      <c r="M89" s="74"/>
      <c r="N89" s="75"/>
      <c r="O89" s="60"/>
      <c r="P89" s="76" t="s">
        <v>147</v>
      </c>
      <c r="Q89" s="76"/>
      <c r="R89" s="77"/>
      <c r="S89" s="61"/>
      <c r="T89" s="74" t="s">
        <v>142</v>
      </c>
      <c r="U89" s="74"/>
      <c r="V89" s="75"/>
      <c r="W89" s="60"/>
      <c r="X89" s="74" t="s">
        <v>150</v>
      </c>
      <c r="Y89" s="74"/>
      <c r="Z89" s="75"/>
    </row>
    <row r="90" spans="1:26" ht="12.75" customHeight="1" x14ac:dyDescent="0.2">
      <c r="A90" s="6">
        <v>4</v>
      </c>
      <c r="B90" s="11"/>
      <c r="C90" s="69"/>
      <c r="D90" s="54"/>
      <c r="E90" s="54"/>
      <c r="F90" s="55"/>
      <c r="G90" s="53"/>
      <c r="H90" s="32" t="s">
        <v>17</v>
      </c>
      <c r="I90" s="32"/>
      <c r="J90" s="44"/>
      <c r="K90" s="31"/>
      <c r="L90" s="32" t="s">
        <v>18</v>
      </c>
      <c r="M90" s="32"/>
      <c r="N90" s="44"/>
      <c r="O90" s="31"/>
      <c r="P90" s="70" t="s">
        <v>148</v>
      </c>
      <c r="Q90" s="70"/>
      <c r="R90" s="71"/>
      <c r="S90" s="31"/>
      <c r="T90" s="70" t="s">
        <v>121</v>
      </c>
      <c r="U90" s="70"/>
      <c r="V90" s="71"/>
      <c r="W90" s="31"/>
      <c r="X90" s="32" t="s">
        <v>19</v>
      </c>
      <c r="Y90" s="32"/>
      <c r="Z90" s="44"/>
    </row>
    <row r="91" spans="1:26" x14ac:dyDescent="0.2">
      <c r="A91" s="15">
        <v>5</v>
      </c>
      <c r="B91" s="16" t="s">
        <v>48</v>
      </c>
      <c r="C91" s="45" t="s">
        <v>49</v>
      </c>
      <c r="D91" s="45" t="s">
        <v>50</v>
      </c>
      <c r="E91" s="45" t="s">
        <v>51</v>
      </c>
      <c r="F91" s="45" t="s">
        <v>52</v>
      </c>
      <c r="G91" s="45" t="s">
        <v>53</v>
      </c>
      <c r="H91" s="45" t="s">
        <v>54</v>
      </c>
      <c r="I91" s="45" t="s">
        <v>55</v>
      </c>
      <c r="J91" s="45" t="s">
        <v>56</v>
      </c>
      <c r="K91" s="45" t="s">
        <v>57</v>
      </c>
      <c r="L91" s="45" t="s">
        <v>58</v>
      </c>
      <c r="M91" s="45" t="s">
        <v>59</v>
      </c>
      <c r="N91" s="45" t="s">
        <v>60</v>
      </c>
      <c r="O91" s="45" t="s">
        <v>124</v>
      </c>
      <c r="P91" s="45" t="s">
        <v>125</v>
      </c>
      <c r="Q91" s="45" t="s">
        <v>126</v>
      </c>
      <c r="R91" s="45" t="s">
        <v>127</v>
      </c>
      <c r="S91" s="45" t="s">
        <v>128</v>
      </c>
      <c r="T91" s="45" t="s">
        <v>129</v>
      </c>
      <c r="U91" s="45" t="s">
        <v>155</v>
      </c>
      <c r="V91" s="45" t="s">
        <v>156</v>
      </c>
      <c r="W91" s="45" t="s">
        <v>157</v>
      </c>
      <c r="X91" s="45" t="s">
        <v>158</v>
      </c>
      <c r="Y91" s="45" t="s">
        <v>159</v>
      </c>
      <c r="Z91" s="45" t="s">
        <v>160</v>
      </c>
    </row>
    <row r="92" spans="1:26" x14ac:dyDescent="0.2">
      <c r="A92" s="15">
        <v>6</v>
      </c>
      <c r="B92" s="16"/>
      <c r="C92" s="45" t="s">
        <v>154</v>
      </c>
      <c r="D92" s="45" t="s">
        <v>152</v>
      </c>
      <c r="E92" s="45" t="s">
        <v>152</v>
      </c>
      <c r="F92" s="45" t="s">
        <v>153</v>
      </c>
      <c r="G92" s="45" t="s">
        <v>154</v>
      </c>
      <c r="H92" s="45" t="s">
        <v>152</v>
      </c>
      <c r="I92" s="45" t="s">
        <v>152</v>
      </c>
      <c r="J92" s="45" t="s">
        <v>153</v>
      </c>
      <c r="K92" s="45" t="s">
        <v>154</v>
      </c>
      <c r="L92" s="45" t="s">
        <v>152</v>
      </c>
      <c r="M92" s="45" t="s">
        <v>152</v>
      </c>
      <c r="N92" s="45" t="s">
        <v>153</v>
      </c>
      <c r="O92" s="45" t="s">
        <v>154</v>
      </c>
      <c r="P92" s="45" t="s">
        <v>152</v>
      </c>
      <c r="Q92" s="45" t="s">
        <v>152</v>
      </c>
      <c r="R92" s="45" t="s">
        <v>153</v>
      </c>
      <c r="S92" s="45" t="s">
        <v>154</v>
      </c>
      <c r="T92" s="45" t="s">
        <v>152</v>
      </c>
      <c r="U92" s="45" t="s">
        <v>152</v>
      </c>
      <c r="V92" s="45" t="s">
        <v>153</v>
      </c>
      <c r="W92" s="45" t="s">
        <v>154</v>
      </c>
      <c r="X92" s="45" t="s">
        <v>152</v>
      </c>
      <c r="Y92" s="45" t="s">
        <v>152</v>
      </c>
      <c r="Z92" s="45" t="s">
        <v>153</v>
      </c>
    </row>
    <row r="93" spans="1:26" x14ac:dyDescent="0.2">
      <c r="A93" s="6">
        <v>7</v>
      </c>
      <c r="B93" s="9" t="s">
        <v>61</v>
      </c>
      <c r="C93" s="46" t="s">
        <v>3</v>
      </c>
      <c r="D93" s="46" t="s">
        <v>3</v>
      </c>
      <c r="E93" s="46" t="s">
        <v>95</v>
      </c>
      <c r="F93" s="46" t="s">
        <v>139</v>
      </c>
      <c r="G93" s="46" t="s">
        <v>3</v>
      </c>
      <c r="H93" s="46" t="s">
        <v>3</v>
      </c>
      <c r="I93" s="46" t="s">
        <v>95</v>
      </c>
      <c r="J93" s="46" t="s">
        <v>139</v>
      </c>
      <c r="K93" s="46" t="s">
        <v>3</v>
      </c>
      <c r="L93" s="46" t="s">
        <v>3</v>
      </c>
      <c r="M93" s="46" t="s">
        <v>95</v>
      </c>
      <c r="N93" s="46" t="s">
        <v>139</v>
      </c>
      <c r="O93" s="46" t="s">
        <v>3</v>
      </c>
      <c r="P93" s="46" t="s">
        <v>3</v>
      </c>
      <c r="Q93" s="46" t="s">
        <v>95</v>
      </c>
      <c r="R93" s="46" t="s">
        <v>139</v>
      </c>
      <c r="S93" s="46" t="s">
        <v>3</v>
      </c>
      <c r="T93" s="46" t="s">
        <v>3</v>
      </c>
      <c r="U93" s="46" t="s">
        <v>95</v>
      </c>
      <c r="V93" s="46" t="s">
        <v>139</v>
      </c>
      <c r="W93" s="46" t="s">
        <v>3</v>
      </c>
      <c r="X93" s="46" t="s">
        <v>3</v>
      </c>
      <c r="Y93" s="46" t="s">
        <v>95</v>
      </c>
      <c r="Z93" s="46" t="s">
        <v>139</v>
      </c>
    </row>
    <row r="94" spans="1:26" x14ac:dyDescent="0.2">
      <c r="A94" s="6">
        <v>8</v>
      </c>
      <c r="B94" s="9" t="s">
        <v>62</v>
      </c>
      <c r="C94" s="47">
        <f t="shared" ref="C94:F99" si="33">G94+K94+W94+AA94+AD94+AJ94+AM94+O94+S94</f>
        <v>34336796</v>
      </c>
      <c r="D94" s="47">
        <f t="shared" si="33"/>
        <v>30385815</v>
      </c>
      <c r="E94" s="47">
        <f t="shared" si="33"/>
        <v>36385705</v>
      </c>
      <c r="F94" s="47">
        <f t="shared" si="33"/>
        <v>29442962</v>
      </c>
      <c r="G94" s="47">
        <v>22648852</v>
      </c>
      <c r="H94" s="47">
        <f>23527500-2568000-384000</f>
        <v>20575500</v>
      </c>
      <c r="I94" s="47">
        <f>23527500-2568000-384000+1900294+2955030</f>
        <v>25430824</v>
      </c>
      <c r="J94" s="47">
        <f>11798416+7387532</f>
        <v>19185948</v>
      </c>
      <c r="K94" s="47">
        <v>4892144</v>
      </c>
      <c r="L94" s="47">
        <v>3784315</v>
      </c>
      <c r="M94" s="47">
        <v>4616881</v>
      </c>
      <c r="N94" s="47">
        <v>4961443</v>
      </c>
      <c r="O94" s="47">
        <v>3187800</v>
      </c>
      <c r="P94" s="47">
        <v>2568000</v>
      </c>
      <c r="Q94" s="47">
        <v>2880000</v>
      </c>
      <c r="R94" s="47">
        <v>2049112</v>
      </c>
      <c r="S94" s="47">
        <v>3224000</v>
      </c>
      <c r="T94" s="47">
        <v>3074000</v>
      </c>
      <c r="U94" s="47">
        <v>3074000</v>
      </c>
      <c r="V94" s="47">
        <v>2862459</v>
      </c>
      <c r="W94" s="47">
        <v>384000</v>
      </c>
      <c r="X94" s="47">
        <v>384000</v>
      </c>
      <c r="Y94" s="47">
        <v>384000</v>
      </c>
      <c r="Z94" s="47">
        <v>384000</v>
      </c>
    </row>
    <row r="95" spans="1:26" x14ac:dyDescent="0.2">
      <c r="A95" s="6">
        <v>9</v>
      </c>
      <c r="B95" s="9" t="s">
        <v>63</v>
      </c>
      <c r="C95" s="47">
        <f t="shared" si="33"/>
        <v>6297511</v>
      </c>
      <c r="D95" s="47">
        <f t="shared" si="33"/>
        <v>5620698</v>
      </c>
      <c r="E95" s="47">
        <f t="shared" si="33"/>
        <v>5829400</v>
      </c>
      <c r="F95" s="47">
        <f t="shared" si="33"/>
        <v>4573767</v>
      </c>
      <c r="G95" s="47">
        <v>4127671</v>
      </c>
      <c r="H95" s="47">
        <f>4241036-510760-74880</f>
        <v>3655396</v>
      </c>
      <c r="I95" s="47">
        <f>4241036-510760-74880+208702</f>
        <v>3864098</v>
      </c>
      <c r="J95" s="47">
        <f>2248826+1082006</f>
        <v>3330832</v>
      </c>
      <c r="K95" s="47">
        <v>866415</v>
      </c>
      <c r="L95" s="47">
        <v>748232</v>
      </c>
      <c r="M95" s="47">
        <v>748232</v>
      </c>
      <c r="N95" s="47">
        <v>903585</v>
      </c>
      <c r="O95" s="47">
        <v>567865</v>
      </c>
      <c r="P95" s="47">
        <v>510760</v>
      </c>
      <c r="Q95" s="47">
        <v>510760</v>
      </c>
      <c r="R95" s="47">
        <v>127435</v>
      </c>
      <c r="S95" s="47">
        <v>660680</v>
      </c>
      <c r="T95" s="47">
        <v>631430</v>
      </c>
      <c r="U95" s="47">
        <v>631430</v>
      </c>
      <c r="V95" s="47">
        <v>147403</v>
      </c>
      <c r="W95" s="47">
        <v>74880</v>
      </c>
      <c r="X95" s="47">
        <v>74880</v>
      </c>
      <c r="Y95" s="47">
        <v>74880</v>
      </c>
      <c r="Z95" s="47">
        <v>64512</v>
      </c>
    </row>
    <row r="96" spans="1:26" x14ac:dyDescent="0.2">
      <c r="A96" s="6">
        <v>10</v>
      </c>
      <c r="B96" s="9" t="s">
        <v>64</v>
      </c>
      <c r="C96" s="47">
        <f t="shared" si="33"/>
        <v>43231293</v>
      </c>
      <c r="D96" s="47">
        <f t="shared" si="33"/>
        <v>40328073</v>
      </c>
      <c r="E96" s="47">
        <f t="shared" si="33"/>
        <v>89894145</v>
      </c>
      <c r="F96" s="47">
        <f t="shared" si="33"/>
        <v>70716107</v>
      </c>
      <c r="G96" s="47">
        <v>28846305</v>
      </c>
      <c r="H96" s="47">
        <f>34991073-5354828-789940</f>
        <v>28846305</v>
      </c>
      <c r="I96" s="47">
        <f>34991073-5354828-789940+43742093+4941979</f>
        <v>77530377</v>
      </c>
      <c r="J96" s="47">
        <f>58729408+7152652</f>
        <v>65882060</v>
      </c>
      <c r="K96" s="47">
        <v>1740000</v>
      </c>
      <c r="L96" s="47">
        <v>1740000</v>
      </c>
      <c r="M96" s="47">
        <v>1762000</v>
      </c>
      <c r="N96" s="47">
        <v>1073502</v>
      </c>
      <c r="O96" s="47">
        <v>8258048</v>
      </c>
      <c r="P96" s="47">
        <v>5354828</v>
      </c>
      <c r="Q96" s="47">
        <v>6214828</v>
      </c>
      <c r="R96" s="47">
        <v>2561599</v>
      </c>
      <c r="S96" s="47">
        <v>3597000</v>
      </c>
      <c r="T96" s="47">
        <f>3647000-50000</f>
        <v>3597000</v>
      </c>
      <c r="U96" s="47">
        <f>3647000-50000</f>
        <v>3597000</v>
      </c>
      <c r="V96" s="47">
        <v>1029884</v>
      </c>
      <c r="W96" s="47">
        <v>789940</v>
      </c>
      <c r="X96" s="47">
        <v>789940</v>
      </c>
      <c r="Y96" s="47">
        <v>789940</v>
      </c>
      <c r="Z96" s="47">
        <v>169062</v>
      </c>
    </row>
    <row r="97" spans="1:26" x14ac:dyDescent="0.2">
      <c r="A97" s="6">
        <v>11</v>
      </c>
      <c r="B97" s="9" t="s">
        <v>82</v>
      </c>
      <c r="C97" s="47">
        <f t="shared" si="33"/>
        <v>98322880</v>
      </c>
      <c r="D97" s="47">
        <f t="shared" si="33"/>
        <v>83055945</v>
      </c>
      <c r="E97" s="47">
        <f t="shared" si="33"/>
        <v>89464888</v>
      </c>
      <c r="F97" s="47">
        <f t="shared" si="33"/>
        <v>89293761</v>
      </c>
      <c r="G97" s="47">
        <v>98322880</v>
      </c>
      <c r="H97" s="47">
        <f>81236598+1819347</f>
        <v>83055945</v>
      </c>
      <c r="I97" s="47">
        <f>81236598+1819347+4596791+1812152</f>
        <v>89464888</v>
      </c>
      <c r="J97" s="47">
        <v>89293761</v>
      </c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x14ac:dyDescent="0.2">
      <c r="A98" s="6">
        <v>12</v>
      </c>
      <c r="B98" s="9" t="s">
        <v>65</v>
      </c>
      <c r="C98" s="47">
        <f t="shared" si="33"/>
        <v>8010000</v>
      </c>
      <c r="D98" s="47">
        <f t="shared" si="33"/>
        <v>3973000</v>
      </c>
      <c r="E98" s="47">
        <f t="shared" si="33"/>
        <v>3973000</v>
      </c>
      <c r="F98" s="47">
        <f t="shared" si="33"/>
        <v>3595514</v>
      </c>
      <c r="G98" s="47">
        <v>8010000</v>
      </c>
      <c r="H98" s="47">
        <v>3973000</v>
      </c>
      <c r="I98" s="47">
        <v>3973000</v>
      </c>
      <c r="J98" s="47">
        <v>3595514</v>
      </c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x14ac:dyDescent="0.2">
      <c r="A99" s="24">
        <v>13</v>
      </c>
      <c r="B99" s="22" t="s">
        <v>66</v>
      </c>
      <c r="C99" s="49">
        <f t="shared" si="33"/>
        <v>190198480</v>
      </c>
      <c r="D99" s="49">
        <f t="shared" si="33"/>
        <v>163363531</v>
      </c>
      <c r="E99" s="49">
        <f t="shared" si="33"/>
        <v>225547138</v>
      </c>
      <c r="F99" s="49">
        <f t="shared" si="33"/>
        <v>197622111</v>
      </c>
      <c r="G99" s="50">
        <f t="shared" ref="G99:Z99" si="34">SUM(G94:G98)</f>
        <v>161955708</v>
      </c>
      <c r="H99" s="50">
        <f t="shared" si="34"/>
        <v>140106146</v>
      </c>
      <c r="I99" s="50">
        <f>SUM(I94:I98)</f>
        <v>200263187</v>
      </c>
      <c r="J99" s="50">
        <f t="shared" si="34"/>
        <v>181288115</v>
      </c>
      <c r="K99" s="50">
        <f>SUM(K94:K98)</f>
        <v>7498559</v>
      </c>
      <c r="L99" s="50">
        <f>SUM(L94:L98)</f>
        <v>6272547</v>
      </c>
      <c r="M99" s="50">
        <f>SUM(M94:M98)</f>
        <v>7127113</v>
      </c>
      <c r="N99" s="50">
        <f t="shared" si="34"/>
        <v>6938530</v>
      </c>
      <c r="O99" s="50">
        <f t="shared" si="34"/>
        <v>12013713</v>
      </c>
      <c r="P99" s="50">
        <f t="shared" si="34"/>
        <v>8433588</v>
      </c>
      <c r="Q99" s="50">
        <f t="shared" si="34"/>
        <v>9605588</v>
      </c>
      <c r="R99" s="50">
        <f t="shared" si="34"/>
        <v>4738146</v>
      </c>
      <c r="S99" s="50">
        <f t="shared" si="34"/>
        <v>7481680</v>
      </c>
      <c r="T99" s="50">
        <f t="shared" si="34"/>
        <v>7302430</v>
      </c>
      <c r="U99" s="50">
        <f t="shared" si="34"/>
        <v>7302430</v>
      </c>
      <c r="V99" s="50">
        <f t="shared" si="34"/>
        <v>4039746</v>
      </c>
      <c r="W99" s="50">
        <f t="shared" si="34"/>
        <v>1248820</v>
      </c>
      <c r="X99" s="50">
        <f t="shared" si="34"/>
        <v>1248820</v>
      </c>
      <c r="Y99" s="50">
        <f t="shared" si="34"/>
        <v>1248820</v>
      </c>
      <c r="Z99" s="50">
        <f t="shared" si="34"/>
        <v>617574</v>
      </c>
    </row>
    <row r="100" spans="1:26" x14ac:dyDescent="0.2">
      <c r="A100" s="6">
        <v>14</v>
      </c>
      <c r="B100" s="9" t="s">
        <v>67</v>
      </c>
      <c r="C100" s="9"/>
      <c r="D100" s="47">
        <f t="shared" ref="D100:D129" si="35">H100+L100+X100+AB100+AE100+AK100+AN100+P100+T100</f>
        <v>0</v>
      </c>
      <c r="E100" s="47">
        <f t="shared" ref="E100:E129" si="36">I100+M100+Y100+AC100+AF100+AL100+AO100+Q100+U100</f>
        <v>0</v>
      </c>
      <c r="F100" s="47">
        <f t="shared" ref="F100:F129" si="37">J100+N100+Z100+AD100+AG100+AM100+AP100+R100+V100</f>
        <v>0</v>
      </c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x14ac:dyDescent="0.2">
      <c r="A101" s="6">
        <v>15</v>
      </c>
      <c r="B101" s="9" t="s">
        <v>83</v>
      </c>
      <c r="C101" s="47">
        <f t="shared" ref="C101:C109" si="38">G101+K101+W101+AA101+AD101+AJ101+AM101+O101+S101</f>
        <v>2879490</v>
      </c>
      <c r="D101" s="47">
        <f t="shared" si="35"/>
        <v>3377622</v>
      </c>
      <c r="E101" s="47">
        <f t="shared" si="36"/>
        <v>232574290</v>
      </c>
      <c r="F101" s="47">
        <f t="shared" si="37"/>
        <v>60795650</v>
      </c>
      <c r="G101" s="47">
        <v>2704490</v>
      </c>
      <c r="H101" s="47">
        <f>1170000+1600490+432132</f>
        <v>3202622</v>
      </c>
      <c r="I101" s="47">
        <f>1170000+1600490+432132+67192194+160504474</f>
        <v>230899290</v>
      </c>
      <c r="J101" s="47">
        <f>57452034+1832481</f>
        <v>59284515</v>
      </c>
      <c r="K101" s="47">
        <v>175000</v>
      </c>
      <c r="L101" s="47">
        <v>175000</v>
      </c>
      <c r="M101" s="47">
        <v>1675000</v>
      </c>
      <c r="N101" s="47">
        <v>1511135</v>
      </c>
      <c r="O101" s="47"/>
      <c r="P101" s="47"/>
      <c r="Q101" s="47"/>
      <c r="R101" s="47"/>
      <c r="S101" s="47"/>
      <c r="T101" s="47">
        <v>0</v>
      </c>
      <c r="U101" s="47">
        <v>0</v>
      </c>
      <c r="V101" s="47"/>
      <c r="W101" s="47"/>
      <c r="X101" s="47"/>
      <c r="Y101" s="47"/>
      <c r="Z101" s="47"/>
    </row>
    <row r="102" spans="1:26" x14ac:dyDescent="0.2">
      <c r="A102" s="6">
        <v>16</v>
      </c>
      <c r="B102" s="9" t="s">
        <v>84</v>
      </c>
      <c r="C102" s="47">
        <f t="shared" si="38"/>
        <v>0</v>
      </c>
      <c r="D102" s="47">
        <f t="shared" si="35"/>
        <v>0</v>
      </c>
      <c r="E102" s="47">
        <f t="shared" si="36"/>
        <v>95667299</v>
      </c>
      <c r="F102" s="47">
        <f t="shared" si="37"/>
        <v>49773903</v>
      </c>
      <c r="G102" s="47"/>
      <c r="H102" s="47"/>
      <c r="I102" s="47">
        <v>95667299</v>
      </c>
      <c r="J102" s="47">
        <f>48673903+1100000</f>
        <v>49773903</v>
      </c>
      <c r="K102" s="47"/>
      <c r="L102" s="47"/>
      <c r="M102" s="47">
        <v>0</v>
      </c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x14ac:dyDescent="0.2">
      <c r="A103" s="27">
        <v>17</v>
      </c>
      <c r="B103" s="5" t="s">
        <v>85</v>
      </c>
      <c r="C103" s="47">
        <f t="shared" si="38"/>
        <v>400000</v>
      </c>
      <c r="D103" s="47">
        <f t="shared" si="35"/>
        <v>400000</v>
      </c>
      <c r="E103" s="47">
        <f t="shared" si="36"/>
        <v>400000</v>
      </c>
      <c r="F103" s="47">
        <f t="shared" si="37"/>
        <v>0</v>
      </c>
      <c r="G103" s="47">
        <v>400000</v>
      </c>
      <c r="H103" s="47">
        <v>400000</v>
      </c>
      <c r="I103" s="47">
        <v>400000</v>
      </c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x14ac:dyDescent="0.2">
      <c r="A104" s="6">
        <v>18</v>
      </c>
      <c r="B104" s="6" t="s">
        <v>86</v>
      </c>
      <c r="C104" s="47">
        <f t="shared" si="38"/>
        <v>0</v>
      </c>
      <c r="D104" s="47">
        <f t="shared" si="35"/>
        <v>0</v>
      </c>
      <c r="E104" s="47">
        <f t="shared" si="36"/>
        <v>0</v>
      </c>
      <c r="F104" s="47">
        <f t="shared" si="37"/>
        <v>0</v>
      </c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x14ac:dyDescent="0.2">
      <c r="A105" s="6">
        <v>19</v>
      </c>
      <c r="B105" s="6" t="s">
        <v>87</v>
      </c>
      <c r="C105" s="47">
        <f t="shared" si="38"/>
        <v>0</v>
      </c>
      <c r="D105" s="47">
        <f t="shared" si="35"/>
        <v>0</v>
      </c>
      <c r="E105" s="47">
        <f t="shared" si="36"/>
        <v>0</v>
      </c>
      <c r="F105" s="47">
        <f t="shared" si="37"/>
        <v>0</v>
      </c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x14ac:dyDescent="0.2">
      <c r="A106" s="6">
        <v>20</v>
      </c>
      <c r="B106" s="9" t="s">
        <v>115</v>
      </c>
      <c r="C106" s="47">
        <f t="shared" si="38"/>
        <v>0</v>
      </c>
      <c r="D106" s="47">
        <f t="shared" si="35"/>
        <v>0</v>
      </c>
      <c r="E106" s="47">
        <f t="shared" si="36"/>
        <v>8000000</v>
      </c>
      <c r="F106" s="47">
        <f t="shared" si="37"/>
        <v>8280000</v>
      </c>
      <c r="G106" s="47"/>
      <c r="H106" s="47"/>
      <c r="I106" s="47">
        <v>8000000</v>
      </c>
      <c r="J106" s="47">
        <v>8280000</v>
      </c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x14ac:dyDescent="0.2">
      <c r="A107" s="24">
        <v>21</v>
      </c>
      <c r="B107" s="22" t="s">
        <v>68</v>
      </c>
      <c r="C107" s="49">
        <f t="shared" si="38"/>
        <v>3279490</v>
      </c>
      <c r="D107" s="49">
        <f t="shared" si="35"/>
        <v>3777622</v>
      </c>
      <c r="E107" s="49">
        <f t="shared" si="36"/>
        <v>336641589</v>
      </c>
      <c r="F107" s="49">
        <f t="shared" si="37"/>
        <v>118849553</v>
      </c>
      <c r="G107" s="50">
        <f t="shared" ref="G107:Z107" si="39">SUM(G101:G106)</f>
        <v>3104490</v>
      </c>
      <c r="H107" s="50">
        <f t="shared" si="39"/>
        <v>3602622</v>
      </c>
      <c r="I107" s="50">
        <f t="shared" si="39"/>
        <v>334966589</v>
      </c>
      <c r="J107" s="50">
        <f t="shared" si="39"/>
        <v>117338418</v>
      </c>
      <c r="K107" s="50">
        <f t="shared" si="39"/>
        <v>175000</v>
      </c>
      <c r="L107" s="50">
        <f t="shared" si="39"/>
        <v>175000</v>
      </c>
      <c r="M107" s="50">
        <f t="shared" si="39"/>
        <v>1675000</v>
      </c>
      <c r="N107" s="50">
        <f t="shared" si="39"/>
        <v>1511135</v>
      </c>
      <c r="O107" s="50">
        <f t="shared" si="39"/>
        <v>0</v>
      </c>
      <c r="P107" s="50">
        <f t="shared" si="39"/>
        <v>0</v>
      </c>
      <c r="Q107" s="50">
        <f t="shared" si="39"/>
        <v>0</v>
      </c>
      <c r="R107" s="50">
        <f t="shared" si="39"/>
        <v>0</v>
      </c>
      <c r="S107" s="50">
        <f t="shared" si="39"/>
        <v>0</v>
      </c>
      <c r="T107" s="50">
        <f t="shared" si="39"/>
        <v>0</v>
      </c>
      <c r="U107" s="50">
        <f t="shared" si="39"/>
        <v>0</v>
      </c>
      <c r="V107" s="50">
        <f t="shared" si="39"/>
        <v>0</v>
      </c>
      <c r="W107" s="50">
        <f t="shared" si="39"/>
        <v>0</v>
      </c>
      <c r="X107" s="50">
        <f t="shared" si="39"/>
        <v>0</v>
      </c>
      <c r="Y107" s="50">
        <f t="shared" si="39"/>
        <v>0</v>
      </c>
      <c r="Z107" s="50">
        <f t="shared" si="39"/>
        <v>0</v>
      </c>
    </row>
    <row r="108" spans="1:26" x14ac:dyDescent="0.2">
      <c r="A108" s="24">
        <v>22</v>
      </c>
      <c r="B108" s="23" t="s">
        <v>140</v>
      </c>
      <c r="C108" s="47">
        <f t="shared" si="38"/>
        <v>0</v>
      </c>
      <c r="D108" s="47">
        <f t="shared" si="35"/>
        <v>0</v>
      </c>
      <c r="E108" s="47">
        <f t="shared" si="36"/>
        <v>0</v>
      </c>
      <c r="F108" s="47">
        <f t="shared" si="37"/>
        <v>0</v>
      </c>
      <c r="G108" s="47"/>
      <c r="H108" s="50"/>
      <c r="I108" s="50">
        <v>0</v>
      </c>
      <c r="J108" s="47">
        <v>0</v>
      </c>
      <c r="K108" s="47"/>
      <c r="L108" s="50"/>
      <c r="M108" s="50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50"/>
      <c r="Y108" s="50"/>
      <c r="Z108" s="47"/>
    </row>
    <row r="109" spans="1:26" x14ac:dyDescent="0.2">
      <c r="A109" s="25">
        <v>23</v>
      </c>
      <c r="B109" s="23" t="s">
        <v>69</v>
      </c>
      <c r="C109" s="49">
        <f t="shared" si="38"/>
        <v>193477970</v>
      </c>
      <c r="D109" s="49">
        <f t="shared" si="35"/>
        <v>167141153</v>
      </c>
      <c r="E109" s="49">
        <f t="shared" si="36"/>
        <v>562188727</v>
      </c>
      <c r="F109" s="49">
        <f t="shared" si="37"/>
        <v>316471664</v>
      </c>
      <c r="G109" s="49">
        <f t="shared" ref="G109:Z109" si="40">G99+G107</f>
        <v>165060198</v>
      </c>
      <c r="H109" s="49">
        <f t="shared" si="40"/>
        <v>143708768</v>
      </c>
      <c r="I109" s="49">
        <f>I99+I107+I108</f>
        <v>535229776</v>
      </c>
      <c r="J109" s="49">
        <f>J99+J107+J108</f>
        <v>298626533</v>
      </c>
      <c r="K109" s="49">
        <f t="shared" si="40"/>
        <v>7673559</v>
      </c>
      <c r="L109" s="49">
        <f t="shared" si="40"/>
        <v>6447547</v>
      </c>
      <c r="M109" s="49">
        <f t="shared" si="40"/>
        <v>8802113</v>
      </c>
      <c r="N109" s="49">
        <f t="shared" si="40"/>
        <v>8449665</v>
      </c>
      <c r="O109" s="49">
        <f t="shared" si="40"/>
        <v>12013713</v>
      </c>
      <c r="P109" s="49">
        <f t="shared" si="40"/>
        <v>8433588</v>
      </c>
      <c r="Q109" s="49">
        <f t="shared" si="40"/>
        <v>9605588</v>
      </c>
      <c r="R109" s="49">
        <f t="shared" si="40"/>
        <v>4738146</v>
      </c>
      <c r="S109" s="49">
        <f t="shared" si="40"/>
        <v>7481680</v>
      </c>
      <c r="T109" s="49">
        <f t="shared" si="40"/>
        <v>7302430</v>
      </c>
      <c r="U109" s="49">
        <f t="shared" si="40"/>
        <v>7302430</v>
      </c>
      <c r="V109" s="49">
        <f t="shared" si="40"/>
        <v>4039746</v>
      </c>
      <c r="W109" s="49">
        <f t="shared" si="40"/>
        <v>1248820</v>
      </c>
      <c r="X109" s="49">
        <f t="shared" si="40"/>
        <v>1248820</v>
      </c>
      <c r="Y109" s="49">
        <f t="shared" si="40"/>
        <v>1248820</v>
      </c>
      <c r="Z109" s="49">
        <f t="shared" si="40"/>
        <v>617574</v>
      </c>
    </row>
    <row r="110" spans="1:26" x14ac:dyDescent="0.2">
      <c r="A110" s="6">
        <v>24</v>
      </c>
      <c r="B110" s="9" t="s">
        <v>88</v>
      </c>
      <c r="C110" s="9"/>
      <c r="D110" s="47">
        <f t="shared" si="35"/>
        <v>0</v>
      </c>
      <c r="E110" s="47">
        <f t="shared" si="36"/>
        <v>0</v>
      </c>
      <c r="F110" s="47">
        <f t="shared" si="37"/>
        <v>0</v>
      </c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x14ac:dyDescent="0.2">
      <c r="A111" s="28">
        <v>25</v>
      </c>
      <c r="B111" s="29" t="s">
        <v>70</v>
      </c>
      <c r="C111" s="47">
        <f t="shared" ref="C111:C119" si="41">G111+K111+W111+AA111+AD111+AJ111+AM111+O111+S111</f>
        <v>1205373</v>
      </c>
      <c r="D111" s="47">
        <f t="shared" si="35"/>
        <v>1205281</v>
      </c>
      <c r="E111" s="47">
        <f t="shared" si="36"/>
        <v>150526</v>
      </c>
      <c r="F111" s="47">
        <f t="shared" si="37"/>
        <v>0</v>
      </c>
      <c r="G111" s="47">
        <v>1205373</v>
      </c>
      <c r="H111" s="56">
        <v>1205281</v>
      </c>
      <c r="I111" s="56">
        <v>150526</v>
      </c>
      <c r="J111" s="47"/>
      <c r="K111" s="47"/>
      <c r="L111" s="56"/>
      <c r="M111" s="56">
        <v>0</v>
      </c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56"/>
      <c r="Y111" s="56"/>
      <c r="Z111" s="47"/>
    </row>
    <row r="112" spans="1:26" x14ac:dyDescent="0.2">
      <c r="A112" s="28">
        <v>26</v>
      </c>
      <c r="B112" s="9" t="s">
        <v>71</v>
      </c>
      <c r="C112" s="47">
        <f t="shared" si="41"/>
        <v>0</v>
      </c>
      <c r="D112" s="47">
        <f t="shared" si="35"/>
        <v>0</v>
      </c>
      <c r="E112" s="47">
        <f t="shared" si="36"/>
        <v>0</v>
      </c>
      <c r="F112" s="47">
        <f t="shared" si="37"/>
        <v>0</v>
      </c>
      <c r="G112" s="47"/>
      <c r="H112" s="47">
        <v>0</v>
      </c>
      <c r="I112" s="47">
        <v>0</v>
      </c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x14ac:dyDescent="0.2">
      <c r="A113" s="25">
        <v>27</v>
      </c>
      <c r="B113" s="23" t="s">
        <v>72</v>
      </c>
      <c r="C113" s="49">
        <f t="shared" si="41"/>
        <v>1205373</v>
      </c>
      <c r="D113" s="49">
        <f t="shared" si="35"/>
        <v>1205281</v>
      </c>
      <c r="E113" s="49">
        <f t="shared" si="36"/>
        <v>150526</v>
      </c>
      <c r="F113" s="49">
        <f t="shared" si="37"/>
        <v>0</v>
      </c>
      <c r="G113" s="49">
        <f t="shared" ref="G113:V113" si="42">SUM(G111:G112)</f>
        <v>1205373</v>
      </c>
      <c r="H113" s="49">
        <f t="shared" si="42"/>
        <v>1205281</v>
      </c>
      <c r="I113" s="49">
        <f t="shared" si="42"/>
        <v>150526</v>
      </c>
      <c r="J113" s="49">
        <f t="shared" si="42"/>
        <v>0</v>
      </c>
      <c r="K113" s="49">
        <f t="shared" si="42"/>
        <v>0</v>
      </c>
      <c r="L113" s="49">
        <f t="shared" si="42"/>
        <v>0</v>
      </c>
      <c r="M113" s="49">
        <f t="shared" si="42"/>
        <v>0</v>
      </c>
      <c r="N113" s="49">
        <f t="shared" si="42"/>
        <v>0</v>
      </c>
      <c r="O113" s="49"/>
      <c r="P113" s="49">
        <f t="shared" si="42"/>
        <v>0</v>
      </c>
      <c r="Q113" s="49">
        <f t="shared" si="42"/>
        <v>0</v>
      </c>
      <c r="R113" s="49">
        <f t="shared" si="42"/>
        <v>0</v>
      </c>
      <c r="S113" s="49">
        <f t="shared" si="42"/>
        <v>0</v>
      </c>
      <c r="T113" s="49">
        <f t="shared" si="42"/>
        <v>0</v>
      </c>
      <c r="U113" s="49">
        <f t="shared" si="42"/>
        <v>0</v>
      </c>
      <c r="V113" s="49">
        <f t="shared" si="42"/>
        <v>0</v>
      </c>
      <c r="W113" s="49"/>
      <c r="X113" s="49"/>
      <c r="Y113" s="49"/>
      <c r="Z113" s="47"/>
    </row>
    <row r="114" spans="1:26" x14ac:dyDescent="0.2">
      <c r="A114" s="25">
        <v>28</v>
      </c>
      <c r="B114" s="23" t="s">
        <v>73</v>
      </c>
      <c r="C114" s="49">
        <f t="shared" si="41"/>
        <v>182669630</v>
      </c>
      <c r="D114" s="49">
        <f t="shared" si="35"/>
        <v>168346434</v>
      </c>
      <c r="E114" s="49">
        <f t="shared" si="36"/>
        <v>562339253</v>
      </c>
      <c r="F114" s="49">
        <f t="shared" si="37"/>
        <v>316471664</v>
      </c>
      <c r="G114" s="49">
        <f t="shared" ref="G114:Z114" si="43">G113+G109</f>
        <v>166265571</v>
      </c>
      <c r="H114" s="49">
        <f t="shared" si="43"/>
        <v>144914049</v>
      </c>
      <c r="I114" s="49">
        <f t="shared" si="43"/>
        <v>535380302</v>
      </c>
      <c r="J114" s="49">
        <f t="shared" si="43"/>
        <v>298626533</v>
      </c>
      <c r="K114" s="49">
        <f t="shared" si="43"/>
        <v>7673559</v>
      </c>
      <c r="L114" s="49">
        <f t="shared" si="43"/>
        <v>6447547</v>
      </c>
      <c r="M114" s="49">
        <f t="shared" si="43"/>
        <v>8802113</v>
      </c>
      <c r="N114" s="49">
        <f t="shared" si="43"/>
        <v>8449665</v>
      </c>
      <c r="O114" s="49"/>
      <c r="P114" s="49">
        <f t="shared" si="43"/>
        <v>8433588</v>
      </c>
      <c r="Q114" s="49">
        <f t="shared" si="43"/>
        <v>9605588</v>
      </c>
      <c r="R114" s="49">
        <f t="shared" si="43"/>
        <v>4738146</v>
      </c>
      <c r="S114" s="49">
        <f t="shared" si="43"/>
        <v>7481680</v>
      </c>
      <c r="T114" s="49">
        <f t="shared" si="43"/>
        <v>7302430</v>
      </c>
      <c r="U114" s="49">
        <f t="shared" si="43"/>
        <v>7302430</v>
      </c>
      <c r="V114" s="49">
        <f t="shared" si="43"/>
        <v>4039746</v>
      </c>
      <c r="W114" s="49">
        <f t="shared" si="43"/>
        <v>1248820</v>
      </c>
      <c r="X114" s="49">
        <f t="shared" si="43"/>
        <v>1248820</v>
      </c>
      <c r="Y114" s="49">
        <f t="shared" si="43"/>
        <v>1248820</v>
      </c>
      <c r="Z114" s="49">
        <f t="shared" si="43"/>
        <v>617574</v>
      </c>
    </row>
    <row r="115" spans="1:26" x14ac:dyDescent="0.2">
      <c r="A115" s="28">
        <v>29</v>
      </c>
      <c r="B115" s="29" t="s">
        <v>89</v>
      </c>
      <c r="C115" s="47">
        <f t="shared" si="41"/>
        <v>0</v>
      </c>
      <c r="D115" s="47">
        <f t="shared" si="35"/>
        <v>0</v>
      </c>
      <c r="E115" s="47">
        <f t="shared" si="36"/>
        <v>0</v>
      </c>
      <c r="F115" s="47">
        <f t="shared" si="37"/>
        <v>0</v>
      </c>
      <c r="G115" s="47"/>
      <c r="H115" s="48"/>
      <c r="I115" s="48">
        <v>0</v>
      </c>
      <c r="J115" s="47"/>
      <c r="K115" s="47"/>
      <c r="L115" s="48"/>
      <c r="M115" s="48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8"/>
      <c r="Y115" s="48"/>
      <c r="Z115" s="47"/>
    </row>
    <row r="116" spans="1:26" x14ac:dyDescent="0.2">
      <c r="A116" s="28">
        <v>30</v>
      </c>
      <c r="B116" s="29" t="s">
        <v>90</v>
      </c>
      <c r="C116" s="47">
        <f t="shared" si="41"/>
        <v>37925000</v>
      </c>
      <c r="D116" s="47">
        <f t="shared" si="35"/>
        <v>36459684</v>
      </c>
      <c r="E116" s="47">
        <f t="shared" si="36"/>
        <v>38286684</v>
      </c>
      <c r="F116" s="47">
        <f t="shared" si="37"/>
        <v>38285684</v>
      </c>
      <c r="G116" s="47">
        <v>37925000</v>
      </c>
      <c r="H116" s="48">
        <v>36459684</v>
      </c>
      <c r="I116" s="48">
        <f>36459684+1827000</f>
        <v>38286684</v>
      </c>
      <c r="J116" s="47">
        <v>38285684</v>
      </c>
      <c r="K116" s="47"/>
      <c r="L116" s="48"/>
      <c r="M116" s="48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8"/>
      <c r="Y116" s="48"/>
      <c r="Z116" s="47"/>
    </row>
    <row r="117" spans="1:26" x14ac:dyDescent="0.2">
      <c r="A117" s="28">
        <v>31</v>
      </c>
      <c r="B117" s="29" t="s">
        <v>133</v>
      </c>
      <c r="C117" s="47">
        <f t="shared" si="41"/>
        <v>0</v>
      </c>
      <c r="D117" s="47">
        <f t="shared" si="35"/>
        <v>0</v>
      </c>
      <c r="E117" s="47">
        <f t="shared" si="36"/>
        <v>0</v>
      </c>
      <c r="F117" s="47">
        <f t="shared" si="37"/>
        <v>0</v>
      </c>
      <c r="G117" s="47"/>
      <c r="H117" s="48"/>
      <c r="I117" s="48">
        <v>0</v>
      </c>
      <c r="J117" s="47"/>
      <c r="K117" s="47"/>
      <c r="L117" s="48"/>
      <c r="M117" s="48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8"/>
      <c r="Y117" s="48"/>
      <c r="Z117" s="47"/>
    </row>
    <row r="118" spans="1:26" x14ac:dyDescent="0.2">
      <c r="A118" s="25">
        <v>32</v>
      </c>
      <c r="B118" s="23" t="s">
        <v>91</v>
      </c>
      <c r="C118" s="49">
        <f t="shared" si="41"/>
        <v>37925000</v>
      </c>
      <c r="D118" s="49">
        <f t="shared" si="35"/>
        <v>36459684</v>
      </c>
      <c r="E118" s="49">
        <f t="shared" si="36"/>
        <v>38286684</v>
      </c>
      <c r="F118" s="49">
        <f t="shared" si="37"/>
        <v>38285684</v>
      </c>
      <c r="G118" s="49">
        <f>SUM(G115:G117)</f>
        <v>37925000</v>
      </c>
      <c r="H118" s="49">
        <f>SUM(H115:H117)</f>
        <v>36459684</v>
      </c>
      <c r="I118" s="49">
        <f>SUM(I115:I117)</f>
        <v>38286684</v>
      </c>
      <c r="J118" s="49">
        <f>SUM(J115:J117)</f>
        <v>38285684</v>
      </c>
      <c r="K118" s="49">
        <f t="shared" ref="K118:Z118" si="44">SUM(K115)</f>
        <v>0</v>
      </c>
      <c r="L118" s="49">
        <f t="shared" si="44"/>
        <v>0</v>
      </c>
      <c r="M118" s="49">
        <f t="shared" si="44"/>
        <v>0</v>
      </c>
      <c r="N118" s="49">
        <f t="shared" si="44"/>
        <v>0</v>
      </c>
      <c r="O118" s="49">
        <f t="shared" si="44"/>
        <v>0</v>
      </c>
      <c r="P118" s="49">
        <f t="shared" si="44"/>
        <v>0</v>
      </c>
      <c r="Q118" s="49">
        <f t="shared" si="44"/>
        <v>0</v>
      </c>
      <c r="R118" s="49">
        <f t="shared" si="44"/>
        <v>0</v>
      </c>
      <c r="S118" s="49">
        <f t="shared" si="44"/>
        <v>0</v>
      </c>
      <c r="T118" s="49">
        <f t="shared" si="44"/>
        <v>0</v>
      </c>
      <c r="U118" s="49">
        <f t="shared" si="44"/>
        <v>0</v>
      </c>
      <c r="V118" s="49">
        <f t="shared" si="44"/>
        <v>0</v>
      </c>
      <c r="W118" s="49">
        <f t="shared" si="44"/>
        <v>0</v>
      </c>
      <c r="X118" s="49">
        <f t="shared" si="44"/>
        <v>0</v>
      </c>
      <c r="Y118" s="49">
        <f t="shared" si="44"/>
        <v>0</v>
      </c>
      <c r="Z118" s="49">
        <f t="shared" si="44"/>
        <v>0</v>
      </c>
    </row>
    <row r="119" spans="1:26" x14ac:dyDescent="0.2">
      <c r="A119" s="25">
        <v>33</v>
      </c>
      <c r="B119" s="23" t="s">
        <v>74</v>
      </c>
      <c r="C119" s="49">
        <f t="shared" si="41"/>
        <v>232608343</v>
      </c>
      <c r="D119" s="49">
        <f t="shared" si="35"/>
        <v>204806118</v>
      </c>
      <c r="E119" s="49">
        <f t="shared" si="36"/>
        <v>600625937</v>
      </c>
      <c r="F119" s="49">
        <f t="shared" si="37"/>
        <v>354757348</v>
      </c>
      <c r="G119" s="49">
        <f>G109+G113+G118</f>
        <v>204190571</v>
      </c>
      <c r="H119" s="49">
        <f>H109+H113+H118</f>
        <v>181373733</v>
      </c>
      <c r="I119" s="49">
        <f>I109+I113+I118</f>
        <v>573666986</v>
      </c>
      <c r="J119" s="49">
        <f>J109+J113+J118</f>
        <v>336912217</v>
      </c>
      <c r="K119" s="49">
        <f t="shared" ref="K119:Z119" si="45">K109+K113</f>
        <v>7673559</v>
      </c>
      <c r="L119" s="49">
        <f t="shared" si="45"/>
        <v>6447547</v>
      </c>
      <c r="M119" s="49">
        <f t="shared" si="45"/>
        <v>8802113</v>
      </c>
      <c r="N119" s="49">
        <f t="shared" si="45"/>
        <v>8449665</v>
      </c>
      <c r="O119" s="49">
        <f t="shared" si="45"/>
        <v>12013713</v>
      </c>
      <c r="P119" s="49">
        <f t="shared" si="45"/>
        <v>8433588</v>
      </c>
      <c r="Q119" s="49">
        <f t="shared" si="45"/>
        <v>9605588</v>
      </c>
      <c r="R119" s="49">
        <f t="shared" si="45"/>
        <v>4738146</v>
      </c>
      <c r="S119" s="49">
        <f t="shared" si="45"/>
        <v>7481680</v>
      </c>
      <c r="T119" s="49">
        <f t="shared" si="45"/>
        <v>7302430</v>
      </c>
      <c r="U119" s="49">
        <f t="shared" si="45"/>
        <v>7302430</v>
      </c>
      <c r="V119" s="49">
        <f t="shared" si="45"/>
        <v>4039746</v>
      </c>
      <c r="W119" s="49">
        <f t="shared" si="45"/>
        <v>1248820</v>
      </c>
      <c r="X119" s="49">
        <f t="shared" si="45"/>
        <v>1248820</v>
      </c>
      <c r="Y119" s="49">
        <f t="shared" si="45"/>
        <v>1248820</v>
      </c>
      <c r="Z119" s="49">
        <f t="shared" si="45"/>
        <v>617574</v>
      </c>
    </row>
    <row r="120" spans="1:26" x14ac:dyDescent="0.2">
      <c r="A120" s="25">
        <v>34</v>
      </c>
      <c r="B120" s="23" t="s">
        <v>75</v>
      </c>
      <c r="C120" s="23"/>
      <c r="D120" s="49">
        <f t="shared" si="35"/>
        <v>0</v>
      </c>
      <c r="E120" s="49">
        <f t="shared" si="36"/>
        <v>0</v>
      </c>
      <c r="F120" s="49">
        <f t="shared" si="37"/>
        <v>0</v>
      </c>
      <c r="G120" s="49"/>
      <c r="H120" s="49"/>
      <c r="I120" s="49"/>
      <c r="J120" s="47"/>
      <c r="K120" s="47"/>
      <c r="L120" s="49"/>
      <c r="M120" s="49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9"/>
      <c r="Y120" s="49"/>
      <c r="Z120" s="47"/>
    </row>
    <row r="121" spans="1:26" x14ac:dyDescent="0.2">
      <c r="A121" s="25">
        <v>35</v>
      </c>
      <c r="B121" s="23" t="s">
        <v>74</v>
      </c>
      <c r="C121" s="49">
        <f>G121+K121+W121+AA121+AD121+AJ121+AM121+O121+S121</f>
        <v>232608343</v>
      </c>
      <c r="D121" s="49">
        <f t="shared" si="35"/>
        <v>204806118</v>
      </c>
      <c r="E121" s="49">
        <f t="shared" si="36"/>
        <v>600625937</v>
      </c>
      <c r="F121" s="49">
        <f t="shared" si="37"/>
        <v>354757348</v>
      </c>
      <c r="G121" s="49">
        <f t="shared" ref="G121:Z121" si="46">SUM(G119:G120)</f>
        <v>204190571</v>
      </c>
      <c r="H121" s="49">
        <f t="shared" si="46"/>
        <v>181373733</v>
      </c>
      <c r="I121" s="49">
        <f t="shared" si="46"/>
        <v>573666986</v>
      </c>
      <c r="J121" s="49">
        <f t="shared" si="46"/>
        <v>336912217</v>
      </c>
      <c r="K121" s="49">
        <f t="shared" si="46"/>
        <v>7673559</v>
      </c>
      <c r="L121" s="49">
        <f t="shared" si="46"/>
        <v>6447547</v>
      </c>
      <c r="M121" s="49">
        <f t="shared" si="46"/>
        <v>8802113</v>
      </c>
      <c r="N121" s="49">
        <f t="shared" si="46"/>
        <v>8449665</v>
      </c>
      <c r="O121" s="49">
        <f t="shared" si="46"/>
        <v>12013713</v>
      </c>
      <c r="P121" s="49">
        <f t="shared" si="46"/>
        <v>8433588</v>
      </c>
      <c r="Q121" s="49">
        <f t="shared" si="46"/>
        <v>9605588</v>
      </c>
      <c r="R121" s="49">
        <f t="shared" si="46"/>
        <v>4738146</v>
      </c>
      <c r="S121" s="49">
        <f t="shared" si="46"/>
        <v>7481680</v>
      </c>
      <c r="T121" s="49">
        <f t="shared" si="46"/>
        <v>7302430</v>
      </c>
      <c r="U121" s="49">
        <f t="shared" si="46"/>
        <v>7302430</v>
      </c>
      <c r="V121" s="49">
        <f t="shared" si="46"/>
        <v>4039746</v>
      </c>
      <c r="W121" s="49">
        <f t="shared" si="46"/>
        <v>1248820</v>
      </c>
      <c r="X121" s="49">
        <f t="shared" si="46"/>
        <v>1248820</v>
      </c>
      <c r="Y121" s="49">
        <f t="shared" si="46"/>
        <v>1248820</v>
      </c>
      <c r="Z121" s="49">
        <f t="shared" si="46"/>
        <v>617574</v>
      </c>
    </row>
    <row r="122" spans="1:26" x14ac:dyDescent="0.2">
      <c r="A122" s="25">
        <v>36</v>
      </c>
      <c r="B122" s="22"/>
      <c r="C122" s="22"/>
      <c r="D122" s="47">
        <f t="shared" si="35"/>
        <v>0</v>
      </c>
      <c r="E122" s="47">
        <f t="shared" si="36"/>
        <v>0</v>
      </c>
      <c r="F122" s="47">
        <f t="shared" si="37"/>
        <v>0</v>
      </c>
      <c r="G122" s="47"/>
      <c r="H122" s="50"/>
      <c r="I122" s="50"/>
      <c r="J122" s="47"/>
      <c r="K122" s="47"/>
      <c r="L122" s="50"/>
      <c r="M122" s="50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50"/>
      <c r="Y122" s="50"/>
      <c r="Z122" s="47"/>
    </row>
    <row r="123" spans="1:26" s="11" customFormat="1" x14ac:dyDescent="0.2">
      <c r="A123" s="25">
        <v>37</v>
      </c>
      <c r="B123" s="9" t="s">
        <v>76</v>
      </c>
      <c r="C123" s="58">
        <f t="shared" ref="C123:C129" si="47">G123+K123+W123+AA123+AD123+AJ123+AM123+O123+S123</f>
        <v>1</v>
      </c>
      <c r="D123" s="58">
        <f t="shared" si="35"/>
        <v>1</v>
      </c>
      <c r="E123" s="58">
        <f t="shared" si="36"/>
        <v>1</v>
      </c>
      <c r="F123" s="58">
        <f t="shared" si="37"/>
        <v>1</v>
      </c>
      <c r="G123" s="58"/>
      <c r="H123" s="58">
        <v>0</v>
      </c>
      <c r="I123" s="58">
        <v>0</v>
      </c>
      <c r="J123" s="58">
        <v>0</v>
      </c>
      <c r="K123" s="58">
        <v>1</v>
      </c>
      <c r="L123" s="58">
        <v>1</v>
      </c>
      <c r="M123" s="58">
        <v>1</v>
      </c>
      <c r="N123" s="58">
        <v>1</v>
      </c>
      <c r="O123" s="58"/>
      <c r="P123" s="58"/>
      <c r="Q123" s="58"/>
      <c r="R123" s="58"/>
      <c r="S123" s="58"/>
      <c r="T123" s="58">
        <v>0</v>
      </c>
      <c r="U123" s="58">
        <v>0</v>
      </c>
      <c r="V123" s="58"/>
      <c r="W123" s="58"/>
      <c r="X123" s="58">
        <v>0</v>
      </c>
      <c r="Y123" s="58">
        <v>0</v>
      </c>
      <c r="Z123" s="58"/>
    </row>
    <row r="124" spans="1:26" s="11" customFormat="1" x14ac:dyDescent="0.2">
      <c r="A124" s="25">
        <v>38</v>
      </c>
      <c r="B124" s="9" t="s">
        <v>77</v>
      </c>
      <c r="C124" s="58">
        <f t="shared" si="47"/>
        <v>0</v>
      </c>
      <c r="D124" s="58">
        <f t="shared" si="35"/>
        <v>0</v>
      </c>
      <c r="E124" s="58">
        <f t="shared" si="36"/>
        <v>0</v>
      </c>
      <c r="F124" s="58">
        <f t="shared" si="37"/>
        <v>0</v>
      </c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s="11" customFormat="1" x14ac:dyDescent="0.2">
      <c r="A125" s="25">
        <v>39</v>
      </c>
      <c r="B125" s="9" t="s">
        <v>78</v>
      </c>
      <c r="C125" s="58">
        <f t="shared" si="47"/>
        <v>2</v>
      </c>
      <c r="D125" s="58">
        <f t="shared" si="35"/>
        <v>5</v>
      </c>
      <c r="E125" s="58">
        <f t="shared" si="36"/>
        <v>5</v>
      </c>
      <c r="F125" s="58">
        <f t="shared" si="37"/>
        <v>3.5</v>
      </c>
      <c r="G125" s="58"/>
      <c r="H125" s="58">
        <v>3</v>
      </c>
      <c r="I125" s="58">
        <v>3</v>
      </c>
      <c r="J125" s="58">
        <v>1.5</v>
      </c>
      <c r="K125" s="58"/>
      <c r="L125" s="58">
        <v>0</v>
      </c>
      <c r="M125" s="58">
        <v>0</v>
      </c>
      <c r="N125" s="58">
        <v>0</v>
      </c>
      <c r="O125" s="58">
        <v>1</v>
      </c>
      <c r="P125" s="58">
        <v>1</v>
      </c>
      <c r="Q125" s="58">
        <v>1</v>
      </c>
      <c r="R125" s="58">
        <v>1</v>
      </c>
      <c r="S125" s="58">
        <v>1</v>
      </c>
      <c r="T125" s="58">
        <v>1</v>
      </c>
      <c r="U125" s="58">
        <v>1</v>
      </c>
      <c r="V125" s="58">
        <v>1</v>
      </c>
      <c r="W125" s="58"/>
      <c r="X125" s="58">
        <v>0</v>
      </c>
      <c r="Y125" s="58">
        <v>0</v>
      </c>
      <c r="Z125" s="58">
        <v>0</v>
      </c>
    </row>
    <row r="126" spans="1:26" s="11" customFormat="1" x14ac:dyDescent="0.2">
      <c r="A126" s="25">
        <v>40</v>
      </c>
      <c r="B126" s="9" t="s">
        <v>79</v>
      </c>
      <c r="C126" s="58">
        <f t="shared" si="47"/>
        <v>0</v>
      </c>
      <c r="D126" s="58">
        <f t="shared" si="35"/>
        <v>11</v>
      </c>
      <c r="E126" s="58">
        <f t="shared" si="36"/>
        <v>11</v>
      </c>
      <c r="F126" s="58">
        <f t="shared" si="37"/>
        <v>2</v>
      </c>
      <c r="G126" s="58"/>
      <c r="H126" s="58">
        <v>11</v>
      </c>
      <c r="I126" s="58">
        <v>11</v>
      </c>
      <c r="J126" s="58">
        <v>2</v>
      </c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s="11" customFormat="1" x14ac:dyDescent="0.2">
      <c r="A127" s="25">
        <v>41</v>
      </c>
      <c r="B127" s="9" t="s">
        <v>80</v>
      </c>
      <c r="C127" s="58">
        <f t="shared" si="47"/>
        <v>2</v>
      </c>
      <c r="D127" s="58">
        <f t="shared" si="35"/>
        <v>10</v>
      </c>
      <c r="E127" s="58">
        <f t="shared" si="36"/>
        <v>10</v>
      </c>
      <c r="F127" s="58">
        <f t="shared" si="37"/>
        <v>9.75</v>
      </c>
      <c r="G127" s="58"/>
      <c r="H127" s="58">
        <v>8</v>
      </c>
      <c r="I127" s="58">
        <v>8</v>
      </c>
      <c r="J127" s="58">
        <f>4.75+3</f>
        <v>7.75</v>
      </c>
      <c r="K127" s="58"/>
      <c r="L127" s="58"/>
      <c r="M127" s="58"/>
      <c r="N127" s="58"/>
      <c r="O127" s="58"/>
      <c r="P127" s="58"/>
      <c r="Q127" s="58"/>
      <c r="R127" s="58"/>
      <c r="S127" s="58">
        <v>1</v>
      </c>
      <c r="T127" s="58">
        <v>1</v>
      </c>
      <c r="U127" s="58">
        <v>1</v>
      </c>
      <c r="V127" s="58">
        <v>1</v>
      </c>
      <c r="W127" s="58">
        <v>1</v>
      </c>
      <c r="X127" s="58">
        <v>1</v>
      </c>
      <c r="Y127" s="58">
        <v>1</v>
      </c>
      <c r="Z127" s="58">
        <v>1</v>
      </c>
    </row>
    <row r="128" spans="1:26" s="11" customFormat="1" x14ac:dyDescent="0.2">
      <c r="A128" s="25">
        <v>42</v>
      </c>
      <c r="B128" s="9" t="s">
        <v>163</v>
      </c>
      <c r="C128" s="58">
        <f t="shared" si="47"/>
        <v>0</v>
      </c>
      <c r="D128" s="58">
        <f t="shared" si="35"/>
        <v>7</v>
      </c>
      <c r="E128" s="58">
        <f t="shared" si="36"/>
        <v>7</v>
      </c>
      <c r="F128" s="58">
        <f t="shared" si="37"/>
        <v>7</v>
      </c>
      <c r="G128" s="58"/>
      <c r="H128" s="58">
        <v>7</v>
      </c>
      <c r="I128" s="58">
        <v>7</v>
      </c>
      <c r="J128" s="58">
        <v>7</v>
      </c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x14ac:dyDescent="0.2">
      <c r="A129" s="25">
        <v>43</v>
      </c>
      <c r="B129" s="9" t="s">
        <v>81</v>
      </c>
      <c r="C129" s="58">
        <f t="shared" si="47"/>
        <v>5</v>
      </c>
      <c r="D129" s="58">
        <f t="shared" si="35"/>
        <v>34</v>
      </c>
      <c r="E129" s="58">
        <f t="shared" si="36"/>
        <v>34</v>
      </c>
      <c r="F129" s="58">
        <f t="shared" si="37"/>
        <v>23.25</v>
      </c>
      <c r="G129" s="58">
        <f>SUM(G123:G128)</f>
        <v>0</v>
      </c>
      <c r="H129" s="58">
        <f>SUM(H123:H128)</f>
        <v>29</v>
      </c>
      <c r="I129" s="58">
        <f>SUM(I123:I128)</f>
        <v>29</v>
      </c>
      <c r="J129" s="58">
        <f>SUM(J123:J128)</f>
        <v>18.25</v>
      </c>
      <c r="K129" s="58">
        <f t="shared" ref="K129:Z129" si="48">SUM(K123:K127)</f>
        <v>1</v>
      </c>
      <c r="L129" s="58">
        <f t="shared" si="48"/>
        <v>1</v>
      </c>
      <c r="M129" s="58">
        <f t="shared" si="48"/>
        <v>1</v>
      </c>
      <c r="N129" s="58">
        <f t="shared" si="48"/>
        <v>1</v>
      </c>
      <c r="O129" s="58">
        <f t="shared" si="48"/>
        <v>1</v>
      </c>
      <c r="P129" s="58">
        <f t="shared" si="48"/>
        <v>1</v>
      </c>
      <c r="Q129" s="58">
        <f t="shared" si="48"/>
        <v>1</v>
      </c>
      <c r="R129" s="58">
        <f t="shared" si="48"/>
        <v>1</v>
      </c>
      <c r="S129" s="58">
        <f t="shared" si="48"/>
        <v>2</v>
      </c>
      <c r="T129" s="58">
        <f t="shared" si="48"/>
        <v>2</v>
      </c>
      <c r="U129" s="58">
        <f t="shared" si="48"/>
        <v>2</v>
      </c>
      <c r="V129" s="58">
        <f t="shared" si="48"/>
        <v>2</v>
      </c>
      <c r="W129" s="58">
        <f t="shared" si="48"/>
        <v>1</v>
      </c>
      <c r="X129" s="58">
        <f t="shared" si="48"/>
        <v>1</v>
      </c>
      <c r="Y129" s="58">
        <f t="shared" si="48"/>
        <v>1</v>
      </c>
      <c r="Z129" s="58">
        <f t="shared" si="48"/>
        <v>1</v>
      </c>
    </row>
  </sheetData>
  <mergeCells count="27">
    <mergeCell ref="H5:Z5"/>
    <mergeCell ref="H7:J7"/>
    <mergeCell ref="L7:N7"/>
    <mergeCell ref="P7:R7"/>
    <mergeCell ref="T7:V7"/>
    <mergeCell ref="X7:Z7"/>
    <mergeCell ref="H8:J8"/>
    <mergeCell ref="L8:N8"/>
    <mergeCell ref="P8:R8"/>
    <mergeCell ref="T8:V8"/>
    <mergeCell ref="X8:Z8"/>
    <mergeCell ref="H9:J9"/>
    <mergeCell ref="L9:N9"/>
    <mergeCell ref="P9:R9"/>
    <mergeCell ref="T9:V9"/>
    <mergeCell ref="X88:Z88"/>
    <mergeCell ref="H89:J89"/>
    <mergeCell ref="L89:N89"/>
    <mergeCell ref="P89:R89"/>
    <mergeCell ref="T89:V89"/>
    <mergeCell ref="X89:Z89"/>
    <mergeCell ref="P90:R90"/>
    <mergeCell ref="T90:V90"/>
    <mergeCell ref="H88:J88"/>
    <mergeCell ref="L88:N88"/>
    <mergeCell ref="P88:R88"/>
    <mergeCell ref="T88:V88"/>
  </mergeCells>
  <pageMargins left="0.19685039370078741" right="0.19685039370078741" top="0.19685039370078741" bottom="0.19685039370078741" header="0" footer="0"/>
  <pageSetup paperSize="8" scale="5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9"/>
  <sheetViews>
    <sheetView workbookViewId="0">
      <selection activeCell="G74" sqref="G74"/>
    </sheetView>
  </sheetViews>
  <sheetFormatPr defaultRowHeight="12.75" x14ac:dyDescent="0.2"/>
  <cols>
    <col min="1" max="1" width="3.7109375" customWidth="1"/>
    <col min="2" max="2" width="46.7109375" customWidth="1"/>
    <col min="3" max="3" width="13" customWidth="1"/>
    <col min="4" max="4" width="11.5703125" style="30" customWidth="1"/>
    <col min="5" max="5" width="13.5703125" style="30" customWidth="1"/>
    <col min="6" max="6" width="11.5703125" style="30" customWidth="1"/>
    <col min="7" max="7" width="12.5703125" style="30" customWidth="1"/>
    <col min="8" max="8" width="13.140625" style="30" customWidth="1"/>
    <col min="9" max="10" width="11.5703125" style="57" customWidth="1"/>
    <col min="11" max="11" width="13.28515625" style="57" customWidth="1"/>
    <col min="12" max="13" width="11.5703125" style="57" customWidth="1"/>
    <col min="14" max="14" width="13.140625" style="57" customWidth="1"/>
    <col min="15" max="16" width="11.5703125" style="57" customWidth="1"/>
    <col min="17" max="17" width="13.5703125" style="57" customWidth="1"/>
    <col min="18" max="19" width="11.5703125" style="57" customWidth="1"/>
    <col min="20" max="20" width="12.85546875" style="57" customWidth="1"/>
  </cols>
  <sheetData>
    <row r="1" spans="1:21" x14ac:dyDescent="0.2">
      <c r="A1" s="11"/>
      <c r="B1" s="11"/>
      <c r="C1" s="11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 t="s">
        <v>94</v>
      </c>
    </row>
    <row r="2" spans="1:21" x14ac:dyDescent="0.2">
      <c r="A2" s="11"/>
      <c r="B2" s="11"/>
      <c r="C2" s="11"/>
      <c r="E2" s="30" t="s">
        <v>164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1" x14ac:dyDescent="0.2">
      <c r="A3" s="11"/>
      <c r="B3" s="11"/>
      <c r="C3" s="1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1" x14ac:dyDescent="0.2">
      <c r="A4" s="11"/>
      <c r="B4" s="11"/>
      <c r="C4" s="1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x14ac:dyDescent="0.2">
      <c r="A5" s="6">
        <v>1</v>
      </c>
      <c r="B5" s="9" t="s">
        <v>0</v>
      </c>
      <c r="C5" s="65"/>
      <c r="D5" s="32"/>
      <c r="E5" s="32"/>
      <c r="F5" s="31"/>
      <c r="G5" s="72" t="s">
        <v>27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1" x14ac:dyDescent="0.2">
      <c r="A6" s="6">
        <v>2</v>
      </c>
      <c r="B6" s="12" t="s">
        <v>1</v>
      </c>
      <c r="C6" s="34" t="s">
        <v>2</v>
      </c>
      <c r="D6" s="34"/>
      <c r="E6" s="34"/>
      <c r="F6" s="33"/>
      <c r="G6" s="37"/>
      <c r="H6" s="37"/>
      <c r="I6" s="37"/>
      <c r="J6" s="37"/>
      <c r="K6" s="37"/>
      <c r="L6" s="38"/>
      <c r="M6" s="38"/>
      <c r="N6" s="38"/>
      <c r="O6" s="38"/>
      <c r="P6" s="38"/>
      <c r="Q6" s="38"/>
      <c r="R6" s="38"/>
      <c r="S6" s="34"/>
      <c r="T6" s="35"/>
    </row>
    <row r="7" spans="1:21" x14ac:dyDescent="0.2">
      <c r="A7" s="6">
        <v>3</v>
      </c>
      <c r="B7" s="5"/>
      <c r="C7" s="67"/>
      <c r="D7" s="38"/>
      <c r="E7" s="38"/>
      <c r="F7" s="72" t="s">
        <v>43</v>
      </c>
      <c r="G7" s="72"/>
      <c r="H7" s="73"/>
      <c r="I7" s="72" t="s">
        <v>44</v>
      </c>
      <c r="J7" s="72"/>
      <c r="K7" s="73"/>
      <c r="L7" s="72" t="s">
        <v>149</v>
      </c>
      <c r="M7" s="72"/>
      <c r="N7" s="73"/>
      <c r="O7" s="72" t="s">
        <v>120</v>
      </c>
      <c r="P7" s="72"/>
      <c r="Q7" s="73"/>
      <c r="R7" s="72" t="s">
        <v>151</v>
      </c>
      <c r="S7" s="72"/>
      <c r="T7" s="73"/>
    </row>
    <row r="8" spans="1:21" s="10" customFormat="1" ht="25.5" customHeight="1" x14ac:dyDescent="0.2">
      <c r="A8" s="13">
        <v>4</v>
      </c>
      <c r="B8" s="14"/>
      <c r="C8" s="68"/>
      <c r="D8" s="42"/>
      <c r="E8" s="42"/>
      <c r="F8" s="74" t="s">
        <v>123</v>
      </c>
      <c r="G8" s="74"/>
      <c r="H8" s="75"/>
      <c r="I8" s="74" t="s">
        <v>122</v>
      </c>
      <c r="J8" s="74"/>
      <c r="K8" s="75"/>
      <c r="L8" s="76" t="s">
        <v>147</v>
      </c>
      <c r="M8" s="76"/>
      <c r="N8" s="77"/>
      <c r="O8" s="74" t="s">
        <v>142</v>
      </c>
      <c r="P8" s="74"/>
      <c r="Q8" s="75"/>
      <c r="R8" s="74" t="s">
        <v>150</v>
      </c>
      <c r="S8" s="74"/>
      <c r="T8" s="75"/>
    </row>
    <row r="9" spans="1:21" x14ac:dyDescent="0.2">
      <c r="A9" s="6">
        <v>5</v>
      </c>
      <c r="B9" s="5"/>
      <c r="C9" s="63"/>
      <c r="D9" s="38"/>
      <c r="E9" s="40"/>
      <c r="F9" s="70" t="s">
        <v>17</v>
      </c>
      <c r="G9" s="70"/>
      <c r="H9" s="71"/>
      <c r="I9" s="70" t="s">
        <v>18</v>
      </c>
      <c r="J9" s="70"/>
      <c r="K9" s="71"/>
      <c r="L9" s="70" t="s">
        <v>148</v>
      </c>
      <c r="M9" s="70"/>
      <c r="N9" s="71"/>
      <c r="O9" s="70" t="s">
        <v>121</v>
      </c>
      <c r="P9" s="70"/>
      <c r="Q9" s="71"/>
      <c r="R9" s="32" t="s">
        <v>19</v>
      </c>
      <c r="S9" s="32"/>
      <c r="T9" s="44"/>
    </row>
    <row r="10" spans="1:21" x14ac:dyDescent="0.2">
      <c r="A10" s="15">
        <v>6</v>
      </c>
      <c r="B10" s="16" t="s">
        <v>48</v>
      </c>
      <c r="C10" s="45" t="s">
        <v>49</v>
      </c>
      <c r="D10" s="45" t="s">
        <v>50</v>
      </c>
      <c r="E10" s="45" t="s">
        <v>51</v>
      </c>
      <c r="F10" s="45" t="s">
        <v>52</v>
      </c>
      <c r="G10" s="45" t="s">
        <v>53</v>
      </c>
      <c r="H10" s="45" t="s">
        <v>54</v>
      </c>
      <c r="I10" s="45" t="s">
        <v>55</v>
      </c>
      <c r="J10" s="45" t="s">
        <v>56</v>
      </c>
      <c r="K10" s="45" t="s">
        <v>57</v>
      </c>
      <c r="L10" s="45" t="s">
        <v>58</v>
      </c>
      <c r="M10" s="45" t="s">
        <v>59</v>
      </c>
      <c r="N10" s="45" t="s">
        <v>60</v>
      </c>
      <c r="O10" s="45" t="s">
        <v>124</v>
      </c>
      <c r="P10" s="45" t="s">
        <v>125</v>
      </c>
      <c r="Q10" s="45" t="s">
        <v>165</v>
      </c>
      <c r="R10" s="45" t="s">
        <v>126</v>
      </c>
      <c r="S10" s="45" t="s">
        <v>127</v>
      </c>
      <c r="T10" s="45" t="s">
        <v>128</v>
      </c>
    </row>
    <row r="11" spans="1:21" s="8" customFormat="1" x14ac:dyDescent="0.2">
      <c r="A11" s="15">
        <v>7</v>
      </c>
      <c r="B11" s="17"/>
      <c r="C11" s="45" t="s">
        <v>154</v>
      </c>
      <c r="D11" s="45" t="s">
        <v>154</v>
      </c>
      <c r="E11" s="45" t="s">
        <v>154</v>
      </c>
      <c r="F11" s="45" t="s">
        <v>154</v>
      </c>
      <c r="G11" s="45" t="s">
        <v>154</v>
      </c>
      <c r="H11" s="45" t="s">
        <v>154</v>
      </c>
      <c r="I11" s="45" t="s">
        <v>154</v>
      </c>
      <c r="J11" s="45" t="s">
        <v>154</v>
      </c>
      <c r="K11" s="45" t="s">
        <v>154</v>
      </c>
      <c r="L11" s="45" t="s">
        <v>154</v>
      </c>
      <c r="M11" s="45" t="s">
        <v>154</v>
      </c>
      <c r="N11" s="45" t="s">
        <v>154</v>
      </c>
      <c r="O11" s="45" t="s">
        <v>154</v>
      </c>
      <c r="P11" s="45" t="s">
        <v>154</v>
      </c>
      <c r="Q11" s="45" t="s">
        <v>154</v>
      </c>
      <c r="R11" s="45" t="s">
        <v>154</v>
      </c>
      <c r="S11" s="45" t="s">
        <v>154</v>
      </c>
      <c r="T11" s="45" t="s">
        <v>154</v>
      </c>
      <c r="U11" s="7"/>
    </row>
    <row r="12" spans="1:21" x14ac:dyDescent="0.2">
      <c r="A12" s="15">
        <v>8</v>
      </c>
      <c r="B12" s="18" t="s">
        <v>4</v>
      </c>
      <c r="C12" s="46" t="s">
        <v>3</v>
      </c>
      <c r="D12" s="46" t="s">
        <v>95</v>
      </c>
      <c r="E12" s="46" t="s">
        <v>139</v>
      </c>
      <c r="F12" s="46" t="s">
        <v>3</v>
      </c>
      <c r="G12" s="46" t="s">
        <v>95</v>
      </c>
      <c r="H12" s="46" t="s">
        <v>139</v>
      </c>
      <c r="I12" s="46" t="s">
        <v>3</v>
      </c>
      <c r="J12" s="46" t="s">
        <v>95</v>
      </c>
      <c r="K12" s="46" t="s">
        <v>139</v>
      </c>
      <c r="L12" s="46" t="s">
        <v>3</v>
      </c>
      <c r="M12" s="46" t="s">
        <v>95</v>
      </c>
      <c r="N12" s="46" t="s">
        <v>139</v>
      </c>
      <c r="O12" s="46" t="s">
        <v>3</v>
      </c>
      <c r="P12" s="46" t="s">
        <v>95</v>
      </c>
      <c r="Q12" s="46" t="s">
        <v>139</v>
      </c>
      <c r="R12" s="46" t="s">
        <v>3</v>
      </c>
      <c r="S12" s="46" t="s">
        <v>95</v>
      </c>
      <c r="T12" s="46" t="s">
        <v>139</v>
      </c>
    </row>
    <row r="13" spans="1:21" x14ac:dyDescent="0.2">
      <c r="A13" s="6">
        <v>9</v>
      </c>
      <c r="B13" s="9" t="s">
        <v>146</v>
      </c>
      <c r="C13" s="47">
        <f t="shared" ref="C13:C37" si="0">F13+I13+R13+L13+O13</f>
        <v>0</v>
      </c>
      <c r="D13" s="47">
        <f t="shared" ref="D13:D37" si="1">G13+J13+S13+M13+P13</f>
        <v>0</v>
      </c>
      <c r="E13" s="47">
        <f t="shared" ref="E13:E37" si="2">H13+K13+T13+N13+Q13</f>
        <v>0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1" x14ac:dyDescent="0.2">
      <c r="A14" s="6">
        <v>10</v>
      </c>
      <c r="B14" s="9" t="s">
        <v>145</v>
      </c>
      <c r="C14" s="47">
        <f t="shared" si="0"/>
        <v>0</v>
      </c>
      <c r="D14" s="47">
        <f t="shared" si="1"/>
        <v>0</v>
      </c>
      <c r="E14" s="47">
        <f t="shared" si="2"/>
        <v>0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1" x14ac:dyDescent="0.2">
      <c r="A15" s="6">
        <v>11</v>
      </c>
      <c r="B15" s="9" t="s">
        <v>30</v>
      </c>
      <c r="C15" s="47">
        <f t="shared" si="0"/>
        <v>0</v>
      </c>
      <c r="D15" s="47">
        <f t="shared" si="1"/>
        <v>0</v>
      </c>
      <c r="E15" s="47">
        <f t="shared" si="2"/>
        <v>0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1" x14ac:dyDescent="0.2">
      <c r="A16" s="6">
        <v>12</v>
      </c>
      <c r="B16" s="9" t="s">
        <v>5</v>
      </c>
      <c r="C16" s="47">
        <f t="shared" si="0"/>
        <v>1720000</v>
      </c>
      <c r="D16" s="47">
        <f t="shared" si="1"/>
        <v>1720000</v>
      </c>
      <c r="E16" s="47">
        <f t="shared" si="2"/>
        <v>0</v>
      </c>
      <c r="F16" s="47">
        <f>1000000+720000</f>
        <v>1720000</v>
      </c>
      <c r="G16" s="47">
        <v>1720000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0" x14ac:dyDescent="0.2">
      <c r="A17" s="6">
        <v>13</v>
      </c>
      <c r="B17" s="9" t="s">
        <v>6</v>
      </c>
      <c r="C17" s="47">
        <f t="shared" si="0"/>
        <v>0</v>
      </c>
      <c r="D17" s="47">
        <f t="shared" si="1"/>
        <v>0</v>
      </c>
      <c r="E17" s="47">
        <f t="shared" si="2"/>
        <v>0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x14ac:dyDescent="0.2">
      <c r="A18" s="6">
        <v>14</v>
      </c>
      <c r="B18" s="9" t="s">
        <v>96</v>
      </c>
      <c r="C18" s="47">
        <f t="shared" si="0"/>
        <v>1720000</v>
      </c>
      <c r="D18" s="47">
        <f t="shared" si="1"/>
        <v>1720000</v>
      </c>
      <c r="E18" s="47">
        <f t="shared" si="2"/>
        <v>0</v>
      </c>
      <c r="F18" s="47">
        <f t="shared" ref="F18:Q18" si="3">SUM(F13:F17)</f>
        <v>1720000</v>
      </c>
      <c r="G18" s="47">
        <f>SUM(G13:G17)</f>
        <v>1720000</v>
      </c>
      <c r="H18" s="47">
        <f>SUM(H13:H17)</f>
        <v>0</v>
      </c>
      <c r="I18" s="47"/>
      <c r="J18" s="47">
        <f t="shared" si="3"/>
        <v>0</v>
      </c>
      <c r="K18" s="47">
        <f t="shared" si="3"/>
        <v>0</v>
      </c>
      <c r="L18" s="47"/>
      <c r="M18" s="47">
        <f t="shared" si="3"/>
        <v>0</v>
      </c>
      <c r="N18" s="47">
        <f t="shared" si="3"/>
        <v>0</v>
      </c>
      <c r="O18" s="47"/>
      <c r="P18" s="47">
        <f t="shared" si="3"/>
        <v>0</v>
      </c>
      <c r="Q18" s="47">
        <f t="shared" si="3"/>
        <v>0</v>
      </c>
      <c r="R18" s="47"/>
      <c r="S18" s="47">
        <f>SUM(S13:S17)</f>
        <v>0</v>
      </c>
      <c r="T18" s="47">
        <f>SUM(T13:T17)</f>
        <v>0</v>
      </c>
    </row>
    <row r="19" spans="1:20" x14ac:dyDescent="0.2">
      <c r="A19" s="6">
        <v>15</v>
      </c>
      <c r="B19" s="9" t="s">
        <v>97</v>
      </c>
      <c r="C19" s="47">
        <f t="shared" si="0"/>
        <v>50000</v>
      </c>
      <c r="D19" s="47">
        <f t="shared" si="1"/>
        <v>50000</v>
      </c>
      <c r="E19" s="47">
        <f t="shared" si="2"/>
        <v>0</v>
      </c>
      <c r="F19" s="47">
        <v>50000</v>
      </c>
      <c r="G19" s="47">
        <v>50000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x14ac:dyDescent="0.2">
      <c r="A20" s="6">
        <v>16</v>
      </c>
      <c r="B20" s="9" t="s">
        <v>99</v>
      </c>
      <c r="C20" s="47">
        <f t="shared" si="0"/>
        <v>10819347</v>
      </c>
      <c r="D20" s="47">
        <f t="shared" si="1"/>
        <v>10819347</v>
      </c>
      <c r="E20" s="47">
        <f t="shared" si="2"/>
        <v>0</v>
      </c>
      <c r="F20" s="47">
        <v>10819347</v>
      </c>
      <c r="G20" s="47">
        <v>10819347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x14ac:dyDescent="0.2">
      <c r="A21" s="6">
        <v>17</v>
      </c>
      <c r="B21" s="9" t="s">
        <v>100</v>
      </c>
      <c r="C21" s="47">
        <f t="shared" si="0"/>
        <v>0</v>
      </c>
      <c r="D21" s="47">
        <f t="shared" si="1"/>
        <v>0</v>
      </c>
      <c r="E21" s="47">
        <f t="shared" si="2"/>
        <v>0</v>
      </c>
      <c r="F21" s="47"/>
      <c r="G21" s="47">
        <v>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pans="1:20" s="3" customFormat="1" x14ac:dyDescent="0.2">
      <c r="A22" s="19">
        <v>18</v>
      </c>
      <c r="B22" s="20" t="s">
        <v>119</v>
      </c>
      <c r="C22" s="47">
        <f t="shared" si="0"/>
        <v>10819347</v>
      </c>
      <c r="D22" s="47">
        <f t="shared" si="1"/>
        <v>10819347</v>
      </c>
      <c r="E22" s="47">
        <f t="shared" si="2"/>
        <v>0</v>
      </c>
      <c r="F22" s="48">
        <f t="shared" ref="F22:Q22" si="4">SUM(F20:F21)</f>
        <v>10819347</v>
      </c>
      <c r="G22" s="48">
        <f>SUM(G20:G21)</f>
        <v>10819347</v>
      </c>
      <c r="H22" s="48">
        <f>SUM(H20:H21)</f>
        <v>0</v>
      </c>
      <c r="I22" s="48"/>
      <c r="J22" s="48">
        <f t="shared" si="4"/>
        <v>0</v>
      </c>
      <c r="K22" s="48">
        <f t="shared" si="4"/>
        <v>0</v>
      </c>
      <c r="L22" s="48"/>
      <c r="M22" s="48">
        <f t="shared" si="4"/>
        <v>0</v>
      </c>
      <c r="N22" s="48">
        <f t="shared" si="4"/>
        <v>0</v>
      </c>
      <c r="O22" s="48"/>
      <c r="P22" s="48">
        <f t="shared" si="4"/>
        <v>0</v>
      </c>
      <c r="Q22" s="48">
        <f t="shared" si="4"/>
        <v>0</v>
      </c>
      <c r="R22" s="48"/>
      <c r="S22" s="48"/>
      <c r="T22" s="47"/>
    </row>
    <row r="23" spans="1:20" s="3" customFormat="1" x14ac:dyDescent="0.2">
      <c r="A23" s="19">
        <v>19</v>
      </c>
      <c r="B23" s="9" t="s">
        <v>8</v>
      </c>
      <c r="C23" s="47">
        <f t="shared" si="0"/>
        <v>7500000</v>
      </c>
      <c r="D23" s="47">
        <f t="shared" si="1"/>
        <v>7500000</v>
      </c>
      <c r="E23" s="47">
        <f t="shared" si="2"/>
        <v>0</v>
      </c>
      <c r="F23" s="47">
        <v>7500000</v>
      </c>
      <c r="G23" s="47">
        <v>7500000</v>
      </c>
      <c r="H23" s="47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7"/>
    </row>
    <row r="24" spans="1:20" s="3" customFormat="1" x14ac:dyDescent="0.2">
      <c r="A24" s="19">
        <v>20</v>
      </c>
      <c r="B24" s="9" t="s">
        <v>98</v>
      </c>
      <c r="C24" s="47">
        <f t="shared" si="0"/>
        <v>0</v>
      </c>
      <c r="D24" s="47">
        <f t="shared" si="1"/>
        <v>0</v>
      </c>
      <c r="E24" s="47">
        <f t="shared" si="2"/>
        <v>0</v>
      </c>
      <c r="F24" s="47"/>
      <c r="G24" s="47"/>
      <c r="H24" s="47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7"/>
    </row>
    <row r="25" spans="1:20" x14ac:dyDescent="0.2">
      <c r="A25" s="6">
        <v>21</v>
      </c>
      <c r="B25" s="9" t="s">
        <v>7</v>
      </c>
      <c r="C25" s="47">
        <f t="shared" si="0"/>
        <v>1000000</v>
      </c>
      <c r="D25" s="47">
        <f t="shared" si="1"/>
        <v>1000000</v>
      </c>
      <c r="E25" s="47">
        <f t="shared" si="2"/>
        <v>0</v>
      </c>
      <c r="F25" s="47">
        <v>1000000</v>
      </c>
      <c r="G25" s="47">
        <v>1000000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pans="1:20" x14ac:dyDescent="0.2">
      <c r="A26" s="6">
        <v>22</v>
      </c>
      <c r="B26" s="5" t="s">
        <v>101</v>
      </c>
      <c r="C26" s="47">
        <f t="shared" si="0"/>
        <v>0</v>
      </c>
      <c r="D26" s="47">
        <f t="shared" si="1"/>
        <v>0</v>
      </c>
      <c r="E26" s="47">
        <f t="shared" si="2"/>
        <v>0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1:20" x14ac:dyDescent="0.2">
      <c r="A27" s="6">
        <v>23</v>
      </c>
      <c r="B27" s="9" t="s">
        <v>9</v>
      </c>
      <c r="C27" s="47">
        <f t="shared" si="0"/>
        <v>37000000</v>
      </c>
      <c r="D27" s="47">
        <f t="shared" si="1"/>
        <v>37000000</v>
      </c>
      <c r="E27" s="47">
        <f t="shared" si="2"/>
        <v>0</v>
      </c>
      <c r="F27" s="47">
        <v>37000000</v>
      </c>
      <c r="G27" s="47">
        <v>37000000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x14ac:dyDescent="0.2">
      <c r="A28" s="6">
        <v>24</v>
      </c>
      <c r="B28" s="5" t="s">
        <v>135</v>
      </c>
      <c r="C28" s="47">
        <f t="shared" si="0"/>
        <v>0</v>
      </c>
      <c r="D28" s="47">
        <f t="shared" si="1"/>
        <v>0</v>
      </c>
      <c r="E28" s="47">
        <f t="shared" si="2"/>
        <v>0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pans="1:20" x14ac:dyDescent="0.2">
      <c r="A29" s="6">
        <v>25</v>
      </c>
      <c r="B29" s="9" t="s">
        <v>136</v>
      </c>
      <c r="C29" s="47">
        <f t="shared" si="0"/>
        <v>0</v>
      </c>
      <c r="D29" s="47">
        <f t="shared" si="1"/>
        <v>0</v>
      </c>
      <c r="E29" s="47">
        <f t="shared" si="2"/>
        <v>0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x14ac:dyDescent="0.2">
      <c r="A30" s="6">
        <v>26</v>
      </c>
      <c r="B30" s="20" t="s">
        <v>117</v>
      </c>
      <c r="C30" s="47">
        <f t="shared" si="0"/>
        <v>45500000</v>
      </c>
      <c r="D30" s="47">
        <f t="shared" si="1"/>
        <v>45500000</v>
      </c>
      <c r="E30" s="47">
        <f t="shared" si="2"/>
        <v>0</v>
      </c>
      <c r="F30" s="47">
        <f t="shared" ref="F30:Q30" si="5">SUM(F23:F29)</f>
        <v>45500000</v>
      </c>
      <c r="G30" s="47">
        <f>SUM(G23:G29)</f>
        <v>45500000</v>
      </c>
      <c r="H30" s="47">
        <f t="shared" si="5"/>
        <v>0</v>
      </c>
      <c r="I30" s="47"/>
      <c r="J30" s="47">
        <f t="shared" si="5"/>
        <v>0</v>
      </c>
      <c r="K30" s="47">
        <f t="shared" si="5"/>
        <v>0</v>
      </c>
      <c r="L30" s="47"/>
      <c r="M30" s="47">
        <f t="shared" si="5"/>
        <v>0</v>
      </c>
      <c r="N30" s="47">
        <f t="shared" si="5"/>
        <v>0</v>
      </c>
      <c r="O30" s="47"/>
      <c r="P30" s="47">
        <f t="shared" si="5"/>
        <v>0</v>
      </c>
      <c r="Q30" s="47">
        <f t="shared" si="5"/>
        <v>0</v>
      </c>
      <c r="R30" s="47"/>
      <c r="S30" s="47"/>
      <c r="T30" s="47"/>
    </row>
    <row r="31" spans="1:20" x14ac:dyDescent="0.2">
      <c r="A31" s="6">
        <v>27</v>
      </c>
      <c r="B31" s="9" t="s">
        <v>31</v>
      </c>
      <c r="C31" s="47">
        <f t="shared" si="0"/>
        <v>0</v>
      </c>
      <c r="D31" s="47">
        <f t="shared" si="1"/>
        <v>0</v>
      </c>
      <c r="E31" s="47">
        <f t="shared" si="2"/>
        <v>0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s="3" customFormat="1" x14ac:dyDescent="0.2">
      <c r="A32" s="19">
        <v>28</v>
      </c>
      <c r="B32" s="21" t="s">
        <v>32</v>
      </c>
      <c r="C32" s="47">
        <f t="shared" si="0"/>
        <v>0</v>
      </c>
      <c r="D32" s="47">
        <f t="shared" si="1"/>
        <v>0</v>
      </c>
      <c r="E32" s="47">
        <f t="shared" si="2"/>
        <v>0</v>
      </c>
      <c r="F32" s="47"/>
      <c r="G32" s="48">
        <v>0</v>
      </c>
      <c r="H32" s="47"/>
      <c r="I32" s="47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7"/>
    </row>
    <row r="33" spans="1:57" s="3" customFormat="1" x14ac:dyDescent="0.2">
      <c r="A33" s="19">
        <v>29</v>
      </c>
      <c r="B33" s="9" t="s">
        <v>10</v>
      </c>
      <c r="C33" s="47">
        <f t="shared" si="0"/>
        <v>0</v>
      </c>
      <c r="D33" s="47">
        <f t="shared" si="1"/>
        <v>0</v>
      </c>
      <c r="E33" s="47">
        <f t="shared" si="2"/>
        <v>0</v>
      </c>
      <c r="F33" s="47"/>
      <c r="G33" s="48">
        <v>0</v>
      </c>
      <c r="H33" s="47"/>
      <c r="I33" s="47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7"/>
    </row>
    <row r="34" spans="1:57" s="3" customFormat="1" x14ac:dyDescent="0.2">
      <c r="A34" s="19">
        <v>30</v>
      </c>
      <c r="B34" s="9" t="s">
        <v>23</v>
      </c>
      <c r="C34" s="47">
        <f t="shared" si="0"/>
        <v>0</v>
      </c>
      <c r="D34" s="47">
        <f t="shared" si="1"/>
        <v>0</v>
      </c>
      <c r="E34" s="47">
        <f t="shared" si="2"/>
        <v>0</v>
      </c>
      <c r="F34" s="47"/>
      <c r="G34" s="48">
        <v>0</v>
      </c>
      <c r="H34" s="47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7"/>
    </row>
    <row r="35" spans="1:57" s="3" customFormat="1" x14ac:dyDescent="0.2">
      <c r="A35" s="19">
        <v>31</v>
      </c>
      <c r="B35" s="20" t="s">
        <v>11</v>
      </c>
      <c r="C35" s="47">
        <f t="shared" si="0"/>
        <v>0</v>
      </c>
      <c r="D35" s="47">
        <f t="shared" si="1"/>
        <v>0</v>
      </c>
      <c r="E35" s="47">
        <f t="shared" si="2"/>
        <v>0</v>
      </c>
      <c r="F35" s="47"/>
      <c r="G35" s="48">
        <f>SUM(G31:G34)</f>
        <v>0</v>
      </c>
      <c r="H35" s="48">
        <f t="shared" ref="H35:Q35" si="6">SUM(H31:H34)</f>
        <v>0</v>
      </c>
      <c r="I35" s="48"/>
      <c r="J35" s="48">
        <f t="shared" si="6"/>
        <v>0</v>
      </c>
      <c r="K35" s="48">
        <f t="shared" si="6"/>
        <v>0</v>
      </c>
      <c r="L35" s="48"/>
      <c r="M35" s="48">
        <f t="shared" si="6"/>
        <v>0</v>
      </c>
      <c r="N35" s="48">
        <f t="shared" si="6"/>
        <v>0</v>
      </c>
      <c r="O35" s="48"/>
      <c r="P35" s="48">
        <f t="shared" si="6"/>
        <v>0</v>
      </c>
      <c r="Q35" s="48">
        <f t="shared" si="6"/>
        <v>0</v>
      </c>
      <c r="R35" s="48"/>
      <c r="S35" s="48"/>
      <c r="T35" s="47"/>
    </row>
    <row r="36" spans="1:57" x14ac:dyDescent="0.2">
      <c r="A36" s="6">
        <v>32</v>
      </c>
      <c r="B36" s="9" t="s">
        <v>116</v>
      </c>
      <c r="C36" s="47">
        <f t="shared" si="0"/>
        <v>56319347</v>
      </c>
      <c r="D36" s="47">
        <f t="shared" si="1"/>
        <v>56319347</v>
      </c>
      <c r="E36" s="47">
        <f t="shared" si="2"/>
        <v>0</v>
      </c>
      <c r="F36" s="47">
        <f t="shared" ref="F36:Q36" si="7">F22+F30+F35</f>
        <v>56319347</v>
      </c>
      <c r="G36" s="47">
        <f>G22+G30+G35</f>
        <v>56319347</v>
      </c>
      <c r="H36" s="47">
        <f t="shared" si="7"/>
        <v>0</v>
      </c>
      <c r="I36" s="47"/>
      <c r="J36" s="47">
        <f t="shared" si="7"/>
        <v>0</v>
      </c>
      <c r="K36" s="47">
        <f t="shared" si="7"/>
        <v>0</v>
      </c>
      <c r="L36" s="47"/>
      <c r="M36" s="47">
        <f t="shared" si="7"/>
        <v>0</v>
      </c>
      <c r="N36" s="47">
        <f t="shared" si="7"/>
        <v>0</v>
      </c>
      <c r="O36" s="47"/>
      <c r="P36" s="47">
        <f t="shared" si="7"/>
        <v>0</v>
      </c>
      <c r="Q36" s="47">
        <f t="shared" si="7"/>
        <v>0</v>
      </c>
      <c r="R36" s="47"/>
      <c r="S36" s="47"/>
      <c r="T36" s="47"/>
    </row>
    <row r="37" spans="1:57" x14ac:dyDescent="0.2">
      <c r="A37" s="6">
        <v>33</v>
      </c>
      <c r="B37" s="22" t="s">
        <v>39</v>
      </c>
      <c r="C37" s="49">
        <f t="shared" si="0"/>
        <v>58089347</v>
      </c>
      <c r="D37" s="49">
        <f t="shared" si="1"/>
        <v>58089347</v>
      </c>
      <c r="E37" s="49">
        <f t="shared" si="2"/>
        <v>0</v>
      </c>
      <c r="F37" s="50">
        <f>F18+F19+F36</f>
        <v>58089347</v>
      </c>
      <c r="G37" s="50">
        <f>G18+G19+G36</f>
        <v>58089347</v>
      </c>
      <c r="H37" s="50">
        <f>H18+H19+H36</f>
        <v>0</v>
      </c>
      <c r="I37" s="50"/>
      <c r="J37" s="50">
        <f t="shared" ref="J37:Q37" si="8">J18+J36</f>
        <v>0</v>
      </c>
      <c r="K37" s="50">
        <f t="shared" si="8"/>
        <v>0</v>
      </c>
      <c r="L37" s="50"/>
      <c r="M37" s="50">
        <f t="shared" si="8"/>
        <v>0</v>
      </c>
      <c r="N37" s="50">
        <f t="shared" si="8"/>
        <v>0</v>
      </c>
      <c r="O37" s="50"/>
      <c r="P37" s="50">
        <f t="shared" si="8"/>
        <v>0</v>
      </c>
      <c r="Q37" s="50">
        <f t="shared" si="8"/>
        <v>0</v>
      </c>
      <c r="R37" s="50"/>
      <c r="S37" s="50">
        <f>S18+S36</f>
        <v>0</v>
      </c>
      <c r="T37" s="50">
        <f>T18+T36</f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x14ac:dyDescent="0.2">
      <c r="A38" s="6">
        <v>34</v>
      </c>
      <c r="B38" s="23" t="s">
        <v>102</v>
      </c>
      <c r="C38" s="23"/>
      <c r="D38" s="47">
        <f t="shared" ref="D38:D82" si="9">G38+J38+S38+M38+P38</f>
        <v>0</v>
      </c>
      <c r="E38" s="47">
        <f t="shared" ref="E38:E82" si="10">H38+K38+T38+N38+Q38</f>
        <v>0</v>
      </c>
      <c r="F38" s="47"/>
      <c r="G38" s="50"/>
      <c r="H38" s="47"/>
      <c r="I38" s="47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x14ac:dyDescent="0.2">
      <c r="A39" s="6">
        <v>35</v>
      </c>
      <c r="B39" s="9" t="s">
        <v>103</v>
      </c>
      <c r="C39" s="47">
        <f t="shared" ref="C39:C47" si="11">F39+I39+R39+L39+O39</f>
        <v>61315094</v>
      </c>
      <c r="D39" s="47">
        <f t="shared" si="9"/>
        <v>69390085</v>
      </c>
      <c r="E39" s="47">
        <f t="shared" si="10"/>
        <v>0</v>
      </c>
      <c r="F39" s="47">
        <v>61315094</v>
      </c>
      <c r="G39" s="47">
        <f>61315094+8074991</f>
        <v>69390085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57" x14ac:dyDescent="0.2">
      <c r="A40" s="6">
        <v>36</v>
      </c>
      <c r="B40" s="9" t="s">
        <v>104</v>
      </c>
      <c r="C40" s="47">
        <f t="shared" si="11"/>
        <v>58119900</v>
      </c>
      <c r="D40" s="47">
        <f t="shared" si="9"/>
        <v>61670720</v>
      </c>
      <c r="E40" s="47">
        <f t="shared" si="10"/>
        <v>0</v>
      </c>
      <c r="F40" s="47">
        <v>58119900</v>
      </c>
      <c r="G40" s="47">
        <f>58119900+3482640+68180</f>
        <v>61670720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</row>
    <row r="41" spans="1:57" x14ac:dyDescent="0.2">
      <c r="A41" s="6">
        <v>37</v>
      </c>
      <c r="B41" s="9" t="s">
        <v>105</v>
      </c>
      <c r="C41" s="47">
        <f t="shared" si="11"/>
        <v>29850387</v>
      </c>
      <c r="D41" s="47">
        <f t="shared" si="9"/>
        <v>28800619</v>
      </c>
      <c r="E41" s="47">
        <f t="shared" si="10"/>
        <v>0</v>
      </c>
      <c r="F41" s="47">
        <f>11770000+10070762+8009625</f>
        <v>29850387</v>
      </c>
      <c r="G41" s="47">
        <f>11770000+10070762+8009625-1268080+218312</f>
        <v>28800619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  <row r="42" spans="1:57" x14ac:dyDescent="0.2">
      <c r="A42" s="6">
        <v>38</v>
      </c>
      <c r="B42" s="9" t="s">
        <v>106</v>
      </c>
      <c r="C42" s="47">
        <f t="shared" si="11"/>
        <v>2816001</v>
      </c>
      <c r="D42" s="47">
        <f t="shared" si="9"/>
        <v>3783931</v>
      </c>
      <c r="E42" s="47">
        <f t="shared" si="10"/>
        <v>0</v>
      </c>
      <c r="F42" s="47">
        <v>2816001</v>
      </c>
      <c r="G42" s="47">
        <f>2816001+967930</f>
        <v>3783931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57" x14ac:dyDescent="0.2">
      <c r="A43" s="6">
        <v>39</v>
      </c>
      <c r="B43" s="9" t="s">
        <v>107</v>
      </c>
      <c r="C43" s="47">
        <f t="shared" si="11"/>
        <v>0</v>
      </c>
      <c r="D43" s="47">
        <f t="shared" si="9"/>
        <v>0</v>
      </c>
      <c r="E43" s="47">
        <f t="shared" si="10"/>
        <v>0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</row>
    <row r="44" spans="1:57" x14ac:dyDescent="0.2">
      <c r="A44" s="6">
        <v>40</v>
      </c>
      <c r="B44" s="9" t="s">
        <v>132</v>
      </c>
      <c r="C44" s="47">
        <f t="shared" si="11"/>
        <v>0</v>
      </c>
      <c r="D44" s="47">
        <f t="shared" si="9"/>
        <v>698133</v>
      </c>
      <c r="E44" s="47">
        <f t="shared" si="10"/>
        <v>0</v>
      </c>
      <c r="F44" s="47"/>
      <c r="G44" s="47">
        <v>698133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  <row r="45" spans="1:57" x14ac:dyDescent="0.2">
      <c r="A45" s="6">
        <v>41</v>
      </c>
      <c r="B45" s="9" t="s">
        <v>141</v>
      </c>
      <c r="C45" s="47">
        <f t="shared" si="11"/>
        <v>0</v>
      </c>
      <c r="D45" s="47">
        <f t="shared" si="9"/>
        <v>0</v>
      </c>
      <c r="E45" s="47">
        <f t="shared" si="10"/>
        <v>0</v>
      </c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</row>
    <row r="46" spans="1:57" x14ac:dyDescent="0.2">
      <c r="A46" s="6">
        <v>42</v>
      </c>
      <c r="B46" s="9" t="s">
        <v>131</v>
      </c>
      <c r="C46" s="47">
        <f t="shared" si="11"/>
        <v>0</v>
      </c>
      <c r="D46" s="47">
        <f t="shared" si="9"/>
        <v>0</v>
      </c>
      <c r="E46" s="47">
        <f t="shared" si="10"/>
        <v>0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57" s="2" customFormat="1" x14ac:dyDescent="0.2">
      <c r="A47" s="24">
        <v>43</v>
      </c>
      <c r="B47" s="22" t="s">
        <v>108</v>
      </c>
      <c r="C47" s="49">
        <f t="shared" si="11"/>
        <v>152101382</v>
      </c>
      <c r="D47" s="49">
        <f t="shared" si="9"/>
        <v>164343488</v>
      </c>
      <c r="E47" s="49">
        <f t="shared" si="10"/>
        <v>0</v>
      </c>
      <c r="F47" s="50">
        <f>SUM(F39:F44)</f>
        <v>152101382</v>
      </c>
      <c r="G47" s="50">
        <f>SUM(G39:G46)</f>
        <v>164343488</v>
      </c>
      <c r="H47" s="50">
        <f>SUM(H39:H46)</f>
        <v>0</v>
      </c>
      <c r="I47" s="50"/>
      <c r="J47" s="50">
        <f t="shared" ref="J47:T47" si="12">SUM(J39:J44)</f>
        <v>0</v>
      </c>
      <c r="K47" s="50">
        <f t="shared" si="12"/>
        <v>0</v>
      </c>
      <c r="L47" s="50"/>
      <c r="M47" s="50">
        <f t="shared" si="12"/>
        <v>0</v>
      </c>
      <c r="N47" s="50">
        <f t="shared" si="12"/>
        <v>0</v>
      </c>
      <c r="O47" s="50"/>
      <c r="P47" s="50">
        <f t="shared" si="12"/>
        <v>0</v>
      </c>
      <c r="Q47" s="50">
        <f t="shared" si="12"/>
        <v>0</v>
      </c>
      <c r="R47" s="50"/>
      <c r="S47" s="50">
        <f t="shared" si="12"/>
        <v>0</v>
      </c>
      <c r="T47" s="50">
        <f t="shared" si="12"/>
        <v>0</v>
      </c>
    </row>
    <row r="48" spans="1:57" x14ac:dyDescent="0.2">
      <c r="A48" s="6">
        <v>44</v>
      </c>
      <c r="B48" s="9" t="s">
        <v>109</v>
      </c>
      <c r="C48" s="9"/>
      <c r="D48" s="47">
        <f t="shared" si="9"/>
        <v>0</v>
      </c>
      <c r="E48" s="47">
        <f t="shared" si="10"/>
        <v>0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</row>
    <row r="49" spans="1:20" x14ac:dyDescent="0.2">
      <c r="A49" s="6">
        <v>45</v>
      </c>
      <c r="B49" s="9" t="s">
        <v>34</v>
      </c>
      <c r="C49" s="47">
        <f t="shared" ref="C49:C54" si="13">F49+I49+R49+L49+O49</f>
        <v>5292500</v>
      </c>
      <c r="D49" s="47">
        <f t="shared" si="9"/>
        <v>5880000</v>
      </c>
      <c r="E49" s="47">
        <f t="shared" si="10"/>
        <v>0</v>
      </c>
      <c r="F49" s="47">
        <v>73200</v>
      </c>
      <c r="G49" s="47">
        <v>73200</v>
      </c>
      <c r="H49" s="47"/>
      <c r="I49" s="47">
        <v>5219300</v>
      </c>
      <c r="J49" s="47">
        <f>5219300+587500</f>
        <v>5806800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</row>
    <row r="50" spans="1:20" x14ac:dyDescent="0.2">
      <c r="A50" s="6">
        <v>46</v>
      </c>
      <c r="B50" s="9" t="s">
        <v>161</v>
      </c>
      <c r="C50" s="47">
        <f t="shared" si="13"/>
        <v>0</v>
      </c>
      <c r="D50" s="47">
        <f t="shared" si="9"/>
        <v>0</v>
      </c>
      <c r="E50" s="47">
        <f t="shared" si="10"/>
        <v>0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x14ac:dyDescent="0.2">
      <c r="A51" s="6">
        <v>47</v>
      </c>
      <c r="B51" s="9" t="s">
        <v>114</v>
      </c>
      <c r="C51" s="47">
        <f t="shared" si="13"/>
        <v>3130752</v>
      </c>
      <c r="D51" s="47">
        <f t="shared" si="9"/>
        <v>3130752</v>
      </c>
      <c r="E51" s="47">
        <f t="shared" si="10"/>
        <v>0</v>
      </c>
      <c r="F51" s="47">
        <v>3130752</v>
      </c>
      <c r="G51" s="47">
        <v>3130752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>
        <v>0</v>
      </c>
      <c r="T51" s="47"/>
    </row>
    <row r="52" spans="1:20" x14ac:dyDescent="0.2">
      <c r="A52" s="6">
        <v>48</v>
      </c>
      <c r="B52" s="9" t="s">
        <v>37</v>
      </c>
      <c r="C52" s="47">
        <f t="shared" si="13"/>
        <v>0</v>
      </c>
      <c r="D52" s="47">
        <f t="shared" si="9"/>
        <v>0</v>
      </c>
      <c r="E52" s="47">
        <f t="shared" si="10"/>
        <v>0</v>
      </c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</row>
    <row r="53" spans="1:20" x14ac:dyDescent="0.2">
      <c r="A53" s="6">
        <v>49</v>
      </c>
      <c r="B53" s="9" t="s">
        <v>38</v>
      </c>
      <c r="C53" s="47">
        <f t="shared" si="13"/>
        <v>0</v>
      </c>
      <c r="D53" s="47">
        <f t="shared" si="9"/>
        <v>0</v>
      </c>
      <c r="E53" s="47">
        <f t="shared" si="10"/>
        <v>0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</row>
    <row r="54" spans="1:20" s="2" customFormat="1" x14ac:dyDescent="0.2">
      <c r="A54" s="24">
        <v>50</v>
      </c>
      <c r="B54" s="22" t="s">
        <v>33</v>
      </c>
      <c r="C54" s="49">
        <f t="shared" si="13"/>
        <v>8423252</v>
      </c>
      <c r="D54" s="49">
        <f t="shared" si="9"/>
        <v>9010752</v>
      </c>
      <c r="E54" s="49">
        <f t="shared" si="10"/>
        <v>0</v>
      </c>
      <c r="F54" s="50">
        <f t="shared" ref="F54:T54" si="14">SUM(F49:F53)</f>
        <v>3203952</v>
      </c>
      <c r="G54" s="50">
        <f>SUM(G49:G53)</f>
        <v>3203952</v>
      </c>
      <c r="H54" s="50">
        <f t="shared" si="14"/>
        <v>0</v>
      </c>
      <c r="I54" s="50">
        <f t="shared" si="14"/>
        <v>5219300</v>
      </c>
      <c r="J54" s="50">
        <f t="shared" si="14"/>
        <v>5806800</v>
      </c>
      <c r="K54" s="50">
        <f t="shared" si="14"/>
        <v>0</v>
      </c>
      <c r="L54" s="50"/>
      <c r="M54" s="50">
        <f t="shared" si="14"/>
        <v>0</v>
      </c>
      <c r="N54" s="50">
        <f t="shared" si="14"/>
        <v>0</v>
      </c>
      <c r="O54" s="50"/>
      <c r="P54" s="50">
        <f t="shared" si="14"/>
        <v>0</v>
      </c>
      <c r="Q54" s="50">
        <f t="shared" si="14"/>
        <v>0</v>
      </c>
      <c r="R54" s="50"/>
      <c r="S54" s="50">
        <f t="shared" si="14"/>
        <v>0</v>
      </c>
      <c r="T54" s="50">
        <f t="shared" si="14"/>
        <v>0</v>
      </c>
    </row>
    <row r="55" spans="1:20" s="2" customFormat="1" x14ac:dyDescent="0.2">
      <c r="A55" s="24">
        <v>51</v>
      </c>
      <c r="B55" s="9" t="s">
        <v>110</v>
      </c>
      <c r="C55" s="9"/>
      <c r="D55" s="47">
        <f t="shared" si="9"/>
        <v>0</v>
      </c>
      <c r="E55" s="47">
        <f t="shared" si="10"/>
        <v>0</v>
      </c>
      <c r="F55" s="47"/>
      <c r="G55" s="51">
        <v>0</v>
      </c>
      <c r="H55" s="47"/>
      <c r="I55" s="47"/>
      <c r="J55" s="50"/>
      <c r="K55" s="47"/>
      <c r="L55" s="47"/>
      <c r="M55" s="47"/>
      <c r="N55" s="47"/>
      <c r="O55" s="47"/>
      <c r="P55" s="47"/>
      <c r="Q55" s="47"/>
      <c r="R55" s="47"/>
      <c r="S55" s="50"/>
      <c r="T55" s="47"/>
    </row>
    <row r="56" spans="1:20" s="2" customFormat="1" x14ac:dyDescent="0.2">
      <c r="A56" s="24">
        <v>52</v>
      </c>
      <c r="B56" s="9" t="s">
        <v>138</v>
      </c>
      <c r="C56" s="47">
        <f t="shared" ref="C56:C69" si="15">F56+I56+R56+L56+O56</f>
        <v>0</v>
      </c>
      <c r="D56" s="47">
        <f t="shared" si="9"/>
        <v>0</v>
      </c>
      <c r="E56" s="47">
        <f t="shared" si="10"/>
        <v>0</v>
      </c>
      <c r="F56" s="47"/>
      <c r="G56" s="51">
        <v>0</v>
      </c>
      <c r="H56" s="47"/>
      <c r="I56" s="47"/>
      <c r="J56" s="50"/>
      <c r="K56" s="47"/>
      <c r="L56" s="47"/>
      <c r="M56" s="47"/>
      <c r="N56" s="47"/>
      <c r="O56" s="47"/>
      <c r="P56" s="47"/>
      <c r="Q56" s="47"/>
      <c r="R56" s="47"/>
      <c r="S56" s="50"/>
      <c r="T56" s="47"/>
    </row>
    <row r="57" spans="1:20" s="2" customFormat="1" x14ac:dyDescent="0.2">
      <c r="A57" s="24">
        <v>53</v>
      </c>
      <c r="B57" s="22" t="s">
        <v>12</v>
      </c>
      <c r="C57" s="49">
        <f t="shared" si="15"/>
        <v>218613981</v>
      </c>
      <c r="D57" s="49">
        <f t="shared" si="9"/>
        <v>231443587</v>
      </c>
      <c r="E57" s="49">
        <f t="shared" si="10"/>
        <v>0</v>
      </c>
      <c r="F57" s="50">
        <f t="shared" ref="F57:T57" si="16">F37+F38+F47+F54+F56</f>
        <v>213394681</v>
      </c>
      <c r="G57" s="50">
        <f>G37+G38+G47+G54+G56+G55</f>
        <v>225636787</v>
      </c>
      <c r="H57" s="50">
        <f>H37+H38+H47+H54+H56</f>
        <v>0</v>
      </c>
      <c r="I57" s="50">
        <f t="shared" si="16"/>
        <v>5219300</v>
      </c>
      <c r="J57" s="50">
        <f t="shared" si="16"/>
        <v>5806800</v>
      </c>
      <c r="K57" s="50">
        <f t="shared" si="16"/>
        <v>0</v>
      </c>
      <c r="L57" s="50"/>
      <c r="M57" s="50">
        <f t="shared" si="16"/>
        <v>0</v>
      </c>
      <c r="N57" s="50">
        <f t="shared" si="16"/>
        <v>0</v>
      </c>
      <c r="O57" s="50"/>
      <c r="P57" s="50">
        <f t="shared" si="16"/>
        <v>0</v>
      </c>
      <c r="Q57" s="50">
        <f t="shared" si="16"/>
        <v>0</v>
      </c>
      <c r="R57" s="50"/>
      <c r="S57" s="50">
        <f t="shared" si="16"/>
        <v>0</v>
      </c>
      <c r="T57" s="50">
        <f t="shared" si="16"/>
        <v>0</v>
      </c>
    </row>
    <row r="58" spans="1:20" s="2" customFormat="1" x14ac:dyDescent="0.2">
      <c r="A58" s="24">
        <v>54</v>
      </c>
      <c r="B58" s="9" t="s">
        <v>111</v>
      </c>
      <c r="C58" s="47">
        <f t="shared" si="15"/>
        <v>0</v>
      </c>
      <c r="D58" s="47">
        <f t="shared" si="9"/>
        <v>0</v>
      </c>
      <c r="E58" s="47">
        <f t="shared" si="10"/>
        <v>0</v>
      </c>
      <c r="F58" s="47"/>
      <c r="G58" s="50"/>
      <c r="H58" s="47"/>
      <c r="I58" s="47"/>
      <c r="J58" s="50"/>
      <c r="K58" s="47"/>
      <c r="L58" s="47"/>
      <c r="M58" s="47"/>
      <c r="N58" s="47"/>
      <c r="O58" s="47"/>
      <c r="P58" s="47"/>
      <c r="Q58" s="47"/>
      <c r="R58" s="47"/>
      <c r="S58" s="50"/>
      <c r="T58" s="47"/>
    </row>
    <row r="59" spans="1:20" x14ac:dyDescent="0.2">
      <c r="A59" s="6">
        <v>55</v>
      </c>
      <c r="B59" s="9" t="s">
        <v>35</v>
      </c>
      <c r="C59" s="47">
        <f t="shared" si="15"/>
        <v>0</v>
      </c>
      <c r="D59" s="47">
        <f t="shared" si="9"/>
        <v>0</v>
      </c>
      <c r="E59" s="47">
        <f t="shared" si="10"/>
        <v>0</v>
      </c>
      <c r="F59" s="47"/>
      <c r="G59" s="47">
        <v>0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</row>
    <row r="60" spans="1:20" x14ac:dyDescent="0.2">
      <c r="A60" s="6">
        <v>56</v>
      </c>
      <c r="B60" s="9" t="s">
        <v>36</v>
      </c>
      <c r="C60" s="47">
        <f t="shared" si="15"/>
        <v>0</v>
      </c>
      <c r="D60" s="47">
        <f t="shared" si="9"/>
        <v>0</v>
      </c>
      <c r="E60" s="47">
        <f t="shared" si="10"/>
        <v>0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</row>
    <row r="61" spans="1:20" x14ac:dyDescent="0.2">
      <c r="A61" s="6">
        <v>57</v>
      </c>
      <c r="B61" s="9" t="s">
        <v>37</v>
      </c>
      <c r="C61" s="47">
        <f t="shared" si="15"/>
        <v>0</v>
      </c>
      <c r="D61" s="47">
        <f t="shared" si="9"/>
        <v>169700000</v>
      </c>
      <c r="E61" s="47">
        <f t="shared" si="10"/>
        <v>0</v>
      </c>
      <c r="F61" s="47"/>
      <c r="G61" s="47">
        <v>169700000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x14ac:dyDescent="0.2">
      <c r="A62" s="6">
        <v>58</v>
      </c>
      <c r="B62" s="9" t="s">
        <v>130</v>
      </c>
      <c r="C62" s="47">
        <f t="shared" si="15"/>
        <v>0</v>
      </c>
      <c r="D62" s="47">
        <f t="shared" si="9"/>
        <v>0</v>
      </c>
      <c r="E62" s="47">
        <f t="shared" si="10"/>
        <v>0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0" x14ac:dyDescent="0.2">
      <c r="A63" s="6">
        <v>59</v>
      </c>
      <c r="B63" s="9" t="s">
        <v>112</v>
      </c>
      <c r="C63" s="47">
        <f t="shared" si="15"/>
        <v>0</v>
      </c>
      <c r="D63" s="47">
        <f t="shared" si="9"/>
        <v>0</v>
      </c>
      <c r="E63" s="47">
        <f t="shared" si="10"/>
        <v>0</v>
      </c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x14ac:dyDescent="0.2">
      <c r="A64" s="6">
        <v>60</v>
      </c>
      <c r="B64" s="9" t="s">
        <v>162</v>
      </c>
      <c r="C64" s="47">
        <f t="shared" si="15"/>
        <v>0</v>
      </c>
      <c r="D64" s="47">
        <f t="shared" si="9"/>
        <v>0</v>
      </c>
      <c r="E64" s="47">
        <f t="shared" si="10"/>
        <v>0</v>
      </c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</row>
    <row r="65" spans="1:20" x14ac:dyDescent="0.2">
      <c r="A65" s="6">
        <v>61</v>
      </c>
      <c r="B65" s="9" t="s">
        <v>144</v>
      </c>
      <c r="C65" s="47">
        <f t="shared" si="15"/>
        <v>0</v>
      </c>
      <c r="D65" s="47">
        <f t="shared" si="9"/>
        <v>0</v>
      </c>
      <c r="E65" s="47">
        <f t="shared" si="10"/>
        <v>0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</row>
    <row r="66" spans="1:20" x14ac:dyDescent="0.2">
      <c r="A66" s="6">
        <v>62</v>
      </c>
      <c r="B66" s="9" t="s">
        <v>113</v>
      </c>
      <c r="C66" s="47">
        <f t="shared" si="15"/>
        <v>0</v>
      </c>
      <c r="D66" s="47">
        <f t="shared" si="9"/>
        <v>0</v>
      </c>
      <c r="E66" s="47">
        <f t="shared" si="10"/>
        <v>0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</row>
    <row r="67" spans="1:20" x14ac:dyDescent="0.2">
      <c r="A67" s="6">
        <v>63</v>
      </c>
      <c r="B67" s="9" t="s">
        <v>40</v>
      </c>
      <c r="C67" s="47">
        <f t="shared" si="15"/>
        <v>0</v>
      </c>
      <c r="D67" s="47">
        <f t="shared" si="9"/>
        <v>0</v>
      </c>
      <c r="E67" s="47">
        <f t="shared" si="10"/>
        <v>0</v>
      </c>
      <c r="F67" s="47"/>
      <c r="G67" s="47">
        <v>0</v>
      </c>
      <c r="H67" s="47">
        <v>0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2" customFormat="1" x14ac:dyDescent="0.2">
      <c r="A68" s="24">
        <v>64</v>
      </c>
      <c r="B68" s="22" t="s">
        <v>42</v>
      </c>
      <c r="C68" s="49">
        <f t="shared" si="15"/>
        <v>0</v>
      </c>
      <c r="D68" s="49">
        <f t="shared" si="9"/>
        <v>169700000</v>
      </c>
      <c r="E68" s="49">
        <f t="shared" si="10"/>
        <v>0</v>
      </c>
      <c r="F68" s="50">
        <f>F59+F64+F65+F60+F62+F67</f>
        <v>0</v>
      </c>
      <c r="G68" s="50">
        <f>SUM(G59:G67)</f>
        <v>169700000</v>
      </c>
      <c r="H68" s="50">
        <f>SUM(H59:H67)</f>
        <v>0</v>
      </c>
      <c r="I68" s="50">
        <f t="shared" ref="I68:Q68" si="17">SUM(I64)</f>
        <v>0</v>
      </c>
      <c r="J68" s="50">
        <f t="shared" si="17"/>
        <v>0</v>
      </c>
      <c r="K68" s="50">
        <f t="shared" si="17"/>
        <v>0</v>
      </c>
      <c r="L68" s="50"/>
      <c r="M68" s="50">
        <f t="shared" si="17"/>
        <v>0</v>
      </c>
      <c r="N68" s="50">
        <f t="shared" si="17"/>
        <v>0</v>
      </c>
      <c r="O68" s="50"/>
      <c r="P68" s="50">
        <f t="shared" si="17"/>
        <v>0</v>
      </c>
      <c r="Q68" s="50">
        <f t="shared" si="17"/>
        <v>0</v>
      </c>
      <c r="R68" s="50"/>
      <c r="S68" s="50"/>
      <c r="T68" s="47"/>
    </row>
    <row r="69" spans="1:20" s="1" customFormat="1" x14ac:dyDescent="0.2">
      <c r="A69" s="25">
        <v>65</v>
      </c>
      <c r="B69" s="23" t="s">
        <v>14</v>
      </c>
      <c r="C69" s="49">
        <f t="shared" si="15"/>
        <v>218613981</v>
      </c>
      <c r="D69" s="49">
        <f t="shared" si="9"/>
        <v>401143587</v>
      </c>
      <c r="E69" s="49">
        <f t="shared" si="10"/>
        <v>0</v>
      </c>
      <c r="F69" s="49">
        <f t="shared" ref="F69:T69" si="18">F57+F68</f>
        <v>213394681</v>
      </c>
      <c r="G69" s="49">
        <f>G57+G68</f>
        <v>395336787</v>
      </c>
      <c r="H69" s="49">
        <f t="shared" si="18"/>
        <v>0</v>
      </c>
      <c r="I69" s="49">
        <f t="shared" si="18"/>
        <v>5219300</v>
      </c>
      <c r="J69" s="49">
        <f t="shared" si="18"/>
        <v>5806800</v>
      </c>
      <c r="K69" s="49">
        <f t="shared" si="18"/>
        <v>0</v>
      </c>
      <c r="L69" s="49"/>
      <c r="M69" s="49">
        <f t="shared" si="18"/>
        <v>0</v>
      </c>
      <c r="N69" s="49">
        <f t="shared" si="18"/>
        <v>0</v>
      </c>
      <c r="O69" s="49"/>
      <c r="P69" s="49">
        <f t="shared" si="18"/>
        <v>0</v>
      </c>
      <c r="Q69" s="49">
        <f t="shared" si="18"/>
        <v>0</v>
      </c>
      <c r="R69" s="49"/>
      <c r="S69" s="49">
        <f t="shared" si="18"/>
        <v>0</v>
      </c>
      <c r="T69" s="49">
        <f t="shared" si="18"/>
        <v>0</v>
      </c>
    </row>
    <row r="70" spans="1:20" s="1" customFormat="1" x14ac:dyDescent="0.2">
      <c r="A70" s="25">
        <v>66</v>
      </c>
      <c r="B70" s="23" t="s">
        <v>26</v>
      </c>
      <c r="C70" s="23"/>
      <c r="D70" s="47">
        <f t="shared" si="9"/>
        <v>0</v>
      </c>
      <c r="E70" s="47">
        <f t="shared" si="10"/>
        <v>0</v>
      </c>
      <c r="F70" s="47"/>
      <c r="G70" s="49"/>
      <c r="H70" s="47"/>
      <c r="I70" s="47"/>
      <c r="J70" s="49"/>
      <c r="K70" s="47"/>
      <c r="L70" s="47"/>
      <c r="M70" s="47"/>
      <c r="N70" s="47"/>
      <c r="O70" s="47"/>
      <c r="P70" s="47"/>
      <c r="Q70" s="47"/>
      <c r="R70" s="47"/>
      <c r="S70" s="49"/>
      <c r="T70" s="47"/>
    </row>
    <row r="71" spans="1:20" x14ac:dyDescent="0.2">
      <c r="A71" s="6">
        <v>67</v>
      </c>
      <c r="B71" s="9" t="s">
        <v>41</v>
      </c>
      <c r="C71" s="9"/>
      <c r="D71" s="47">
        <f t="shared" si="9"/>
        <v>0</v>
      </c>
      <c r="E71" s="47">
        <f t="shared" si="10"/>
        <v>0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x14ac:dyDescent="0.2">
      <c r="A72" s="6">
        <v>68</v>
      </c>
      <c r="B72" s="9" t="s">
        <v>13</v>
      </c>
      <c r="C72" s="47">
        <f t="shared" ref="C72:C82" si="19">F72+I72+R72+L72+O72</f>
        <v>13994362</v>
      </c>
      <c r="D72" s="47">
        <f t="shared" si="9"/>
        <v>13994362</v>
      </c>
      <c r="E72" s="47">
        <f t="shared" si="10"/>
        <v>0</v>
      </c>
      <c r="F72" s="47">
        <v>13994362</v>
      </c>
      <c r="G72" s="47">
        <v>13994362</v>
      </c>
      <c r="H72" s="47"/>
      <c r="I72" s="47"/>
      <c r="J72" s="47">
        <v>0</v>
      </c>
      <c r="K72" s="47"/>
      <c r="L72" s="47"/>
      <c r="M72" s="47"/>
      <c r="N72" s="47"/>
      <c r="O72" s="47"/>
      <c r="P72" s="47"/>
      <c r="Q72" s="47"/>
      <c r="R72" s="47"/>
      <c r="S72" s="47"/>
      <c r="T72" s="47"/>
    </row>
    <row r="73" spans="1:20" x14ac:dyDescent="0.2">
      <c r="A73" s="6">
        <v>69</v>
      </c>
      <c r="B73" s="9" t="s">
        <v>24</v>
      </c>
      <c r="C73" s="47">
        <f t="shared" si="19"/>
        <v>0</v>
      </c>
      <c r="D73" s="47">
        <f t="shared" si="9"/>
        <v>199516019</v>
      </c>
      <c r="E73" s="47">
        <f t="shared" si="10"/>
        <v>0</v>
      </c>
      <c r="F73" s="47"/>
      <c r="G73" s="47">
        <v>199516019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20" s="1" customFormat="1" x14ac:dyDescent="0.2">
      <c r="A74" s="25">
        <v>70</v>
      </c>
      <c r="B74" s="23" t="s">
        <v>15</v>
      </c>
      <c r="C74" s="49">
        <f t="shared" si="19"/>
        <v>13994362</v>
      </c>
      <c r="D74" s="49">
        <f t="shared" si="9"/>
        <v>213510381</v>
      </c>
      <c r="E74" s="49">
        <f t="shared" si="10"/>
        <v>0</v>
      </c>
      <c r="F74" s="49">
        <f>SUM(F72:F73)</f>
        <v>13994362</v>
      </c>
      <c r="G74" s="49">
        <f>SUM(G71:G73)</f>
        <v>213510381</v>
      </c>
      <c r="H74" s="49">
        <f>SUM(H71:H73)</f>
        <v>0</v>
      </c>
      <c r="I74" s="49">
        <f t="shared" ref="I74:T74" si="20">SUM(I72)</f>
        <v>0</v>
      </c>
      <c r="J74" s="49">
        <f t="shared" si="20"/>
        <v>0</v>
      </c>
      <c r="K74" s="49">
        <f t="shared" si="20"/>
        <v>0</v>
      </c>
      <c r="L74" s="49"/>
      <c r="M74" s="49">
        <f t="shared" si="20"/>
        <v>0</v>
      </c>
      <c r="N74" s="49">
        <f t="shared" si="20"/>
        <v>0</v>
      </c>
      <c r="O74" s="49"/>
      <c r="P74" s="49">
        <f t="shared" si="20"/>
        <v>0</v>
      </c>
      <c r="Q74" s="49">
        <f t="shared" si="20"/>
        <v>0</v>
      </c>
      <c r="R74" s="49"/>
      <c r="S74" s="49">
        <f t="shared" si="20"/>
        <v>0</v>
      </c>
      <c r="T74" s="49">
        <f t="shared" si="20"/>
        <v>0</v>
      </c>
    </row>
    <row r="75" spans="1:20" s="1" customFormat="1" x14ac:dyDescent="0.2">
      <c r="A75" s="25">
        <v>71</v>
      </c>
      <c r="B75" s="23" t="s">
        <v>22</v>
      </c>
      <c r="C75" s="49">
        <f t="shared" si="19"/>
        <v>232608343</v>
      </c>
      <c r="D75" s="49">
        <f t="shared" si="9"/>
        <v>614653968</v>
      </c>
      <c r="E75" s="49">
        <f t="shared" si="10"/>
        <v>0</v>
      </c>
      <c r="F75" s="49">
        <f t="shared" ref="F75:T75" si="21">F69+F74</f>
        <v>227389043</v>
      </c>
      <c r="G75" s="49">
        <f t="shared" si="21"/>
        <v>608847168</v>
      </c>
      <c r="H75" s="49">
        <f t="shared" si="21"/>
        <v>0</v>
      </c>
      <c r="I75" s="49">
        <f t="shared" si="21"/>
        <v>5219300</v>
      </c>
      <c r="J75" s="49">
        <f t="shared" si="21"/>
        <v>5806800</v>
      </c>
      <c r="K75" s="49">
        <f t="shared" si="21"/>
        <v>0</v>
      </c>
      <c r="L75" s="49"/>
      <c r="M75" s="49">
        <f t="shared" si="21"/>
        <v>0</v>
      </c>
      <c r="N75" s="49">
        <f t="shared" si="21"/>
        <v>0</v>
      </c>
      <c r="O75" s="49"/>
      <c r="P75" s="49">
        <f t="shared" si="21"/>
        <v>0</v>
      </c>
      <c r="Q75" s="49">
        <f t="shared" si="21"/>
        <v>0</v>
      </c>
      <c r="R75" s="49"/>
      <c r="S75" s="49">
        <f t="shared" si="21"/>
        <v>0</v>
      </c>
      <c r="T75" s="49">
        <f t="shared" si="21"/>
        <v>0</v>
      </c>
    </row>
    <row r="76" spans="1:20" s="1" customFormat="1" x14ac:dyDescent="0.2">
      <c r="A76" s="25">
        <v>72</v>
      </c>
      <c r="B76" s="23" t="s">
        <v>45</v>
      </c>
      <c r="C76" s="49">
        <f t="shared" si="19"/>
        <v>0</v>
      </c>
      <c r="D76" s="49">
        <f t="shared" si="9"/>
        <v>0</v>
      </c>
      <c r="E76" s="49">
        <f t="shared" si="10"/>
        <v>0</v>
      </c>
      <c r="F76" s="49">
        <f t="shared" ref="F76:H79" si="22">-I76-R76-L76-O76</f>
        <v>-20382471</v>
      </c>
      <c r="G76" s="49">
        <f t="shared" si="22"/>
        <v>-20733638</v>
      </c>
      <c r="H76" s="49">
        <f t="shared" si="22"/>
        <v>0</v>
      </c>
      <c r="I76" s="49">
        <v>2454259</v>
      </c>
      <c r="J76" s="49">
        <f>2454259+20151</f>
        <v>2474410</v>
      </c>
      <c r="K76" s="49">
        <v>0</v>
      </c>
      <c r="L76" s="49">
        <v>12013713</v>
      </c>
      <c r="M76" s="49">
        <v>12013713</v>
      </c>
      <c r="N76" s="49">
        <v>0</v>
      </c>
      <c r="O76" s="49">
        <v>4665679</v>
      </c>
      <c r="P76" s="49">
        <f>4665679+331016</f>
        <v>4996695</v>
      </c>
      <c r="Q76" s="49">
        <v>0</v>
      </c>
      <c r="R76" s="49">
        <v>1248820</v>
      </c>
      <c r="S76" s="49">
        <v>1248820</v>
      </c>
      <c r="T76" s="49">
        <v>0</v>
      </c>
    </row>
    <row r="77" spans="1:20" s="1" customFormat="1" x14ac:dyDescent="0.2">
      <c r="A77" s="25">
        <v>73</v>
      </c>
      <c r="B77" s="23" t="s">
        <v>20</v>
      </c>
      <c r="C77" s="49">
        <f t="shared" si="19"/>
        <v>0</v>
      </c>
      <c r="D77" s="49">
        <f t="shared" si="9"/>
        <v>0</v>
      </c>
      <c r="E77" s="49">
        <f t="shared" si="10"/>
        <v>0</v>
      </c>
      <c r="F77" s="49">
        <f t="shared" si="22"/>
        <v>0</v>
      </c>
      <c r="G77" s="49">
        <f t="shared" si="22"/>
        <v>0</v>
      </c>
      <c r="H77" s="49">
        <f t="shared" si="22"/>
        <v>0</v>
      </c>
      <c r="I77" s="49"/>
      <c r="J77" s="49"/>
      <c r="K77" s="47"/>
      <c r="L77" s="47"/>
      <c r="M77" s="49">
        <v>0</v>
      </c>
      <c r="N77" s="49"/>
      <c r="O77" s="49"/>
      <c r="P77" s="49"/>
      <c r="Q77" s="49"/>
      <c r="R77" s="49"/>
      <c r="S77" s="49"/>
      <c r="T77" s="47"/>
    </row>
    <row r="78" spans="1:20" s="1" customFormat="1" x14ac:dyDescent="0.2">
      <c r="A78" s="25">
        <v>74</v>
      </c>
      <c r="B78" s="23" t="s">
        <v>21</v>
      </c>
      <c r="C78" s="49">
        <f t="shared" si="19"/>
        <v>0</v>
      </c>
      <c r="D78" s="49">
        <f t="shared" si="9"/>
        <v>0</v>
      </c>
      <c r="E78" s="49">
        <f t="shared" si="10"/>
        <v>0</v>
      </c>
      <c r="F78" s="49">
        <f t="shared" si="22"/>
        <v>-2816001</v>
      </c>
      <c r="G78" s="49">
        <f t="shared" si="22"/>
        <v>-2816001</v>
      </c>
      <c r="H78" s="49">
        <f t="shared" si="22"/>
        <v>0</v>
      </c>
      <c r="I78" s="49"/>
      <c r="J78" s="49"/>
      <c r="K78" s="47"/>
      <c r="L78" s="47"/>
      <c r="M78" s="49">
        <v>0</v>
      </c>
      <c r="N78" s="49"/>
      <c r="O78" s="49">
        <v>2816001</v>
      </c>
      <c r="P78" s="49">
        <v>2816001</v>
      </c>
      <c r="Q78" s="49">
        <v>0</v>
      </c>
      <c r="R78" s="49"/>
      <c r="S78" s="49">
        <v>0</v>
      </c>
      <c r="T78" s="47"/>
    </row>
    <row r="79" spans="1:20" s="1" customFormat="1" x14ac:dyDescent="0.2">
      <c r="A79" s="25">
        <v>75</v>
      </c>
      <c r="B79" s="23" t="s">
        <v>25</v>
      </c>
      <c r="C79" s="49">
        <f t="shared" si="19"/>
        <v>0</v>
      </c>
      <c r="D79" s="49">
        <f t="shared" si="9"/>
        <v>0</v>
      </c>
      <c r="E79" s="49">
        <f t="shared" si="10"/>
        <v>0</v>
      </c>
      <c r="F79" s="49">
        <f t="shared" si="22"/>
        <v>0</v>
      </c>
      <c r="G79" s="49">
        <f t="shared" si="22"/>
        <v>0</v>
      </c>
      <c r="H79" s="49">
        <f t="shared" si="22"/>
        <v>0</v>
      </c>
      <c r="I79" s="49"/>
      <c r="J79" s="49"/>
      <c r="K79" s="47"/>
      <c r="L79" s="47"/>
      <c r="M79" s="49">
        <v>0</v>
      </c>
      <c r="N79" s="49"/>
      <c r="O79" s="49"/>
      <c r="P79" s="49"/>
      <c r="Q79" s="49"/>
      <c r="R79" s="49"/>
      <c r="S79" s="49"/>
      <c r="T79" s="47"/>
    </row>
    <row r="80" spans="1:20" s="1" customFormat="1" x14ac:dyDescent="0.2">
      <c r="A80" s="25">
        <v>76</v>
      </c>
      <c r="B80" s="23" t="s">
        <v>134</v>
      </c>
      <c r="C80" s="49">
        <f t="shared" si="19"/>
        <v>0</v>
      </c>
      <c r="D80" s="49">
        <f t="shared" si="9"/>
        <v>0</v>
      </c>
      <c r="E80" s="49">
        <f t="shared" si="10"/>
        <v>0</v>
      </c>
      <c r="F80" s="49">
        <f>-I80-R80-L80-O80</f>
        <v>0</v>
      </c>
      <c r="G80" s="49">
        <f>-J80-S80-M80-P80</f>
        <v>0</v>
      </c>
      <c r="H80" s="49"/>
      <c r="I80" s="49"/>
      <c r="J80" s="49"/>
      <c r="K80" s="47"/>
      <c r="L80" s="47"/>
      <c r="M80" s="49">
        <v>0</v>
      </c>
      <c r="N80" s="49"/>
      <c r="O80" s="49"/>
      <c r="P80" s="49"/>
      <c r="Q80" s="49"/>
      <c r="R80" s="49"/>
      <c r="S80" s="49"/>
      <c r="T80" s="47"/>
    </row>
    <row r="81" spans="1:20" s="1" customFormat="1" x14ac:dyDescent="0.2">
      <c r="A81" s="25">
        <v>77</v>
      </c>
      <c r="B81" s="23" t="s">
        <v>118</v>
      </c>
      <c r="C81" s="49">
        <f t="shared" si="19"/>
        <v>0</v>
      </c>
      <c r="D81" s="49">
        <f t="shared" si="9"/>
        <v>0</v>
      </c>
      <c r="E81" s="49">
        <f t="shared" si="10"/>
        <v>0</v>
      </c>
      <c r="F81" s="49">
        <f>-I81-R81-L81-O81</f>
        <v>0</v>
      </c>
      <c r="G81" s="49">
        <f>-J81-S81-M81-P81</f>
        <v>0</v>
      </c>
      <c r="H81" s="49">
        <f>-K81-T81-N81-Q81</f>
        <v>0</v>
      </c>
      <c r="I81" s="49"/>
      <c r="J81" s="49"/>
      <c r="K81" s="47"/>
      <c r="L81" s="47"/>
      <c r="M81" s="49"/>
      <c r="N81" s="49"/>
      <c r="O81" s="49"/>
      <c r="P81" s="49"/>
      <c r="Q81" s="49"/>
      <c r="R81" s="49"/>
      <c r="S81" s="49"/>
      <c r="T81" s="47"/>
    </row>
    <row r="82" spans="1:20" s="1" customFormat="1" x14ac:dyDescent="0.2">
      <c r="A82" s="25">
        <v>78</v>
      </c>
      <c r="B82" s="23" t="s">
        <v>16</v>
      </c>
      <c r="C82" s="49">
        <f t="shared" si="19"/>
        <v>232608343</v>
      </c>
      <c r="D82" s="49">
        <f t="shared" si="9"/>
        <v>614653968</v>
      </c>
      <c r="E82" s="49">
        <f t="shared" si="10"/>
        <v>0</v>
      </c>
      <c r="F82" s="49">
        <f>F69+F74+F76+F77+F78+F79+F81</f>
        <v>204190571</v>
      </c>
      <c r="G82" s="49">
        <f>G69+G74+G76+G77+G78+G79+G81+G80</f>
        <v>585297529</v>
      </c>
      <c r="H82" s="49">
        <f>H69+H74+H76+H77+H78+H79+H81</f>
        <v>0</v>
      </c>
      <c r="I82" s="49">
        <f>I69+I74+I76+I77+I78</f>
        <v>7673559</v>
      </c>
      <c r="J82" s="49">
        <f>J69+J74+J76+J77+J78</f>
        <v>8281210</v>
      </c>
      <c r="K82" s="49">
        <f>K69+K74+K76+K77+K78</f>
        <v>0</v>
      </c>
      <c r="L82" s="49">
        <f>L69+L74+L76+L77+L78</f>
        <v>12013713</v>
      </c>
      <c r="M82" s="49">
        <f>M69+M74+M76+M77+M78+M79+M80</f>
        <v>12013713</v>
      </c>
      <c r="N82" s="49">
        <f t="shared" ref="N82:T82" si="23">N69+N74+N76+N77+N78</f>
        <v>0</v>
      </c>
      <c r="O82" s="49">
        <f t="shared" si="23"/>
        <v>7481680</v>
      </c>
      <c r="P82" s="49">
        <f t="shared" si="23"/>
        <v>7812696</v>
      </c>
      <c r="Q82" s="49">
        <f t="shared" si="23"/>
        <v>0</v>
      </c>
      <c r="R82" s="49">
        <f t="shared" si="23"/>
        <v>1248820</v>
      </c>
      <c r="S82" s="49">
        <f t="shared" si="23"/>
        <v>1248820</v>
      </c>
      <c r="T82" s="49">
        <f t="shared" si="23"/>
        <v>0</v>
      </c>
    </row>
    <row r="83" spans="1:20" s="1" customFormat="1" x14ac:dyDescent="0.2">
      <c r="A83" s="4"/>
      <c r="B83" s="26"/>
      <c r="C83" s="26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1:20" s="1" customFormat="1" x14ac:dyDescent="0.2">
      <c r="A84" s="4"/>
      <c r="B84" s="26"/>
      <c r="C84" s="26"/>
      <c r="D84" s="52"/>
      <c r="E84" s="52"/>
      <c r="F84" s="52"/>
      <c r="G84" s="52" t="s">
        <v>143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</row>
    <row r="85" spans="1:20" x14ac:dyDescent="0.2">
      <c r="A85" s="4"/>
      <c r="B85" s="11"/>
      <c r="C85" s="11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0" ht="12.75" customHeight="1" x14ac:dyDescent="0.2">
      <c r="A86" s="11"/>
      <c r="B86" s="11" t="s">
        <v>92</v>
      </c>
      <c r="C86" s="11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 spans="1:20" x14ac:dyDescent="0.2">
      <c r="A87" s="6">
        <v>1</v>
      </c>
      <c r="B87" s="62" t="s">
        <v>46</v>
      </c>
      <c r="C87" s="66"/>
      <c r="D87" s="34" t="s">
        <v>47</v>
      </c>
      <c r="E87" s="35"/>
      <c r="F87" s="33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0" t="s">
        <v>93</v>
      </c>
    </row>
    <row r="88" spans="1:20" ht="12" customHeight="1" x14ac:dyDescent="0.2">
      <c r="A88" s="6">
        <v>2</v>
      </c>
      <c r="B88" s="63"/>
      <c r="C88" s="67"/>
      <c r="D88" s="38"/>
      <c r="E88" s="40"/>
      <c r="F88" s="72" t="s">
        <v>43</v>
      </c>
      <c r="G88" s="72"/>
      <c r="H88" s="73"/>
      <c r="I88" s="72" t="s">
        <v>44</v>
      </c>
      <c r="J88" s="72"/>
      <c r="K88" s="73"/>
      <c r="L88" s="72" t="s">
        <v>149</v>
      </c>
      <c r="M88" s="72"/>
      <c r="N88" s="73"/>
      <c r="O88" s="72" t="s">
        <v>120</v>
      </c>
      <c r="P88" s="72"/>
      <c r="Q88" s="73"/>
      <c r="R88" s="72" t="s">
        <v>151</v>
      </c>
      <c r="S88" s="72"/>
      <c r="T88" s="73"/>
    </row>
    <row r="89" spans="1:20" s="10" customFormat="1" ht="36.75" customHeight="1" x14ac:dyDescent="0.2">
      <c r="A89" s="13">
        <v>3</v>
      </c>
      <c r="B89" s="64"/>
      <c r="C89" s="68"/>
      <c r="D89" s="42"/>
      <c r="E89" s="43"/>
      <c r="F89" s="74" t="s">
        <v>123</v>
      </c>
      <c r="G89" s="74"/>
      <c r="H89" s="75"/>
      <c r="I89" s="74" t="s">
        <v>122</v>
      </c>
      <c r="J89" s="74"/>
      <c r="K89" s="75"/>
      <c r="L89" s="76" t="s">
        <v>147</v>
      </c>
      <c r="M89" s="76"/>
      <c r="N89" s="77"/>
      <c r="O89" s="74" t="s">
        <v>142</v>
      </c>
      <c r="P89" s="74"/>
      <c r="Q89" s="75"/>
      <c r="R89" s="74" t="s">
        <v>150</v>
      </c>
      <c r="S89" s="74"/>
      <c r="T89" s="75"/>
    </row>
    <row r="90" spans="1:20" ht="12.75" customHeight="1" x14ac:dyDescent="0.2">
      <c r="A90" s="6">
        <v>4</v>
      </c>
      <c r="B90" s="11"/>
      <c r="C90" s="69"/>
      <c r="D90" s="54"/>
      <c r="E90" s="55"/>
      <c r="F90" s="70" t="s">
        <v>17</v>
      </c>
      <c r="G90" s="70"/>
      <c r="H90" s="71"/>
      <c r="I90" s="70" t="s">
        <v>18</v>
      </c>
      <c r="J90" s="70"/>
      <c r="K90" s="71"/>
      <c r="L90" s="70" t="s">
        <v>148</v>
      </c>
      <c r="M90" s="70"/>
      <c r="N90" s="71"/>
      <c r="O90" s="70" t="s">
        <v>121</v>
      </c>
      <c r="P90" s="70"/>
      <c r="Q90" s="71"/>
      <c r="R90" s="32" t="s">
        <v>19</v>
      </c>
      <c r="S90" s="32"/>
      <c r="T90" s="44"/>
    </row>
    <row r="91" spans="1:20" x14ac:dyDescent="0.2">
      <c r="A91" s="15">
        <v>5</v>
      </c>
      <c r="B91" s="16" t="s">
        <v>48</v>
      </c>
      <c r="C91" s="45" t="s">
        <v>49</v>
      </c>
      <c r="D91" s="45" t="s">
        <v>50</v>
      </c>
      <c r="E91" s="45" t="s">
        <v>51</v>
      </c>
      <c r="F91" s="45" t="s">
        <v>52</v>
      </c>
      <c r="G91" s="45" t="s">
        <v>53</v>
      </c>
      <c r="H91" s="45" t="s">
        <v>54</v>
      </c>
      <c r="I91" s="45" t="s">
        <v>55</v>
      </c>
      <c r="J91" s="45" t="s">
        <v>56</v>
      </c>
      <c r="K91" s="45" t="s">
        <v>57</v>
      </c>
      <c r="L91" s="45" t="s">
        <v>58</v>
      </c>
      <c r="M91" s="45" t="s">
        <v>59</v>
      </c>
      <c r="N91" s="45" t="s">
        <v>60</v>
      </c>
      <c r="O91" s="45" t="s">
        <v>124</v>
      </c>
      <c r="P91" s="45" t="s">
        <v>125</v>
      </c>
      <c r="Q91" s="45" t="s">
        <v>165</v>
      </c>
      <c r="R91" s="45" t="s">
        <v>126</v>
      </c>
      <c r="S91" s="45" t="s">
        <v>127</v>
      </c>
      <c r="T91" s="45" t="s">
        <v>128</v>
      </c>
    </row>
    <row r="92" spans="1:20" x14ac:dyDescent="0.2">
      <c r="A92" s="15">
        <v>6</v>
      </c>
      <c r="B92" s="16"/>
      <c r="C92" s="45" t="s">
        <v>154</v>
      </c>
      <c r="D92" s="45" t="s">
        <v>154</v>
      </c>
      <c r="E92" s="45" t="s">
        <v>154</v>
      </c>
      <c r="F92" s="45" t="s">
        <v>154</v>
      </c>
      <c r="G92" s="45" t="s">
        <v>154</v>
      </c>
      <c r="H92" s="45" t="s">
        <v>154</v>
      </c>
      <c r="I92" s="45" t="s">
        <v>154</v>
      </c>
      <c r="J92" s="45" t="s">
        <v>154</v>
      </c>
      <c r="K92" s="45" t="s">
        <v>154</v>
      </c>
      <c r="L92" s="45" t="s">
        <v>154</v>
      </c>
      <c r="M92" s="45" t="s">
        <v>154</v>
      </c>
      <c r="N92" s="45" t="s">
        <v>154</v>
      </c>
      <c r="O92" s="45" t="s">
        <v>154</v>
      </c>
      <c r="P92" s="45" t="s">
        <v>154</v>
      </c>
      <c r="Q92" s="45" t="s">
        <v>154</v>
      </c>
      <c r="R92" s="45" t="s">
        <v>154</v>
      </c>
      <c r="S92" s="45" t="s">
        <v>154</v>
      </c>
      <c r="T92" s="45" t="s">
        <v>154</v>
      </c>
    </row>
    <row r="93" spans="1:20" x14ac:dyDescent="0.2">
      <c r="A93" s="6">
        <v>7</v>
      </c>
      <c r="B93" s="9" t="s">
        <v>61</v>
      </c>
      <c r="C93" s="46" t="s">
        <v>3</v>
      </c>
      <c r="D93" s="46" t="s">
        <v>95</v>
      </c>
      <c r="E93" s="46" t="s">
        <v>139</v>
      </c>
      <c r="F93" s="46" t="s">
        <v>3</v>
      </c>
      <c r="G93" s="46" t="s">
        <v>95</v>
      </c>
      <c r="H93" s="46" t="s">
        <v>139</v>
      </c>
      <c r="I93" s="46" t="s">
        <v>3</v>
      </c>
      <c r="J93" s="46" t="s">
        <v>95</v>
      </c>
      <c r="K93" s="46" t="s">
        <v>139</v>
      </c>
      <c r="L93" s="46" t="s">
        <v>3</v>
      </c>
      <c r="M93" s="46" t="s">
        <v>95</v>
      </c>
      <c r="N93" s="46" t="s">
        <v>139</v>
      </c>
      <c r="O93" s="46" t="s">
        <v>3</v>
      </c>
      <c r="P93" s="46" t="s">
        <v>95</v>
      </c>
      <c r="Q93" s="46" t="s">
        <v>139</v>
      </c>
      <c r="R93" s="46" t="s">
        <v>3</v>
      </c>
      <c r="S93" s="46" t="s">
        <v>95</v>
      </c>
      <c r="T93" s="46" t="s">
        <v>139</v>
      </c>
    </row>
    <row r="94" spans="1:20" x14ac:dyDescent="0.2">
      <c r="A94" s="6">
        <v>8</v>
      </c>
      <c r="B94" s="9" t="s">
        <v>62</v>
      </c>
      <c r="C94" s="47">
        <f t="shared" ref="C94:C99" si="24">F94+I94+R94+U94+X94+AD94+AG94+L94+O94</f>
        <v>34336796</v>
      </c>
      <c r="D94" s="47">
        <f t="shared" ref="D94:D129" si="25">G94+J94+S94+W94+Z94+AF94+AI94+M94+P94</f>
        <v>34959796</v>
      </c>
      <c r="E94" s="47">
        <f t="shared" ref="E94:E129" si="26">H94+K94+T94+X94+AA94+AG94+AJ94+N94+Q94</f>
        <v>0</v>
      </c>
      <c r="F94" s="47">
        <v>22648852</v>
      </c>
      <c r="G94" s="47">
        <f>22648852+39988+22669+48618</f>
        <v>22760127</v>
      </c>
      <c r="H94" s="47"/>
      <c r="I94" s="47">
        <v>4892144</v>
      </c>
      <c r="J94" s="47">
        <f>4892144+520151</f>
        <v>5412295</v>
      </c>
      <c r="K94" s="47"/>
      <c r="L94" s="47">
        <v>3187800</v>
      </c>
      <c r="M94" s="47">
        <f>3187800+13662</f>
        <v>3201462</v>
      </c>
      <c r="N94" s="47"/>
      <c r="O94" s="47">
        <v>3224000</v>
      </c>
      <c r="P94" s="47">
        <f>3224000-22088</f>
        <v>3201912</v>
      </c>
      <c r="Q94" s="47"/>
      <c r="R94" s="47">
        <v>384000</v>
      </c>
      <c r="S94" s="47">
        <v>384000</v>
      </c>
      <c r="T94" s="47"/>
    </row>
    <row r="95" spans="1:20" x14ac:dyDescent="0.2">
      <c r="A95" s="6">
        <v>9</v>
      </c>
      <c r="B95" s="9" t="s">
        <v>63</v>
      </c>
      <c r="C95" s="47">
        <f t="shared" si="24"/>
        <v>6297511</v>
      </c>
      <c r="D95" s="47">
        <f t="shared" si="25"/>
        <v>6385011</v>
      </c>
      <c r="E95" s="47">
        <f t="shared" si="26"/>
        <v>0</v>
      </c>
      <c r="F95" s="47">
        <v>4127671</v>
      </c>
      <c r="G95" s="47">
        <v>4127671</v>
      </c>
      <c r="H95" s="47"/>
      <c r="I95" s="47">
        <v>866415</v>
      </c>
      <c r="J95" s="47">
        <f>866415+87500</f>
        <v>953915</v>
      </c>
      <c r="K95" s="47"/>
      <c r="L95" s="47">
        <v>567865</v>
      </c>
      <c r="M95" s="47">
        <v>567865</v>
      </c>
      <c r="N95" s="47"/>
      <c r="O95" s="47">
        <v>660680</v>
      </c>
      <c r="P95" s="47">
        <v>660680</v>
      </c>
      <c r="Q95" s="47"/>
      <c r="R95" s="47">
        <v>74880</v>
      </c>
      <c r="S95" s="47">
        <v>74880</v>
      </c>
      <c r="T95" s="47"/>
    </row>
    <row r="96" spans="1:20" x14ac:dyDescent="0.2">
      <c r="A96" s="6">
        <v>10</v>
      </c>
      <c r="B96" s="9" t="s">
        <v>64</v>
      </c>
      <c r="C96" s="47">
        <f t="shared" si="24"/>
        <v>43231293</v>
      </c>
      <c r="D96" s="47">
        <f t="shared" si="25"/>
        <v>92859524</v>
      </c>
      <c r="E96" s="47">
        <f t="shared" si="26"/>
        <v>0</v>
      </c>
      <c r="F96" s="47">
        <v>28846305</v>
      </c>
      <c r="G96" s="47">
        <f>28846305+37974390+288290+11365551</f>
        <v>78474536</v>
      </c>
      <c r="H96" s="47"/>
      <c r="I96" s="47">
        <v>1740000</v>
      </c>
      <c r="J96" s="47">
        <v>1740000</v>
      </c>
      <c r="K96" s="47"/>
      <c r="L96" s="47">
        <v>8258048</v>
      </c>
      <c r="M96" s="47">
        <v>8258048</v>
      </c>
      <c r="N96" s="47"/>
      <c r="O96" s="47">
        <v>3597000</v>
      </c>
      <c r="P96" s="47">
        <v>3597000</v>
      </c>
      <c r="Q96" s="47"/>
      <c r="R96" s="47">
        <v>789940</v>
      </c>
      <c r="S96" s="47">
        <v>789940</v>
      </c>
      <c r="T96" s="47"/>
    </row>
    <row r="97" spans="1:20" x14ac:dyDescent="0.2">
      <c r="A97" s="6">
        <v>11</v>
      </c>
      <c r="B97" s="9" t="s">
        <v>82</v>
      </c>
      <c r="C97" s="47">
        <f t="shared" si="24"/>
        <v>98322880</v>
      </c>
      <c r="D97" s="47">
        <f t="shared" si="25"/>
        <v>100798138</v>
      </c>
      <c r="E97" s="47">
        <f t="shared" si="26"/>
        <v>0</v>
      </c>
      <c r="F97" s="47">
        <v>98322880</v>
      </c>
      <c r="G97" s="47">
        <f>98322880+2501052-650000+624206</f>
        <v>100798138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</row>
    <row r="98" spans="1:20" x14ac:dyDescent="0.2">
      <c r="A98" s="6">
        <v>12</v>
      </c>
      <c r="B98" s="9" t="s">
        <v>65</v>
      </c>
      <c r="C98" s="47">
        <f t="shared" si="24"/>
        <v>8010000</v>
      </c>
      <c r="D98" s="47">
        <f t="shared" si="25"/>
        <v>8010000</v>
      </c>
      <c r="E98" s="47">
        <f t="shared" si="26"/>
        <v>0</v>
      </c>
      <c r="F98" s="47">
        <v>8010000</v>
      </c>
      <c r="G98" s="47">
        <v>8010000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</row>
    <row r="99" spans="1:20" x14ac:dyDescent="0.2">
      <c r="A99" s="24">
        <v>13</v>
      </c>
      <c r="B99" s="22" t="s">
        <v>66</v>
      </c>
      <c r="C99" s="49">
        <f t="shared" si="24"/>
        <v>190198480</v>
      </c>
      <c r="D99" s="49">
        <f t="shared" si="25"/>
        <v>243012469</v>
      </c>
      <c r="E99" s="49">
        <f t="shared" si="26"/>
        <v>0</v>
      </c>
      <c r="F99" s="50">
        <f t="shared" ref="F99:T99" si="27">SUM(F94:F98)</f>
        <v>161955708</v>
      </c>
      <c r="G99" s="50">
        <f>SUM(G94:G98)</f>
        <v>214170472</v>
      </c>
      <c r="H99" s="50">
        <f t="shared" si="27"/>
        <v>0</v>
      </c>
      <c r="I99" s="50">
        <f>SUM(I94:I98)</f>
        <v>7498559</v>
      </c>
      <c r="J99" s="50">
        <f>SUM(J94:J98)</f>
        <v>8106210</v>
      </c>
      <c r="K99" s="50">
        <f t="shared" si="27"/>
        <v>0</v>
      </c>
      <c r="L99" s="50">
        <f t="shared" si="27"/>
        <v>12013713</v>
      </c>
      <c r="M99" s="50">
        <f t="shared" si="27"/>
        <v>12027375</v>
      </c>
      <c r="N99" s="50">
        <f t="shared" si="27"/>
        <v>0</v>
      </c>
      <c r="O99" s="50">
        <f t="shared" si="27"/>
        <v>7481680</v>
      </c>
      <c r="P99" s="50">
        <f t="shared" si="27"/>
        <v>7459592</v>
      </c>
      <c r="Q99" s="50">
        <f t="shared" si="27"/>
        <v>0</v>
      </c>
      <c r="R99" s="50">
        <f t="shared" si="27"/>
        <v>1248820</v>
      </c>
      <c r="S99" s="50">
        <f t="shared" si="27"/>
        <v>1248820</v>
      </c>
      <c r="T99" s="50">
        <f t="shared" si="27"/>
        <v>0</v>
      </c>
    </row>
    <row r="100" spans="1:20" x14ac:dyDescent="0.2">
      <c r="A100" s="6">
        <v>14</v>
      </c>
      <c r="B100" s="9" t="s">
        <v>67</v>
      </c>
      <c r="C100" s="9"/>
      <c r="D100" s="47">
        <f t="shared" si="25"/>
        <v>0</v>
      </c>
      <c r="E100" s="47">
        <f t="shared" si="26"/>
        <v>0</v>
      </c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</row>
    <row r="101" spans="1:20" x14ac:dyDescent="0.2">
      <c r="A101" s="6">
        <v>15</v>
      </c>
      <c r="B101" s="9" t="s">
        <v>83</v>
      </c>
      <c r="C101" s="47">
        <f t="shared" ref="C101:C109" si="28">F101+I101+R101+U101+X101+AD101+AG101+L101+O101</f>
        <v>2879490</v>
      </c>
      <c r="D101" s="47">
        <f t="shared" si="25"/>
        <v>179008240</v>
      </c>
      <c r="E101" s="47">
        <f t="shared" si="26"/>
        <v>0</v>
      </c>
      <c r="F101" s="47">
        <v>2704490</v>
      </c>
      <c r="G101" s="47">
        <f>2704490+143750+175985000</f>
        <v>178833240</v>
      </c>
      <c r="H101" s="47"/>
      <c r="I101" s="47">
        <v>175000</v>
      </c>
      <c r="J101" s="47">
        <v>175000</v>
      </c>
      <c r="K101" s="47"/>
      <c r="L101" s="47"/>
      <c r="M101" s="47"/>
      <c r="N101" s="47"/>
      <c r="O101" s="47"/>
      <c r="P101" s="47">
        <v>0</v>
      </c>
      <c r="Q101" s="47"/>
      <c r="R101" s="47"/>
      <c r="S101" s="47"/>
      <c r="T101" s="47"/>
    </row>
    <row r="102" spans="1:20" x14ac:dyDescent="0.2">
      <c r="A102" s="6">
        <v>16</v>
      </c>
      <c r="B102" s="9" t="s">
        <v>84</v>
      </c>
      <c r="C102" s="47">
        <f t="shared" si="28"/>
        <v>0</v>
      </c>
      <c r="D102" s="47">
        <f t="shared" si="25"/>
        <v>49833451</v>
      </c>
      <c r="E102" s="47">
        <f t="shared" si="26"/>
        <v>0</v>
      </c>
      <c r="F102" s="47"/>
      <c r="G102" s="47">
        <v>49480347</v>
      </c>
      <c r="H102" s="47"/>
      <c r="I102" s="47"/>
      <c r="J102" s="47">
        <v>0</v>
      </c>
      <c r="K102" s="47"/>
      <c r="L102" s="47"/>
      <c r="M102" s="47"/>
      <c r="N102" s="47"/>
      <c r="O102" s="47"/>
      <c r="P102" s="47">
        <f>353104</f>
        <v>353104</v>
      </c>
      <c r="Q102" s="47"/>
      <c r="R102" s="47"/>
      <c r="S102" s="47"/>
      <c r="T102" s="47"/>
    </row>
    <row r="103" spans="1:20" x14ac:dyDescent="0.2">
      <c r="A103" s="27">
        <v>17</v>
      </c>
      <c r="B103" s="5" t="s">
        <v>85</v>
      </c>
      <c r="C103" s="47">
        <f t="shared" si="28"/>
        <v>400000</v>
      </c>
      <c r="D103" s="47">
        <f t="shared" si="25"/>
        <v>400000</v>
      </c>
      <c r="E103" s="47">
        <f t="shared" si="26"/>
        <v>0</v>
      </c>
      <c r="F103" s="47">
        <v>400000</v>
      </c>
      <c r="G103" s="47">
        <v>400000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</row>
    <row r="104" spans="1:20" x14ac:dyDescent="0.2">
      <c r="A104" s="6">
        <v>18</v>
      </c>
      <c r="B104" s="6" t="s">
        <v>86</v>
      </c>
      <c r="C104" s="47">
        <f t="shared" si="28"/>
        <v>0</v>
      </c>
      <c r="D104" s="47">
        <f t="shared" si="25"/>
        <v>0</v>
      </c>
      <c r="E104" s="47">
        <f t="shared" si="26"/>
        <v>0</v>
      </c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</row>
    <row r="105" spans="1:20" x14ac:dyDescent="0.2">
      <c r="A105" s="6">
        <v>19</v>
      </c>
      <c r="B105" s="6" t="s">
        <v>87</v>
      </c>
      <c r="C105" s="47">
        <f t="shared" si="28"/>
        <v>0</v>
      </c>
      <c r="D105" s="47">
        <f t="shared" si="25"/>
        <v>0</v>
      </c>
      <c r="E105" s="47">
        <f t="shared" si="26"/>
        <v>0</v>
      </c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</row>
    <row r="106" spans="1:20" x14ac:dyDescent="0.2">
      <c r="A106" s="6">
        <v>20</v>
      </c>
      <c r="B106" s="9" t="s">
        <v>115</v>
      </c>
      <c r="C106" s="47">
        <f t="shared" si="28"/>
        <v>0</v>
      </c>
      <c r="D106" s="47">
        <f t="shared" si="25"/>
        <v>650000</v>
      </c>
      <c r="E106" s="47">
        <f t="shared" si="26"/>
        <v>0</v>
      </c>
      <c r="F106" s="47"/>
      <c r="G106" s="47">
        <v>650000</v>
      </c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</row>
    <row r="107" spans="1:20" x14ac:dyDescent="0.2">
      <c r="A107" s="24">
        <v>21</v>
      </c>
      <c r="B107" s="22" t="s">
        <v>68</v>
      </c>
      <c r="C107" s="49">
        <f t="shared" si="28"/>
        <v>3279490</v>
      </c>
      <c r="D107" s="49">
        <f t="shared" si="25"/>
        <v>229891691</v>
      </c>
      <c r="E107" s="49">
        <f t="shared" si="26"/>
        <v>0</v>
      </c>
      <c r="F107" s="50">
        <f t="shared" ref="F107:T107" si="29">SUM(F101:F106)</f>
        <v>3104490</v>
      </c>
      <c r="G107" s="50">
        <f t="shared" si="29"/>
        <v>229363587</v>
      </c>
      <c r="H107" s="50">
        <f t="shared" si="29"/>
        <v>0</v>
      </c>
      <c r="I107" s="50">
        <f t="shared" si="29"/>
        <v>175000</v>
      </c>
      <c r="J107" s="50">
        <f t="shared" si="29"/>
        <v>175000</v>
      </c>
      <c r="K107" s="50">
        <f t="shared" si="29"/>
        <v>0</v>
      </c>
      <c r="L107" s="50">
        <f t="shared" si="29"/>
        <v>0</v>
      </c>
      <c r="M107" s="50">
        <f t="shared" si="29"/>
        <v>0</v>
      </c>
      <c r="N107" s="50">
        <f t="shared" si="29"/>
        <v>0</v>
      </c>
      <c r="O107" s="50">
        <f t="shared" si="29"/>
        <v>0</v>
      </c>
      <c r="P107" s="50">
        <f t="shared" si="29"/>
        <v>353104</v>
      </c>
      <c r="Q107" s="50">
        <f t="shared" si="29"/>
        <v>0</v>
      </c>
      <c r="R107" s="50">
        <f t="shared" si="29"/>
        <v>0</v>
      </c>
      <c r="S107" s="50">
        <f t="shared" si="29"/>
        <v>0</v>
      </c>
      <c r="T107" s="50">
        <f t="shared" si="29"/>
        <v>0</v>
      </c>
    </row>
    <row r="108" spans="1:20" x14ac:dyDescent="0.2">
      <c r="A108" s="24">
        <v>22</v>
      </c>
      <c r="B108" s="23" t="s">
        <v>140</v>
      </c>
      <c r="C108" s="47">
        <f t="shared" si="28"/>
        <v>0</v>
      </c>
      <c r="D108" s="47">
        <f t="shared" si="25"/>
        <v>0</v>
      </c>
      <c r="E108" s="47">
        <f t="shared" si="26"/>
        <v>0</v>
      </c>
      <c r="F108" s="47"/>
      <c r="G108" s="50">
        <v>0</v>
      </c>
      <c r="H108" s="47">
        <v>0</v>
      </c>
      <c r="I108" s="47"/>
      <c r="J108" s="50"/>
      <c r="K108" s="47"/>
      <c r="L108" s="47"/>
      <c r="M108" s="47"/>
      <c r="N108" s="47"/>
      <c r="O108" s="47"/>
      <c r="P108" s="47"/>
      <c r="Q108" s="47"/>
      <c r="R108" s="47"/>
      <c r="S108" s="50"/>
      <c r="T108" s="47"/>
    </row>
    <row r="109" spans="1:20" x14ac:dyDescent="0.2">
      <c r="A109" s="25">
        <v>23</v>
      </c>
      <c r="B109" s="23" t="s">
        <v>69</v>
      </c>
      <c r="C109" s="49">
        <f t="shared" si="28"/>
        <v>193477970</v>
      </c>
      <c r="D109" s="49">
        <f t="shared" si="25"/>
        <v>472904160</v>
      </c>
      <c r="E109" s="49">
        <f t="shared" si="26"/>
        <v>0</v>
      </c>
      <c r="F109" s="49">
        <f t="shared" ref="F109:T109" si="30">F99+F107</f>
        <v>165060198</v>
      </c>
      <c r="G109" s="49">
        <f>G99+G107+G108</f>
        <v>443534059</v>
      </c>
      <c r="H109" s="49">
        <f>H99+H107+H108</f>
        <v>0</v>
      </c>
      <c r="I109" s="49">
        <f t="shared" si="30"/>
        <v>7673559</v>
      </c>
      <c r="J109" s="49">
        <f t="shared" si="30"/>
        <v>8281210</v>
      </c>
      <c r="K109" s="49">
        <f t="shared" si="30"/>
        <v>0</v>
      </c>
      <c r="L109" s="49">
        <f t="shared" si="30"/>
        <v>12013713</v>
      </c>
      <c r="M109" s="49">
        <f t="shared" si="30"/>
        <v>12027375</v>
      </c>
      <c r="N109" s="49">
        <f t="shared" si="30"/>
        <v>0</v>
      </c>
      <c r="O109" s="49">
        <f t="shared" si="30"/>
        <v>7481680</v>
      </c>
      <c r="P109" s="49">
        <f t="shared" si="30"/>
        <v>7812696</v>
      </c>
      <c r="Q109" s="49">
        <f t="shared" si="30"/>
        <v>0</v>
      </c>
      <c r="R109" s="49">
        <f t="shared" si="30"/>
        <v>1248820</v>
      </c>
      <c r="S109" s="49">
        <f t="shared" si="30"/>
        <v>1248820</v>
      </c>
      <c r="T109" s="49">
        <f t="shared" si="30"/>
        <v>0</v>
      </c>
    </row>
    <row r="110" spans="1:20" x14ac:dyDescent="0.2">
      <c r="A110" s="6">
        <v>24</v>
      </c>
      <c r="B110" s="9" t="s">
        <v>88</v>
      </c>
      <c r="C110" s="9"/>
      <c r="D110" s="47">
        <f t="shared" si="25"/>
        <v>0</v>
      </c>
      <c r="E110" s="47">
        <f t="shared" si="26"/>
        <v>0</v>
      </c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</row>
    <row r="111" spans="1:20" x14ac:dyDescent="0.2">
      <c r="A111" s="28">
        <v>25</v>
      </c>
      <c r="B111" s="29" t="s">
        <v>70</v>
      </c>
      <c r="C111" s="47">
        <f t="shared" ref="C111:C119" si="31">F111+I111+R111+U111+X111+AD111+AG111+L111+O111</f>
        <v>1205373</v>
      </c>
      <c r="D111" s="47">
        <f t="shared" si="25"/>
        <v>1205373</v>
      </c>
      <c r="E111" s="47">
        <f t="shared" si="26"/>
        <v>0</v>
      </c>
      <c r="F111" s="47">
        <v>1205373</v>
      </c>
      <c r="G111" s="56">
        <v>1205373</v>
      </c>
      <c r="H111" s="47"/>
      <c r="I111" s="47"/>
      <c r="J111" s="56">
        <v>0</v>
      </c>
      <c r="K111" s="47"/>
      <c r="L111" s="47"/>
      <c r="M111" s="47"/>
      <c r="N111" s="47"/>
      <c r="O111" s="47"/>
      <c r="P111" s="47"/>
      <c r="Q111" s="47"/>
      <c r="R111" s="47"/>
      <c r="S111" s="56"/>
      <c r="T111" s="47"/>
    </row>
    <row r="112" spans="1:20" x14ac:dyDescent="0.2">
      <c r="A112" s="28">
        <v>26</v>
      </c>
      <c r="B112" s="9" t="s">
        <v>71</v>
      </c>
      <c r="C112" s="47">
        <f t="shared" si="31"/>
        <v>0</v>
      </c>
      <c r="D112" s="47">
        <f t="shared" si="25"/>
        <v>87467105</v>
      </c>
      <c r="E112" s="47">
        <f t="shared" si="26"/>
        <v>0</v>
      </c>
      <c r="F112" s="47"/>
      <c r="G112" s="47">
        <f>101461467-13994362</f>
        <v>87467105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</row>
    <row r="113" spans="1:20" x14ac:dyDescent="0.2">
      <c r="A113" s="25">
        <v>27</v>
      </c>
      <c r="B113" s="23" t="s">
        <v>72</v>
      </c>
      <c r="C113" s="49">
        <f t="shared" si="31"/>
        <v>1205373</v>
      </c>
      <c r="D113" s="49">
        <f t="shared" si="25"/>
        <v>88672478</v>
      </c>
      <c r="E113" s="49">
        <f t="shared" si="26"/>
        <v>0</v>
      </c>
      <c r="F113" s="49">
        <f t="shared" ref="F113:Q113" si="32">SUM(F111:F112)</f>
        <v>1205373</v>
      </c>
      <c r="G113" s="49">
        <f t="shared" si="32"/>
        <v>88672478</v>
      </c>
      <c r="H113" s="49">
        <f t="shared" si="32"/>
        <v>0</v>
      </c>
      <c r="I113" s="49">
        <f t="shared" si="32"/>
        <v>0</v>
      </c>
      <c r="J113" s="49">
        <f t="shared" si="32"/>
        <v>0</v>
      </c>
      <c r="K113" s="49">
        <f t="shared" si="32"/>
        <v>0</v>
      </c>
      <c r="L113" s="49"/>
      <c r="M113" s="49">
        <f t="shared" si="32"/>
        <v>0</v>
      </c>
      <c r="N113" s="49">
        <f t="shared" si="32"/>
        <v>0</v>
      </c>
      <c r="O113" s="49">
        <f t="shared" si="32"/>
        <v>0</v>
      </c>
      <c r="P113" s="49">
        <f t="shared" si="32"/>
        <v>0</v>
      </c>
      <c r="Q113" s="49">
        <f t="shared" si="32"/>
        <v>0</v>
      </c>
      <c r="R113" s="49"/>
      <c r="S113" s="49"/>
      <c r="T113" s="47"/>
    </row>
    <row r="114" spans="1:20" x14ac:dyDescent="0.2">
      <c r="A114" s="25">
        <v>28</v>
      </c>
      <c r="B114" s="23" t="s">
        <v>73</v>
      </c>
      <c r="C114" s="49">
        <f t="shared" si="31"/>
        <v>194683343</v>
      </c>
      <c r="D114" s="49">
        <f t="shared" si="25"/>
        <v>561576638</v>
      </c>
      <c r="E114" s="49">
        <f t="shared" si="26"/>
        <v>0</v>
      </c>
      <c r="F114" s="49">
        <f t="shared" ref="F114:T114" si="33">F113+F109</f>
        <v>166265571</v>
      </c>
      <c r="G114" s="49">
        <f t="shared" si="33"/>
        <v>532206537</v>
      </c>
      <c r="H114" s="49">
        <f t="shared" si="33"/>
        <v>0</v>
      </c>
      <c r="I114" s="49">
        <f t="shared" si="33"/>
        <v>7673559</v>
      </c>
      <c r="J114" s="49">
        <f t="shared" si="33"/>
        <v>8281210</v>
      </c>
      <c r="K114" s="49">
        <f t="shared" si="33"/>
        <v>0</v>
      </c>
      <c r="L114" s="49">
        <f t="shared" si="33"/>
        <v>12013713</v>
      </c>
      <c r="M114" s="49">
        <f t="shared" si="33"/>
        <v>12027375</v>
      </c>
      <c r="N114" s="49">
        <f t="shared" si="33"/>
        <v>0</v>
      </c>
      <c r="O114" s="49">
        <f t="shared" si="33"/>
        <v>7481680</v>
      </c>
      <c r="P114" s="49">
        <f t="shared" si="33"/>
        <v>7812696</v>
      </c>
      <c r="Q114" s="49">
        <f t="shared" si="33"/>
        <v>0</v>
      </c>
      <c r="R114" s="49">
        <f t="shared" si="33"/>
        <v>1248820</v>
      </c>
      <c r="S114" s="49">
        <f t="shared" si="33"/>
        <v>1248820</v>
      </c>
      <c r="T114" s="49">
        <f t="shared" si="33"/>
        <v>0</v>
      </c>
    </row>
    <row r="115" spans="1:20" x14ac:dyDescent="0.2">
      <c r="A115" s="28">
        <v>29</v>
      </c>
      <c r="B115" s="29" t="s">
        <v>89</v>
      </c>
      <c r="C115" s="47">
        <f t="shared" si="31"/>
        <v>0</v>
      </c>
      <c r="D115" s="47">
        <f t="shared" si="25"/>
        <v>0</v>
      </c>
      <c r="E115" s="47">
        <f t="shared" si="26"/>
        <v>0</v>
      </c>
      <c r="F115" s="47"/>
      <c r="G115" s="48">
        <v>0</v>
      </c>
      <c r="H115" s="47"/>
      <c r="I115" s="47"/>
      <c r="J115" s="48"/>
      <c r="K115" s="47"/>
      <c r="L115" s="47"/>
      <c r="M115" s="47"/>
      <c r="N115" s="47"/>
      <c r="O115" s="47"/>
      <c r="P115" s="47"/>
      <c r="Q115" s="47"/>
      <c r="R115" s="47"/>
      <c r="S115" s="48"/>
      <c r="T115" s="47"/>
    </row>
    <row r="116" spans="1:20" x14ac:dyDescent="0.2">
      <c r="A116" s="28">
        <v>30</v>
      </c>
      <c r="B116" s="29" t="s">
        <v>90</v>
      </c>
      <c r="C116" s="47">
        <f t="shared" si="31"/>
        <v>37925000</v>
      </c>
      <c r="D116" s="47">
        <f t="shared" si="25"/>
        <v>46993275</v>
      </c>
      <c r="E116" s="47">
        <f t="shared" si="26"/>
        <v>0</v>
      </c>
      <c r="F116" s="47">
        <v>37925000</v>
      </c>
      <c r="G116" s="48">
        <f>37925000+9068275</f>
        <v>46993275</v>
      </c>
      <c r="H116" s="47">
        <v>0</v>
      </c>
      <c r="I116" s="47"/>
      <c r="J116" s="48"/>
      <c r="K116" s="47"/>
      <c r="L116" s="47"/>
      <c r="M116" s="47"/>
      <c r="N116" s="47"/>
      <c r="O116" s="47"/>
      <c r="P116" s="47"/>
      <c r="Q116" s="47"/>
      <c r="R116" s="47"/>
      <c r="S116" s="48"/>
      <c r="T116" s="47"/>
    </row>
    <row r="117" spans="1:20" x14ac:dyDescent="0.2">
      <c r="A117" s="28">
        <v>31</v>
      </c>
      <c r="B117" s="29" t="s">
        <v>133</v>
      </c>
      <c r="C117" s="47">
        <f t="shared" si="31"/>
        <v>0</v>
      </c>
      <c r="D117" s="47">
        <f t="shared" si="25"/>
        <v>6084055</v>
      </c>
      <c r="E117" s="47">
        <f t="shared" si="26"/>
        <v>0</v>
      </c>
      <c r="F117" s="47"/>
      <c r="G117" s="48">
        <v>6084055</v>
      </c>
      <c r="H117" s="47"/>
      <c r="I117" s="47"/>
      <c r="J117" s="48"/>
      <c r="K117" s="47"/>
      <c r="L117" s="47"/>
      <c r="M117" s="47"/>
      <c r="N117" s="47"/>
      <c r="O117" s="47"/>
      <c r="P117" s="47"/>
      <c r="Q117" s="47"/>
      <c r="R117" s="47"/>
      <c r="S117" s="48"/>
      <c r="T117" s="47"/>
    </row>
    <row r="118" spans="1:20" x14ac:dyDescent="0.2">
      <c r="A118" s="25">
        <v>32</v>
      </c>
      <c r="B118" s="23" t="s">
        <v>91</v>
      </c>
      <c r="C118" s="49">
        <f t="shared" si="31"/>
        <v>37925000</v>
      </c>
      <c r="D118" s="49">
        <f t="shared" si="25"/>
        <v>53077330</v>
      </c>
      <c r="E118" s="49">
        <f t="shared" si="26"/>
        <v>0</v>
      </c>
      <c r="F118" s="49">
        <f>SUM(F115:F117)</f>
        <v>37925000</v>
      </c>
      <c r="G118" s="49">
        <f>SUM(G115:G117)</f>
        <v>53077330</v>
      </c>
      <c r="H118" s="49">
        <f>SUM(H115:H117)</f>
        <v>0</v>
      </c>
      <c r="I118" s="49">
        <f t="shared" ref="I118:T118" si="34">SUM(I115)</f>
        <v>0</v>
      </c>
      <c r="J118" s="49">
        <f t="shared" si="34"/>
        <v>0</v>
      </c>
      <c r="K118" s="49">
        <f t="shared" si="34"/>
        <v>0</v>
      </c>
      <c r="L118" s="49">
        <f t="shared" si="34"/>
        <v>0</v>
      </c>
      <c r="M118" s="49">
        <f t="shared" si="34"/>
        <v>0</v>
      </c>
      <c r="N118" s="49">
        <f t="shared" si="34"/>
        <v>0</v>
      </c>
      <c r="O118" s="49">
        <f t="shared" si="34"/>
        <v>0</v>
      </c>
      <c r="P118" s="49">
        <f t="shared" si="34"/>
        <v>0</v>
      </c>
      <c r="Q118" s="49">
        <f t="shared" si="34"/>
        <v>0</v>
      </c>
      <c r="R118" s="49">
        <f t="shared" si="34"/>
        <v>0</v>
      </c>
      <c r="S118" s="49">
        <f t="shared" si="34"/>
        <v>0</v>
      </c>
      <c r="T118" s="49">
        <f t="shared" si="34"/>
        <v>0</v>
      </c>
    </row>
    <row r="119" spans="1:20" x14ac:dyDescent="0.2">
      <c r="A119" s="25">
        <v>33</v>
      </c>
      <c r="B119" s="23" t="s">
        <v>74</v>
      </c>
      <c r="C119" s="49">
        <f t="shared" si="31"/>
        <v>232608343</v>
      </c>
      <c r="D119" s="49">
        <f t="shared" si="25"/>
        <v>614653968</v>
      </c>
      <c r="E119" s="49">
        <f t="shared" si="26"/>
        <v>0</v>
      </c>
      <c r="F119" s="49">
        <f>F109+F113+F118</f>
        <v>204190571</v>
      </c>
      <c r="G119" s="49">
        <f>G109+G113+G118</f>
        <v>585283867</v>
      </c>
      <c r="H119" s="49">
        <f>H109+H113+H118</f>
        <v>0</v>
      </c>
      <c r="I119" s="49">
        <f t="shared" ref="I119:T119" si="35">I109+I113</f>
        <v>7673559</v>
      </c>
      <c r="J119" s="49">
        <f t="shared" si="35"/>
        <v>8281210</v>
      </c>
      <c r="K119" s="49">
        <f t="shared" si="35"/>
        <v>0</v>
      </c>
      <c r="L119" s="49">
        <f t="shared" si="35"/>
        <v>12013713</v>
      </c>
      <c r="M119" s="49">
        <f t="shared" si="35"/>
        <v>12027375</v>
      </c>
      <c r="N119" s="49">
        <f t="shared" si="35"/>
        <v>0</v>
      </c>
      <c r="O119" s="49">
        <f t="shared" si="35"/>
        <v>7481680</v>
      </c>
      <c r="P119" s="49">
        <f t="shared" si="35"/>
        <v>7812696</v>
      </c>
      <c r="Q119" s="49">
        <f t="shared" si="35"/>
        <v>0</v>
      </c>
      <c r="R119" s="49">
        <f t="shared" si="35"/>
        <v>1248820</v>
      </c>
      <c r="S119" s="49">
        <f t="shared" si="35"/>
        <v>1248820</v>
      </c>
      <c r="T119" s="49">
        <f t="shared" si="35"/>
        <v>0</v>
      </c>
    </row>
    <row r="120" spans="1:20" x14ac:dyDescent="0.2">
      <c r="A120" s="25">
        <v>34</v>
      </c>
      <c r="B120" s="23" t="s">
        <v>75</v>
      </c>
      <c r="C120" s="23"/>
      <c r="D120" s="49">
        <f t="shared" si="25"/>
        <v>0</v>
      </c>
      <c r="E120" s="49">
        <f t="shared" si="26"/>
        <v>0</v>
      </c>
      <c r="F120" s="49"/>
      <c r="G120" s="49"/>
      <c r="H120" s="47"/>
      <c r="I120" s="47"/>
      <c r="J120" s="49"/>
      <c r="K120" s="47"/>
      <c r="L120" s="47"/>
      <c r="M120" s="47"/>
      <c r="N120" s="47"/>
      <c r="O120" s="47"/>
      <c r="P120" s="47"/>
      <c r="Q120" s="47"/>
      <c r="R120" s="47"/>
      <c r="S120" s="49"/>
      <c r="T120" s="47"/>
    </row>
    <row r="121" spans="1:20" x14ac:dyDescent="0.2">
      <c r="A121" s="25">
        <v>35</v>
      </c>
      <c r="B121" s="23" t="s">
        <v>74</v>
      </c>
      <c r="C121" s="49">
        <f>F121+I121+R121+U121+X121+AD121+AG121+L121+O121</f>
        <v>232608343</v>
      </c>
      <c r="D121" s="49">
        <f t="shared" si="25"/>
        <v>614653968</v>
      </c>
      <c r="E121" s="49">
        <f t="shared" si="26"/>
        <v>0</v>
      </c>
      <c r="F121" s="49">
        <f t="shared" ref="F121:T121" si="36">SUM(F119:F120)</f>
        <v>204190571</v>
      </c>
      <c r="G121" s="49">
        <f t="shared" si="36"/>
        <v>585283867</v>
      </c>
      <c r="H121" s="49">
        <f t="shared" si="36"/>
        <v>0</v>
      </c>
      <c r="I121" s="49">
        <f t="shared" si="36"/>
        <v>7673559</v>
      </c>
      <c r="J121" s="49">
        <f t="shared" si="36"/>
        <v>8281210</v>
      </c>
      <c r="K121" s="49">
        <f t="shared" si="36"/>
        <v>0</v>
      </c>
      <c r="L121" s="49">
        <f t="shared" si="36"/>
        <v>12013713</v>
      </c>
      <c r="M121" s="49">
        <f t="shared" si="36"/>
        <v>12027375</v>
      </c>
      <c r="N121" s="49">
        <f t="shared" si="36"/>
        <v>0</v>
      </c>
      <c r="O121" s="49">
        <f t="shared" si="36"/>
        <v>7481680</v>
      </c>
      <c r="P121" s="49">
        <f t="shared" si="36"/>
        <v>7812696</v>
      </c>
      <c r="Q121" s="49">
        <f t="shared" si="36"/>
        <v>0</v>
      </c>
      <c r="R121" s="49">
        <f t="shared" si="36"/>
        <v>1248820</v>
      </c>
      <c r="S121" s="49">
        <f t="shared" si="36"/>
        <v>1248820</v>
      </c>
      <c r="T121" s="49">
        <f t="shared" si="36"/>
        <v>0</v>
      </c>
    </row>
    <row r="122" spans="1:20" x14ac:dyDescent="0.2">
      <c r="A122" s="25">
        <v>36</v>
      </c>
      <c r="B122" s="22"/>
      <c r="C122" s="22"/>
      <c r="D122" s="47">
        <f t="shared" si="25"/>
        <v>0</v>
      </c>
      <c r="E122" s="47">
        <f t="shared" si="26"/>
        <v>0</v>
      </c>
      <c r="F122" s="47"/>
      <c r="G122" s="50"/>
      <c r="H122" s="47"/>
      <c r="I122" s="47"/>
      <c r="J122" s="50"/>
      <c r="K122" s="47"/>
      <c r="L122" s="47"/>
      <c r="M122" s="47"/>
      <c r="N122" s="47"/>
      <c r="O122" s="47"/>
      <c r="P122" s="47"/>
      <c r="Q122" s="47"/>
      <c r="R122" s="47"/>
      <c r="S122" s="50"/>
      <c r="T122" s="47"/>
    </row>
    <row r="123" spans="1:20" s="11" customFormat="1" x14ac:dyDescent="0.2">
      <c r="A123" s="25">
        <v>37</v>
      </c>
      <c r="B123" s="9" t="s">
        <v>76</v>
      </c>
      <c r="C123" s="58">
        <f t="shared" ref="C123:C129" si="37">F123+I123+R123+U123+X123+AD123+AG123+L123+O123</f>
        <v>1</v>
      </c>
      <c r="D123" s="58">
        <f t="shared" si="25"/>
        <v>1</v>
      </c>
      <c r="E123" s="58">
        <f t="shared" si="26"/>
        <v>1</v>
      </c>
      <c r="F123" s="58"/>
      <c r="G123" s="58">
        <v>0</v>
      </c>
      <c r="H123" s="58">
        <v>0</v>
      </c>
      <c r="I123" s="58">
        <v>1</v>
      </c>
      <c r="J123" s="58">
        <v>1</v>
      </c>
      <c r="K123" s="58">
        <v>1</v>
      </c>
      <c r="L123" s="58"/>
      <c r="M123" s="58"/>
      <c r="N123" s="58"/>
      <c r="O123" s="58"/>
      <c r="P123" s="58">
        <v>0</v>
      </c>
      <c r="Q123" s="58"/>
      <c r="R123" s="58"/>
      <c r="S123" s="58">
        <v>0</v>
      </c>
      <c r="T123" s="58"/>
    </row>
    <row r="124" spans="1:20" s="11" customFormat="1" x14ac:dyDescent="0.2">
      <c r="A124" s="25">
        <v>38</v>
      </c>
      <c r="B124" s="9" t="s">
        <v>77</v>
      </c>
      <c r="C124" s="58">
        <f t="shared" si="37"/>
        <v>0</v>
      </c>
      <c r="D124" s="58">
        <f t="shared" si="25"/>
        <v>0</v>
      </c>
      <c r="E124" s="58">
        <f t="shared" si="26"/>
        <v>0</v>
      </c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</row>
    <row r="125" spans="1:20" s="11" customFormat="1" x14ac:dyDescent="0.2">
      <c r="A125" s="25">
        <v>39</v>
      </c>
      <c r="B125" s="9" t="s">
        <v>78</v>
      </c>
      <c r="C125" s="58">
        <f t="shared" si="37"/>
        <v>2</v>
      </c>
      <c r="D125" s="58">
        <f t="shared" si="25"/>
        <v>5</v>
      </c>
      <c r="E125" s="58">
        <f t="shared" si="26"/>
        <v>3.5</v>
      </c>
      <c r="F125" s="58"/>
      <c r="G125" s="58">
        <v>3</v>
      </c>
      <c r="H125" s="58">
        <v>1.5</v>
      </c>
      <c r="I125" s="58"/>
      <c r="J125" s="58">
        <v>0</v>
      </c>
      <c r="K125" s="58">
        <v>0</v>
      </c>
      <c r="L125" s="58">
        <v>1</v>
      </c>
      <c r="M125" s="58">
        <v>1</v>
      </c>
      <c r="N125" s="58">
        <v>1</v>
      </c>
      <c r="O125" s="58">
        <v>1</v>
      </c>
      <c r="P125" s="58">
        <v>1</v>
      </c>
      <c r="Q125" s="58">
        <v>1</v>
      </c>
      <c r="R125" s="58"/>
      <c r="S125" s="58">
        <v>0</v>
      </c>
      <c r="T125" s="58">
        <v>0</v>
      </c>
    </row>
    <row r="126" spans="1:20" s="11" customFormat="1" x14ac:dyDescent="0.2">
      <c r="A126" s="25">
        <v>40</v>
      </c>
      <c r="B126" s="9" t="s">
        <v>79</v>
      </c>
      <c r="C126" s="58">
        <f t="shared" si="37"/>
        <v>0</v>
      </c>
      <c r="D126" s="58">
        <f t="shared" si="25"/>
        <v>11</v>
      </c>
      <c r="E126" s="58">
        <f t="shared" si="26"/>
        <v>2</v>
      </c>
      <c r="F126" s="58"/>
      <c r="G126" s="58">
        <v>11</v>
      </c>
      <c r="H126" s="58">
        <v>2</v>
      </c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</row>
    <row r="127" spans="1:20" s="11" customFormat="1" x14ac:dyDescent="0.2">
      <c r="A127" s="25">
        <v>41</v>
      </c>
      <c r="B127" s="9" t="s">
        <v>80</v>
      </c>
      <c r="C127" s="58">
        <f t="shared" si="37"/>
        <v>2</v>
      </c>
      <c r="D127" s="58">
        <f t="shared" si="25"/>
        <v>10</v>
      </c>
      <c r="E127" s="58">
        <f t="shared" si="26"/>
        <v>9.75</v>
      </c>
      <c r="F127" s="58"/>
      <c r="G127" s="58">
        <v>8</v>
      </c>
      <c r="H127" s="58">
        <f>4.75+3</f>
        <v>7.75</v>
      </c>
      <c r="I127" s="58"/>
      <c r="J127" s="58"/>
      <c r="K127" s="58"/>
      <c r="L127" s="58"/>
      <c r="M127" s="58"/>
      <c r="N127" s="58"/>
      <c r="O127" s="58">
        <v>1</v>
      </c>
      <c r="P127" s="58">
        <v>1</v>
      </c>
      <c r="Q127" s="58">
        <v>1</v>
      </c>
      <c r="R127" s="58">
        <v>1</v>
      </c>
      <c r="S127" s="58">
        <v>1</v>
      </c>
      <c r="T127" s="58">
        <v>1</v>
      </c>
    </row>
    <row r="128" spans="1:20" s="11" customFormat="1" x14ac:dyDescent="0.2">
      <c r="A128" s="25">
        <v>42</v>
      </c>
      <c r="B128" s="9" t="s">
        <v>163</v>
      </c>
      <c r="C128" s="58">
        <f t="shared" si="37"/>
        <v>0</v>
      </c>
      <c r="D128" s="58">
        <f t="shared" si="25"/>
        <v>7</v>
      </c>
      <c r="E128" s="58">
        <f t="shared" si="26"/>
        <v>7</v>
      </c>
      <c r="F128" s="58"/>
      <c r="G128" s="58">
        <v>7</v>
      </c>
      <c r="H128" s="58">
        <v>7</v>
      </c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</row>
    <row r="129" spans="1:20" x14ac:dyDescent="0.2">
      <c r="A129" s="25">
        <v>43</v>
      </c>
      <c r="B129" s="9" t="s">
        <v>81</v>
      </c>
      <c r="C129" s="58">
        <f t="shared" si="37"/>
        <v>5</v>
      </c>
      <c r="D129" s="58">
        <f t="shared" si="25"/>
        <v>34</v>
      </c>
      <c r="E129" s="58">
        <f t="shared" si="26"/>
        <v>23.25</v>
      </c>
      <c r="F129" s="58">
        <f>SUM(F123:F128)</f>
        <v>0</v>
      </c>
      <c r="G129" s="58">
        <f>SUM(G123:G128)</f>
        <v>29</v>
      </c>
      <c r="H129" s="58">
        <f>SUM(H123:H128)</f>
        <v>18.25</v>
      </c>
      <c r="I129" s="58">
        <f t="shared" ref="I129:T129" si="38">SUM(I123:I127)</f>
        <v>1</v>
      </c>
      <c r="J129" s="58">
        <f t="shared" si="38"/>
        <v>1</v>
      </c>
      <c r="K129" s="58">
        <f t="shared" si="38"/>
        <v>1</v>
      </c>
      <c r="L129" s="58">
        <f t="shared" si="38"/>
        <v>1</v>
      </c>
      <c r="M129" s="58">
        <f t="shared" si="38"/>
        <v>1</v>
      </c>
      <c r="N129" s="58">
        <f t="shared" si="38"/>
        <v>1</v>
      </c>
      <c r="O129" s="58">
        <f t="shared" si="38"/>
        <v>2</v>
      </c>
      <c r="P129" s="58">
        <f t="shared" si="38"/>
        <v>2</v>
      </c>
      <c r="Q129" s="58">
        <f t="shared" si="38"/>
        <v>2</v>
      </c>
      <c r="R129" s="58">
        <f t="shared" si="38"/>
        <v>1</v>
      </c>
      <c r="S129" s="58">
        <f t="shared" si="38"/>
        <v>1</v>
      </c>
      <c r="T129" s="58">
        <f t="shared" si="38"/>
        <v>1</v>
      </c>
    </row>
  </sheetData>
  <mergeCells count="29">
    <mergeCell ref="O88:Q88"/>
    <mergeCell ref="R88:T88"/>
    <mergeCell ref="G5:T5"/>
    <mergeCell ref="F7:H7"/>
    <mergeCell ref="O7:Q7"/>
    <mergeCell ref="F8:H8"/>
    <mergeCell ref="I7:K7"/>
    <mergeCell ref="I8:K8"/>
    <mergeCell ref="I9:K9"/>
    <mergeCell ref="F90:H90"/>
    <mergeCell ref="I90:K90"/>
    <mergeCell ref="L90:N90"/>
    <mergeCell ref="O90:Q90"/>
    <mergeCell ref="F88:H88"/>
    <mergeCell ref="I88:K88"/>
    <mergeCell ref="F89:H89"/>
    <mergeCell ref="I89:K89"/>
    <mergeCell ref="L89:N89"/>
    <mergeCell ref="O89:Q89"/>
    <mergeCell ref="R89:T89"/>
    <mergeCell ref="F9:H9"/>
    <mergeCell ref="L7:N7"/>
    <mergeCell ref="L8:N8"/>
    <mergeCell ref="L9:N9"/>
    <mergeCell ref="O8:Q8"/>
    <mergeCell ref="O9:Q9"/>
    <mergeCell ref="R7:T7"/>
    <mergeCell ref="R8:T8"/>
    <mergeCell ref="L88:N88"/>
  </mergeCells>
  <pageMargins left="0.19685039370078741" right="0.19685039370078741" top="0.19685039370078741" bottom="0.19685039370078741" header="0" footer="0"/>
  <pageSetup paperSize="8" scale="5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9"/>
  <sheetViews>
    <sheetView tabSelected="1" topLeftCell="B1" workbookViewId="0">
      <selection activeCell="E2" sqref="E2"/>
    </sheetView>
  </sheetViews>
  <sheetFormatPr defaultRowHeight="12.75" x14ac:dyDescent="0.2"/>
  <cols>
    <col min="1" max="1" width="3.7109375" customWidth="1"/>
    <col min="2" max="2" width="46.7109375" customWidth="1"/>
    <col min="3" max="3" width="13" customWidth="1"/>
    <col min="4" max="4" width="13.28515625" style="30" customWidth="1"/>
    <col min="5" max="5" width="13.5703125" style="30" customWidth="1"/>
    <col min="6" max="6" width="11.5703125" style="30" customWidth="1"/>
    <col min="7" max="7" width="12.5703125" style="30" customWidth="1"/>
    <col min="8" max="8" width="13.140625" style="30" customWidth="1"/>
    <col min="9" max="10" width="11.5703125" style="57" customWidth="1"/>
    <col min="11" max="11" width="13.28515625" style="57" customWidth="1"/>
    <col min="12" max="13" width="11.5703125" style="57" customWidth="1"/>
    <col min="14" max="14" width="13.140625" style="57" customWidth="1"/>
    <col min="15" max="16" width="11.5703125" style="57" customWidth="1"/>
    <col min="17" max="17" width="13.5703125" style="57" customWidth="1"/>
    <col min="18" max="19" width="11.5703125" style="57" customWidth="1"/>
    <col min="20" max="20" width="12.85546875" style="57" customWidth="1"/>
  </cols>
  <sheetData>
    <row r="1" spans="1:21" x14ac:dyDescent="0.2">
      <c r="A1" s="11"/>
      <c r="B1" s="11"/>
      <c r="C1" s="11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 t="s">
        <v>94</v>
      </c>
    </row>
    <row r="2" spans="1:21" x14ac:dyDescent="0.2">
      <c r="A2" s="11"/>
      <c r="B2" s="11"/>
      <c r="C2" s="11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1" x14ac:dyDescent="0.2">
      <c r="A3" s="11"/>
      <c r="B3" s="11"/>
      <c r="C3" s="1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1" x14ac:dyDescent="0.2">
      <c r="A4" s="11"/>
      <c r="B4" s="11"/>
      <c r="C4" s="1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x14ac:dyDescent="0.2">
      <c r="A5" s="6">
        <v>1</v>
      </c>
      <c r="B5" s="9" t="s">
        <v>0</v>
      </c>
      <c r="C5" s="65"/>
      <c r="D5" s="32"/>
      <c r="E5" s="32"/>
      <c r="F5" s="31"/>
      <c r="G5" s="72" t="s">
        <v>27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1" x14ac:dyDescent="0.2">
      <c r="A6" s="6">
        <v>2</v>
      </c>
      <c r="B6" s="12" t="s">
        <v>1</v>
      </c>
      <c r="C6" s="34" t="s">
        <v>2</v>
      </c>
      <c r="D6" s="34"/>
      <c r="E6" s="34"/>
      <c r="F6" s="33"/>
      <c r="G6" s="37"/>
      <c r="H6" s="37"/>
      <c r="I6" s="37"/>
      <c r="J6" s="37"/>
      <c r="K6" s="37"/>
      <c r="L6" s="38"/>
      <c r="M6" s="38"/>
      <c r="N6" s="38"/>
      <c r="O6" s="38"/>
      <c r="P6" s="38"/>
      <c r="Q6" s="38"/>
      <c r="R6" s="38"/>
      <c r="S6" s="34"/>
      <c r="T6" s="35"/>
    </row>
    <row r="7" spans="1:21" x14ac:dyDescent="0.2">
      <c r="A7" s="6">
        <v>3</v>
      </c>
      <c r="B7" s="5"/>
      <c r="C7" s="67"/>
      <c r="D7" s="38"/>
      <c r="E7" s="38"/>
      <c r="F7" s="72" t="s">
        <v>43</v>
      </c>
      <c r="G7" s="72"/>
      <c r="H7" s="73"/>
      <c r="I7" s="72" t="s">
        <v>44</v>
      </c>
      <c r="J7" s="72"/>
      <c r="K7" s="73"/>
      <c r="L7" s="72" t="s">
        <v>149</v>
      </c>
      <c r="M7" s="72"/>
      <c r="N7" s="73"/>
      <c r="O7" s="72" t="s">
        <v>120</v>
      </c>
      <c r="P7" s="72"/>
      <c r="Q7" s="73"/>
      <c r="R7" s="72" t="s">
        <v>151</v>
      </c>
      <c r="S7" s="72"/>
      <c r="T7" s="73"/>
    </row>
    <row r="8" spans="1:21" s="10" customFormat="1" ht="25.5" customHeight="1" x14ac:dyDescent="0.2">
      <c r="A8" s="13">
        <v>4</v>
      </c>
      <c r="B8" s="14"/>
      <c r="C8" s="68"/>
      <c r="D8" s="42"/>
      <c r="E8" s="42"/>
      <c r="F8" s="74" t="s">
        <v>123</v>
      </c>
      <c r="G8" s="74"/>
      <c r="H8" s="75"/>
      <c r="I8" s="74" t="s">
        <v>122</v>
      </c>
      <c r="J8" s="74"/>
      <c r="K8" s="75"/>
      <c r="L8" s="76" t="s">
        <v>147</v>
      </c>
      <c r="M8" s="76"/>
      <c r="N8" s="77"/>
      <c r="O8" s="74" t="s">
        <v>142</v>
      </c>
      <c r="P8" s="74"/>
      <c r="Q8" s="75"/>
      <c r="R8" s="74" t="s">
        <v>150</v>
      </c>
      <c r="S8" s="74"/>
      <c r="T8" s="75"/>
    </row>
    <row r="9" spans="1:21" x14ac:dyDescent="0.2">
      <c r="A9" s="6">
        <v>5</v>
      </c>
      <c r="B9" s="5"/>
      <c r="C9" s="63"/>
      <c r="D9" s="38"/>
      <c r="E9" s="40"/>
      <c r="F9" s="70" t="s">
        <v>17</v>
      </c>
      <c r="G9" s="70"/>
      <c r="H9" s="71"/>
      <c r="I9" s="70" t="s">
        <v>18</v>
      </c>
      <c r="J9" s="70"/>
      <c r="K9" s="71"/>
      <c r="L9" s="70" t="s">
        <v>148</v>
      </c>
      <c r="M9" s="70"/>
      <c r="N9" s="71"/>
      <c r="O9" s="70" t="s">
        <v>121</v>
      </c>
      <c r="P9" s="70"/>
      <c r="Q9" s="71"/>
      <c r="R9" s="32" t="s">
        <v>19</v>
      </c>
      <c r="S9" s="32"/>
      <c r="T9" s="44"/>
    </row>
    <row r="10" spans="1:21" x14ac:dyDescent="0.2">
      <c r="A10" s="15">
        <v>6</v>
      </c>
      <c r="B10" s="16" t="s">
        <v>48</v>
      </c>
      <c r="C10" s="45" t="s">
        <v>49</v>
      </c>
      <c r="D10" s="45" t="s">
        <v>50</v>
      </c>
      <c r="E10" s="45" t="s">
        <v>51</v>
      </c>
      <c r="F10" s="45" t="s">
        <v>52</v>
      </c>
      <c r="G10" s="45" t="s">
        <v>53</v>
      </c>
      <c r="H10" s="45" t="s">
        <v>54</v>
      </c>
      <c r="I10" s="45" t="s">
        <v>55</v>
      </c>
      <c r="J10" s="45" t="s">
        <v>56</v>
      </c>
      <c r="K10" s="45" t="s">
        <v>57</v>
      </c>
      <c r="L10" s="45" t="s">
        <v>58</v>
      </c>
      <c r="M10" s="45" t="s">
        <v>59</v>
      </c>
      <c r="N10" s="45" t="s">
        <v>60</v>
      </c>
      <c r="O10" s="45" t="s">
        <v>124</v>
      </c>
      <c r="P10" s="45" t="s">
        <v>125</v>
      </c>
      <c r="Q10" s="45" t="s">
        <v>165</v>
      </c>
      <c r="R10" s="45" t="s">
        <v>126</v>
      </c>
      <c r="S10" s="45" t="s">
        <v>127</v>
      </c>
      <c r="T10" s="45" t="s">
        <v>128</v>
      </c>
    </row>
    <row r="11" spans="1:21" s="8" customFormat="1" x14ac:dyDescent="0.2">
      <c r="A11" s="15">
        <v>7</v>
      </c>
      <c r="B11" s="17"/>
      <c r="C11" s="45" t="s">
        <v>154</v>
      </c>
      <c r="D11" s="45" t="s">
        <v>154</v>
      </c>
      <c r="E11" s="45" t="s">
        <v>154</v>
      </c>
      <c r="F11" s="45" t="s">
        <v>154</v>
      </c>
      <c r="G11" s="45" t="s">
        <v>154</v>
      </c>
      <c r="H11" s="45" t="s">
        <v>154</v>
      </c>
      <c r="I11" s="45" t="s">
        <v>154</v>
      </c>
      <c r="J11" s="45" t="s">
        <v>154</v>
      </c>
      <c r="K11" s="45" t="s">
        <v>154</v>
      </c>
      <c r="L11" s="45" t="s">
        <v>154</v>
      </c>
      <c r="M11" s="45" t="s">
        <v>154</v>
      </c>
      <c r="N11" s="45" t="s">
        <v>154</v>
      </c>
      <c r="O11" s="45" t="s">
        <v>154</v>
      </c>
      <c r="P11" s="45" t="s">
        <v>154</v>
      </c>
      <c r="Q11" s="45" t="s">
        <v>154</v>
      </c>
      <c r="R11" s="45" t="s">
        <v>154</v>
      </c>
      <c r="S11" s="45" t="s">
        <v>154</v>
      </c>
      <c r="T11" s="45" t="s">
        <v>154</v>
      </c>
      <c r="U11" s="7"/>
    </row>
    <row r="12" spans="1:21" x14ac:dyDescent="0.2">
      <c r="A12" s="15">
        <v>8</v>
      </c>
      <c r="B12" s="18" t="s">
        <v>4</v>
      </c>
      <c r="C12" s="46" t="s">
        <v>3</v>
      </c>
      <c r="D12" s="46" t="s">
        <v>95</v>
      </c>
      <c r="E12" s="46" t="s">
        <v>139</v>
      </c>
      <c r="F12" s="46" t="s">
        <v>3</v>
      </c>
      <c r="G12" s="46" t="s">
        <v>95</v>
      </c>
      <c r="H12" s="46" t="s">
        <v>139</v>
      </c>
      <c r="I12" s="46" t="s">
        <v>3</v>
      </c>
      <c r="J12" s="46" t="s">
        <v>95</v>
      </c>
      <c r="K12" s="46" t="s">
        <v>139</v>
      </c>
      <c r="L12" s="46" t="s">
        <v>3</v>
      </c>
      <c r="M12" s="46" t="s">
        <v>95</v>
      </c>
      <c r="N12" s="46" t="s">
        <v>139</v>
      </c>
      <c r="O12" s="46" t="s">
        <v>3</v>
      </c>
      <c r="P12" s="46" t="s">
        <v>95</v>
      </c>
      <c r="Q12" s="46" t="s">
        <v>139</v>
      </c>
      <c r="R12" s="46" t="s">
        <v>3</v>
      </c>
      <c r="S12" s="46" t="s">
        <v>95</v>
      </c>
      <c r="T12" s="46" t="s">
        <v>139</v>
      </c>
    </row>
    <row r="13" spans="1:21" x14ac:dyDescent="0.2">
      <c r="A13" s="6">
        <v>9</v>
      </c>
      <c r="B13" s="9" t="s">
        <v>146</v>
      </c>
      <c r="C13" s="47">
        <f t="shared" ref="C13:E37" si="0">F13+I13+R13+L13+O13</f>
        <v>0</v>
      </c>
      <c r="D13" s="47">
        <f t="shared" si="0"/>
        <v>0</v>
      </c>
      <c r="E13" s="47">
        <f t="shared" si="0"/>
        <v>0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1" x14ac:dyDescent="0.2">
      <c r="A14" s="6">
        <v>10</v>
      </c>
      <c r="B14" s="9" t="s">
        <v>145</v>
      </c>
      <c r="C14" s="47">
        <f t="shared" si="0"/>
        <v>0</v>
      </c>
      <c r="D14" s="47">
        <f t="shared" si="0"/>
        <v>0</v>
      </c>
      <c r="E14" s="47">
        <f t="shared" si="0"/>
        <v>0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1" x14ac:dyDescent="0.2">
      <c r="A15" s="6">
        <v>11</v>
      </c>
      <c r="B15" s="9" t="s">
        <v>30</v>
      </c>
      <c r="C15" s="47">
        <f t="shared" si="0"/>
        <v>0</v>
      </c>
      <c r="D15" s="47">
        <f t="shared" si="0"/>
        <v>363660</v>
      </c>
      <c r="E15" s="47">
        <f t="shared" si="0"/>
        <v>363660</v>
      </c>
      <c r="F15" s="47"/>
      <c r="G15" s="47">
        <v>362013</v>
      </c>
      <c r="H15" s="47">
        <v>362013</v>
      </c>
      <c r="I15" s="47"/>
      <c r="J15" s="47"/>
      <c r="K15" s="47"/>
      <c r="L15" s="47"/>
      <c r="M15" s="47"/>
      <c r="N15" s="47"/>
      <c r="O15" s="47"/>
      <c r="P15" s="47">
        <v>1647</v>
      </c>
      <c r="Q15" s="47">
        <v>1647</v>
      </c>
      <c r="R15" s="47"/>
      <c r="S15" s="47"/>
      <c r="T15" s="47"/>
    </row>
    <row r="16" spans="1:21" x14ac:dyDescent="0.2">
      <c r="A16" s="6">
        <v>12</v>
      </c>
      <c r="B16" s="9" t="s">
        <v>5</v>
      </c>
      <c r="C16" s="47">
        <f t="shared" si="0"/>
        <v>1720000</v>
      </c>
      <c r="D16" s="47">
        <f t="shared" si="0"/>
        <v>4937748</v>
      </c>
      <c r="E16" s="47">
        <f t="shared" si="0"/>
        <v>4937748</v>
      </c>
      <c r="F16" s="47">
        <f>1000000+720000</f>
        <v>1720000</v>
      </c>
      <c r="G16" s="47">
        <f>1720000+100000+3117748-1910000-435103</f>
        <v>2592645</v>
      </c>
      <c r="H16" s="47">
        <f>1100000+49425+3788323-1910000-435103</f>
        <v>2592645</v>
      </c>
      <c r="I16" s="47"/>
      <c r="J16" s="47"/>
      <c r="K16" s="47"/>
      <c r="L16" s="47"/>
      <c r="M16" s="47">
        <v>1910000</v>
      </c>
      <c r="N16" s="47">
        <v>1910000</v>
      </c>
      <c r="O16" s="47"/>
      <c r="P16" s="47">
        <v>435103</v>
      </c>
      <c r="Q16" s="47">
        <v>435103</v>
      </c>
      <c r="R16" s="47"/>
      <c r="S16" s="47"/>
      <c r="T16" s="47"/>
    </row>
    <row r="17" spans="1:20" x14ac:dyDescent="0.2">
      <c r="A17" s="6">
        <v>13</v>
      </c>
      <c r="B17" s="9" t="s">
        <v>6</v>
      </c>
      <c r="C17" s="47">
        <f t="shared" si="0"/>
        <v>0</v>
      </c>
      <c r="D17" s="47">
        <f t="shared" si="0"/>
        <v>3050056</v>
      </c>
      <c r="E17" s="47">
        <f t="shared" si="0"/>
        <v>3058268</v>
      </c>
      <c r="F17" s="47"/>
      <c r="G17" s="47">
        <f>1340867+638980+1070209</f>
        <v>3050056</v>
      </c>
      <c r="H17" s="47">
        <f>286410+1054457+638980+1078421</f>
        <v>3058268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x14ac:dyDescent="0.2">
      <c r="A18" s="6">
        <v>14</v>
      </c>
      <c r="B18" s="9" t="s">
        <v>96</v>
      </c>
      <c r="C18" s="47">
        <f t="shared" si="0"/>
        <v>1720000</v>
      </c>
      <c r="D18" s="47">
        <f t="shared" si="0"/>
        <v>8351464</v>
      </c>
      <c r="E18" s="47">
        <f t="shared" si="0"/>
        <v>8359676</v>
      </c>
      <c r="F18" s="47">
        <f t="shared" ref="F18:Q18" si="1">SUM(F13:F17)</f>
        <v>1720000</v>
      </c>
      <c r="G18" s="47">
        <f>SUM(G13:G17)</f>
        <v>6004714</v>
      </c>
      <c r="H18" s="47">
        <f>SUM(H13:H17)</f>
        <v>6012926</v>
      </c>
      <c r="I18" s="47"/>
      <c r="J18" s="47">
        <f t="shared" si="1"/>
        <v>0</v>
      </c>
      <c r="K18" s="47">
        <f t="shared" si="1"/>
        <v>0</v>
      </c>
      <c r="L18" s="47"/>
      <c r="M18" s="47">
        <f t="shared" si="1"/>
        <v>1910000</v>
      </c>
      <c r="N18" s="47">
        <f t="shared" si="1"/>
        <v>1910000</v>
      </c>
      <c r="O18" s="47"/>
      <c r="P18" s="47">
        <f t="shared" si="1"/>
        <v>436750</v>
      </c>
      <c r="Q18" s="47">
        <f t="shared" si="1"/>
        <v>436750</v>
      </c>
      <c r="R18" s="47"/>
      <c r="S18" s="47">
        <f>SUM(S13:S17)</f>
        <v>0</v>
      </c>
      <c r="T18" s="47">
        <f>SUM(T13:T17)</f>
        <v>0</v>
      </c>
    </row>
    <row r="19" spans="1:20" x14ac:dyDescent="0.2">
      <c r="A19" s="6">
        <v>15</v>
      </c>
      <c r="B19" s="9" t="s">
        <v>97</v>
      </c>
      <c r="C19" s="47">
        <f t="shared" si="0"/>
        <v>50000</v>
      </c>
      <c r="D19" s="47">
        <f t="shared" si="0"/>
        <v>50000</v>
      </c>
      <c r="E19" s="47">
        <f t="shared" si="0"/>
        <v>20059</v>
      </c>
      <c r="F19" s="47">
        <v>50000</v>
      </c>
      <c r="G19" s="47">
        <v>50000</v>
      </c>
      <c r="H19" s="47">
        <v>20059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x14ac:dyDescent="0.2">
      <c r="A20" s="6">
        <v>16</v>
      </c>
      <c r="B20" s="9" t="s">
        <v>99</v>
      </c>
      <c r="C20" s="47">
        <f t="shared" si="0"/>
        <v>10819347</v>
      </c>
      <c r="D20" s="47">
        <f t="shared" si="0"/>
        <v>0</v>
      </c>
      <c r="E20" s="47">
        <f t="shared" si="0"/>
        <v>0</v>
      </c>
      <c r="F20" s="47">
        <v>10819347</v>
      </c>
      <c r="G20" s="47">
        <v>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x14ac:dyDescent="0.2">
      <c r="A21" s="6">
        <v>17</v>
      </c>
      <c r="B21" s="9" t="s">
        <v>100</v>
      </c>
      <c r="C21" s="47">
        <f t="shared" si="0"/>
        <v>0</v>
      </c>
      <c r="D21" s="47">
        <f t="shared" si="0"/>
        <v>0</v>
      </c>
      <c r="E21" s="47">
        <f t="shared" si="0"/>
        <v>0</v>
      </c>
      <c r="F21" s="47"/>
      <c r="G21" s="47">
        <v>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pans="1:20" s="3" customFormat="1" x14ac:dyDescent="0.2">
      <c r="A22" s="19">
        <v>18</v>
      </c>
      <c r="B22" s="20" t="s">
        <v>119</v>
      </c>
      <c r="C22" s="47">
        <f t="shared" si="0"/>
        <v>10819347</v>
      </c>
      <c r="D22" s="47">
        <f t="shared" si="0"/>
        <v>0</v>
      </c>
      <c r="E22" s="47">
        <f t="shared" si="0"/>
        <v>0</v>
      </c>
      <c r="F22" s="48">
        <f t="shared" ref="F22:Q22" si="2">SUM(F20:F21)</f>
        <v>10819347</v>
      </c>
      <c r="G22" s="48">
        <f>SUM(G20:G21)</f>
        <v>0</v>
      </c>
      <c r="H22" s="48">
        <f>SUM(H20:H21)</f>
        <v>0</v>
      </c>
      <c r="I22" s="48"/>
      <c r="J22" s="48">
        <f t="shared" si="2"/>
        <v>0</v>
      </c>
      <c r="K22" s="48">
        <f t="shared" si="2"/>
        <v>0</v>
      </c>
      <c r="L22" s="48"/>
      <c r="M22" s="48">
        <f t="shared" si="2"/>
        <v>0</v>
      </c>
      <c r="N22" s="48">
        <f t="shared" si="2"/>
        <v>0</v>
      </c>
      <c r="O22" s="48"/>
      <c r="P22" s="48">
        <f t="shared" si="2"/>
        <v>0</v>
      </c>
      <c r="Q22" s="48">
        <f t="shared" si="2"/>
        <v>0</v>
      </c>
      <c r="R22" s="48"/>
      <c r="S22" s="48"/>
      <c r="T22" s="47"/>
    </row>
    <row r="23" spans="1:20" s="3" customFormat="1" x14ac:dyDescent="0.2">
      <c r="A23" s="19">
        <v>19</v>
      </c>
      <c r="B23" s="9" t="s">
        <v>8</v>
      </c>
      <c r="C23" s="47">
        <f t="shared" si="0"/>
        <v>7500000</v>
      </c>
      <c r="D23" s="47">
        <f t="shared" si="0"/>
        <v>7500000</v>
      </c>
      <c r="E23" s="47">
        <f t="shared" si="0"/>
        <v>6670302</v>
      </c>
      <c r="F23" s="47">
        <v>7500000</v>
      </c>
      <c r="G23" s="47">
        <v>7500000</v>
      </c>
      <c r="H23" s="47">
        <v>6670302</v>
      </c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7"/>
    </row>
    <row r="24" spans="1:20" s="3" customFormat="1" x14ac:dyDescent="0.2">
      <c r="A24" s="19">
        <v>20</v>
      </c>
      <c r="B24" s="9" t="s">
        <v>98</v>
      </c>
      <c r="C24" s="47">
        <f t="shared" si="0"/>
        <v>0</v>
      </c>
      <c r="D24" s="47">
        <f t="shared" si="0"/>
        <v>0</v>
      </c>
      <c r="E24" s="47">
        <f t="shared" si="0"/>
        <v>0</v>
      </c>
      <c r="F24" s="47"/>
      <c r="G24" s="47"/>
      <c r="H24" s="47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7"/>
    </row>
    <row r="25" spans="1:20" x14ac:dyDescent="0.2">
      <c r="A25" s="6">
        <v>21</v>
      </c>
      <c r="B25" s="9" t="s">
        <v>7</v>
      </c>
      <c r="C25" s="47">
        <f t="shared" si="0"/>
        <v>1000000</v>
      </c>
      <c r="D25" s="47">
        <f t="shared" si="0"/>
        <v>1000000</v>
      </c>
      <c r="E25" s="47">
        <f t="shared" si="0"/>
        <v>1209641</v>
      </c>
      <c r="F25" s="47">
        <v>1000000</v>
      </c>
      <c r="G25" s="47">
        <v>1000000</v>
      </c>
      <c r="H25" s="47">
        <v>1209641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pans="1:20" x14ac:dyDescent="0.2">
      <c r="A26" s="6">
        <v>22</v>
      </c>
      <c r="B26" s="5" t="s">
        <v>101</v>
      </c>
      <c r="C26" s="47">
        <f t="shared" si="0"/>
        <v>0</v>
      </c>
      <c r="D26" s="47">
        <f t="shared" si="0"/>
        <v>0</v>
      </c>
      <c r="E26" s="47">
        <f t="shared" si="0"/>
        <v>0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1:20" x14ac:dyDescent="0.2">
      <c r="A27" s="6">
        <v>23</v>
      </c>
      <c r="B27" s="9" t="s">
        <v>9</v>
      </c>
      <c r="C27" s="47">
        <f t="shared" si="0"/>
        <v>37000000</v>
      </c>
      <c r="D27" s="47">
        <f t="shared" si="0"/>
        <v>37000000</v>
      </c>
      <c r="E27" s="47">
        <f t="shared" si="0"/>
        <v>28328744</v>
      </c>
      <c r="F27" s="47">
        <v>37000000</v>
      </c>
      <c r="G27" s="47">
        <v>37000000</v>
      </c>
      <c r="H27" s="47">
        <v>28328744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x14ac:dyDescent="0.2">
      <c r="A28" s="6">
        <v>24</v>
      </c>
      <c r="B28" s="5" t="s">
        <v>135</v>
      </c>
      <c r="C28" s="47">
        <f t="shared" si="0"/>
        <v>0</v>
      </c>
      <c r="D28" s="47">
        <f t="shared" si="0"/>
        <v>0</v>
      </c>
      <c r="E28" s="47">
        <f t="shared" si="0"/>
        <v>0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pans="1:20" x14ac:dyDescent="0.2">
      <c r="A29" s="6">
        <v>25</v>
      </c>
      <c r="B29" s="9" t="s">
        <v>136</v>
      </c>
      <c r="C29" s="47">
        <f t="shared" si="0"/>
        <v>0</v>
      </c>
      <c r="D29" s="47">
        <f t="shared" si="0"/>
        <v>1361000</v>
      </c>
      <c r="E29" s="47">
        <f t="shared" si="0"/>
        <v>1360658</v>
      </c>
      <c r="F29" s="47"/>
      <c r="G29" s="47">
        <v>1361000</v>
      </c>
      <c r="H29" s="47">
        <f>184435+166645+977678+31900</f>
        <v>1360658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x14ac:dyDescent="0.2">
      <c r="A30" s="6">
        <v>26</v>
      </c>
      <c r="B30" s="20" t="s">
        <v>117</v>
      </c>
      <c r="C30" s="47">
        <f t="shared" si="0"/>
        <v>45500000</v>
      </c>
      <c r="D30" s="47">
        <f t="shared" si="0"/>
        <v>46861000</v>
      </c>
      <c r="E30" s="47">
        <f t="shared" si="0"/>
        <v>37569345</v>
      </c>
      <c r="F30" s="47">
        <f t="shared" ref="F30:Q30" si="3">SUM(F23:F29)</f>
        <v>45500000</v>
      </c>
      <c r="G30" s="47">
        <f>SUM(G23:G29)</f>
        <v>46861000</v>
      </c>
      <c r="H30" s="47">
        <f t="shared" si="3"/>
        <v>37569345</v>
      </c>
      <c r="I30" s="47"/>
      <c r="J30" s="47">
        <f t="shared" si="3"/>
        <v>0</v>
      </c>
      <c r="K30" s="47">
        <f t="shared" si="3"/>
        <v>0</v>
      </c>
      <c r="L30" s="47"/>
      <c r="M30" s="47">
        <f t="shared" si="3"/>
        <v>0</v>
      </c>
      <c r="N30" s="47">
        <f t="shared" si="3"/>
        <v>0</v>
      </c>
      <c r="O30" s="47"/>
      <c r="P30" s="47">
        <f t="shared" si="3"/>
        <v>0</v>
      </c>
      <c r="Q30" s="47">
        <f t="shared" si="3"/>
        <v>0</v>
      </c>
      <c r="R30" s="47"/>
      <c r="S30" s="47"/>
      <c r="T30" s="47"/>
    </row>
    <row r="31" spans="1:20" x14ac:dyDescent="0.2">
      <c r="A31" s="6">
        <v>27</v>
      </c>
      <c r="B31" s="9" t="s">
        <v>31</v>
      </c>
      <c r="C31" s="47">
        <f t="shared" si="0"/>
        <v>0</v>
      </c>
      <c r="D31" s="47">
        <f t="shared" si="0"/>
        <v>0</v>
      </c>
      <c r="E31" s="47">
        <f t="shared" si="0"/>
        <v>0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s="3" customFormat="1" x14ac:dyDescent="0.2">
      <c r="A32" s="19">
        <v>28</v>
      </c>
      <c r="B32" s="21" t="s">
        <v>32</v>
      </c>
      <c r="C32" s="47">
        <f t="shared" si="0"/>
        <v>0</v>
      </c>
      <c r="D32" s="47">
        <f t="shared" si="0"/>
        <v>0</v>
      </c>
      <c r="E32" s="47">
        <f t="shared" si="0"/>
        <v>0</v>
      </c>
      <c r="F32" s="47"/>
      <c r="G32" s="48">
        <v>0</v>
      </c>
      <c r="H32" s="47"/>
      <c r="I32" s="47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7"/>
    </row>
    <row r="33" spans="1:57" s="3" customFormat="1" x14ac:dyDescent="0.2">
      <c r="A33" s="19">
        <v>29</v>
      </c>
      <c r="B33" s="9" t="s">
        <v>10</v>
      </c>
      <c r="C33" s="47">
        <f t="shared" si="0"/>
        <v>0</v>
      </c>
      <c r="D33" s="47">
        <f t="shared" si="0"/>
        <v>0</v>
      </c>
      <c r="E33" s="47">
        <f t="shared" si="0"/>
        <v>0</v>
      </c>
      <c r="F33" s="47"/>
      <c r="G33" s="48">
        <v>0</v>
      </c>
      <c r="H33" s="47"/>
      <c r="I33" s="47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7"/>
    </row>
    <row r="34" spans="1:57" s="3" customFormat="1" x14ac:dyDescent="0.2">
      <c r="A34" s="19">
        <v>30</v>
      </c>
      <c r="B34" s="9" t="s">
        <v>23</v>
      </c>
      <c r="C34" s="47">
        <f t="shared" si="0"/>
        <v>0</v>
      </c>
      <c r="D34" s="47">
        <f t="shared" si="0"/>
        <v>0</v>
      </c>
      <c r="E34" s="47">
        <f t="shared" si="0"/>
        <v>0</v>
      </c>
      <c r="F34" s="47"/>
      <c r="G34" s="48">
        <v>0</v>
      </c>
      <c r="H34" s="47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7"/>
    </row>
    <row r="35" spans="1:57" s="3" customFormat="1" x14ac:dyDescent="0.2">
      <c r="A35" s="19">
        <v>31</v>
      </c>
      <c r="B35" s="20" t="s">
        <v>11</v>
      </c>
      <c r="C35" s="47">
        <f t="shared" si="0"/>
        <v>0</v>
      </c>
      <c r="D35" s="47">
        <f t="shared" si="0"/>
        <v>0</v>
      </c>
      <c r="E35" s="47">
        <f t="shared" si="0"/>
        <v>0</v>
      </c>
      <c r="F35" s="47"/>
      <c r="G35" s="48">
        <f>SUM(G31:G34)</f>
        <v>0</v>
      </c>
      <c r="H35" s="48">
        <f t="shared" ref="H35:Q35" si="4">SUM(H31:H34)</f>
        <v>0</v>
      </c>
      <c r="I35" s="48"/>
      <c r="J35" s="48">
        <f t="shared" si="4"/>
        <v>0</v>
      </c>
      <c r="K35" s="48">
        <f t="shared" si="4"/>
        <v>0</v>
      </c>
      <c r="L35" s="48"/>
      <c r="M35" s="48">
        <f t="shared" si="4"/>
        <v>0</v>
      </c>
      <c r="N35" s="48">
        <f t="shared" si="4"/>
        <v>0</v>
      </c>
      <c r="O35" s="48"/>
      <c r="P35" s="48">
        <f t="shared" si="4"/>
        <v>0</v>
      </c>
      <c r="Q35" s="48">
        <f t="shared" si="4"/>
        <v>0</v>
      </c>
      <c r="R35" s="48"/>
      <c r="S35" s="48"/>
      <c r="T35" s="47"/>
    </row>
    <row r="36" spans="1:57" x14ac:dyDescent="0.2">
      <c r="A36" s="6">
        <v>32</v>
      </c>
      <c r="B36" s="9" t="s">
        <v>116</v>
      </c>
      <c r="C36" s="47">
        <f t="shared" si="0"/>
        <v>56319347</v>
      </c>
      <c r="D36" s="47">
        <f t="shared" si="0"/>
        <v>46861000</v>
      </c>
      <c r="E36" s="47">
        <f t="shared" si="0"/>
        <v>37569345</v>
      </c>
      <c r="F36" s="47">
        <f t="shared" ref="F36:Q36" si="5">F22+F30+F35</f>
        <v>56319347</v>
      </c>
      <c r="G36" s="47">
        <f>G22+G30+G35</f>
        <v>46861000</v>
      </c>
      <c r="H36" s="47">
        <f t="shared" si="5"/>
        <v>37569345</v>
      </c>
      <c r="I36" s="47"/>
      <c r="J36" s="47">
        <f t="shared" si="5"/>
        <v>0</v>
      </c>
      <c r="K36" s="47">
        <f t="shared" si="5"/>
        <v>0</v>
      </c>
      <c r="L36" s="47"/>
      <c r="M36" s="47">
        <f t="shared" si="5"/>
        <v>0</v>
      </c>
      <c r="N36" s="47">
        <f t="shared" si="5"/>
        <v>0</v>
      </c>
      <c r="O36" s="47"/>
      <c r="P36" s="47">
        <f t="shared" si="5"/>
        <v>0</v>
      </c>
      <c r="Q36" s="47">
        <f t="shared" si="5"/>
        <v>0</v>
      </c>
      <c r="R36" s="47"/>
      <c r="S36" s="47"/>
      <c r="T36" s="47"/>
    </row>
    <row r="37" spans="1:57" x14ac:dyDescent="0.2">
      <c r="A37" s="6">
        <v>33</v>
      </c>
      <c r="B37" s="22" t="s">
        <v>39</v>
      </c>
      <c r="C37" s="49">
        <f t="shared" si="0"/>
        <v>58089347</v>
      </c>
      <c r="D37" s="49">
        <f t="shared" si="0"/>
        <v>55262464</v>
      </c>
      <c r="E37" s="49">
        <f t="shared" si="0"/>
        <v>45949080</v>
      </c>
      <c r="F37" s="50">
        <f>F18+F19+F36</f>
        <v>58089347</v>
      </c>
      <c r="G37" s="50">
        <f>G18+G19+G36</f>
        <v>52915714</v>
      </c>
      <c r="H37" s="50">
        <f>H18+H19+H36</f>
        <v>43602330</v>
      </c>
      <c r="I37" s="50"/>
      <c r="J37" s="50">
        <f t="shared" ref="J37:Q37" si="6">J18+J36</f>
        <v>0</v>
      </c>
      <c r="K37" s="50">
        <f t="shared" si="6"/>
        <v>0</v>
      </c>
      <c r="L37" s="50"/>
      <c r="M37" s="50">
        <f t="shared" si="6"/>
        <v>1910000</v>
      </c>
      <c r="N37" s="50">
        <f t="shared" si="6"/>
        <v>1910000</v>
      </c>
      <c r="O37" s="50"/>
      <c r="P37" s="50">
        <f t="shared" si="6"/>
        <v>436750</v>
      </c>
      <c r="Q37" s="50">
        <f t="shared" si="6"/>
        <v>436750</v>
      </c>
      <c r="R37" s="50"/>
      <c r="S37" s="50">
        <f>S18+S36</f>
        <v>0</v>
      </c>
      <c r="T37" s="50">
        <f>T18+T36</f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x14ac:dyDescent="0.2">
      <c r="A38" s="6">
        <v>34</v>
      </c>
      <c r="B38" s="23" t="s">
        <v>102</v>
      </c>
      <c r="C38" s="23"/>
      <c r="D38" s="47">
        <f t="shared" ref="D38:E82" si="7">G38+J38+S38+M38+P38</f>
        <v>0</v>
      </c>
      <c r="E38" s="47">
        <f t="shared" si="7"/>
        <v>0</v>
      </c>
      <c r="F38" s="47"/>
      <c r="G38" s="50"/>
      <c r="H38" s="47"/>
      <c r="I38" s="47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x14ac:dyDescent="0.2">
      <c r="A39" s="6">
        <v>35</v>
      </c>
      <c r="B39" s="9" t="s">
        <v>103</v>
      </c>
      <c r="C39" s="47">
        <f t="shared" ref="C39:C47" si="8">F39+I39+R39+L39+O39</f>
        <v>61315094</v>
      </c>
      <c r="D39" s="47">
        <f t="shared" si="7"/>
        <v>69390908</v>
      </c>
      <c r="E39" s="47">
        <f t="shared" si="7"/>
        <v>69390908</v>
      </c>
      <c r="F39" s="47">
        <v>61315094</v>
      </c>
      <c r="G39" s="47">
        <f>61315094+8074991+823</f>
        <v>69390908</v>
      </c>
      <c r="H39" s="47">
        <v>69390908</v>
      </c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57" x14ac:dyDescent="0.2">
      <c r="A40" s="6">
        <v>36</v>
      </c>
      <c r="B40" s="9" t="s">
        <v>104</v>
      </c>
      <c r="C40" s="47">
        <f t="shared" si="8"/>
        <v>58119900</v>
      </c>
      <c r="D40" s="47">
        <f t="shared" si="7"/>
        <v>62129360</v>
      </c>
      <c r="E40" s="47">
        <f t="shared" si="7"/>
        <v>62129360</v>
      </c>
      <c r="F40" s="47">
        <v>58119900</v>
      </c>
      <c r="G40" s="47">
        <f>58119900+3482640+68180+458640</f>
        <v>62129360</v>
      </c>
      <c r="H40" s="47">
        <v>62129360</v>
      </c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</row>
    <row r="41" spans="1:57" x14ac:dyDescent="0.2">
      <c r="A41" s="6">
        <v>37</v>
      </c>
      <c r="B41" s="9" t="s">
        <v>105</v>
      </c>
      <c r="C41" s="47">
        <f t="shared" si="8"/>
        <v>29850387</v>
      </c>
      <c r="D41" s="47">
        <f t="shared" si="7"/>
        <v>29861985</v>
      </c>
      <c r="E41" s="47">
        <f t="shared" si="7"/>
        <v>29861955</v>
      </c>
      <c r="F41" s="47">
        <f>11770000+10070762+8009625</f>
        <v>29850387</v>
      </c>
      <c r="G41" s="47">
        <f>11770000+10070762+8009625-1268080+218312+1061366</f>
        <v>29861985</v>
      </c>
      <c r="H41" s="47">
        <f>8009625+21852330</f>
        <v>29861955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  <row r="42" spans="1:57" x14ac:dyDescent="0.2">
      <c r="A42" s="6">
        <v>38</v>
      </c>
      <c r="B42" s="9" t="s">
        <v>106</v>
      </c>
      <c r="C42" s="47">
        <f t="shared" si="8"/>
        <v>2816001</v>
      </c>
      <c r="D42" s="47">
        <f t="shared" si="7"/>
        <v>3783931</v>
      </c>
      <c r="E42" s="47">
        <f t="shared" si="7"/>
        <v>3783931</v>
      </c>
      <c r="F42" s="47">
        <v>2816001</v>
      </c>
      <c r="G42" s="47">
        <f>2816001+967930</f>
        <v>3783931</v>
      </c>
      <c r="H42" s="47">
        <v>3783931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57" x14ac:dyDescent="0.2">
      <c r="A43" s="6">
        <v>39</v>
      </c>
      <c r="B43" s="9" t="s">
        <v>107</v>
      </c>
      <c r="C43" s="47">
        <f t="shared" si="8"/>
        <v>0</v>
      </c>
      <c r="D43" s="47">
        <f t="shared" si="7"/>
        <v>0</v>
      </c>
      <c r="E43" s="47">
        <f t="shared" si="7"/>
        <v>0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</row>
    <row r="44" spans="1:57" x14ac:dyDescent="0.2">
      <c r="A44" s="6">
        <v>40</v>
      </c>
      <c r="B44" s="9" t="s">
        <v>132</v>
      </c>
      <c r="C44" s="47">
        <f t="shared" si="8"/>
        <v>0</v>
      </c>
      <c r="D44" s="47">
        <f t="shared" si="7"/>
        <v>698133</v>
      </c>
      <c r="E44" s="47">
        <f t="shared" si="7"/>
        <v>698133</v>
      </c>
      <c r="F44" s="47"/>
      <c r="G44" s="47">
        <v>698133</v>
      </c>
      <c r="H44" s="47">
        <v>698133</v>
      </c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  <row r="45" spans="1:57" x14ac:dyDescent="0.2">
      <c r="A45" s="6">
        <v>41</v>
      </c>
      <c r="B45" s="9" t="s">
        <v>141</v>
      </c>
      <c r="C45" s="47">
        <f t="shared" si="8"/>
        <v>0</v>
      </c>
      <c r="D45" s="47">
        <f t="shared" si="7"/>
        <v>0</v>
      </c>
      <c r="E45" s="47">
        <f t="shared" si="7"/>
        <v>6983195</v>
      </c>
      <c r="F45" s="47"/>
      <c r="G45" s="47"/>
      <c r="H45" s="47">
        <v>6983195</v>
      </c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</row>
    <row r="46" spans="1:57" x14ac:dyDescent="0.2">
      <c r="A46" s="6">
        <v>42</v>
      </c>
      <c r="B46" s="9" t="s">
        <v>131</v>
      </c>
      <c r="C46" s="47">
        <f t="shared" si="8"/>
        <v>0</v>
      </c>
      <c r="D46" s="47">
        <f t="shared" si="7"/>
        <v>0</v>
      </c>
      <c r="E46" s="47">
        <f t="shared" si="7"/>
        <v>0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57" s="2" customFormat="1" x14ac:dyDescent="0.2">
      <c r="A47" s="24">
        <v>43</v>
      </c>
      <c r="B47" s="22" t="s">
        <v>108</v>
      </c>
      <c r="C47" s="49">
        <f t="shared" si="8"/>
        <v>152101382</v>
      </c>
      <c r="D47" s="49">
        <f t="shared" si="7"/>
        <v>165864317</v>
      </c>
      <c r="E47" s="49">
        <f t="shared" si="7"/>
        <v>172847482</v>
      </c>
      <c r="F47" s="50">
        <f>SUM(F39:F44)</f>
        <v>152101382</v>
      </c>
      <c r="G47" s="50">
        <f>SUM(G39:G46)</f>
        <v>165864317</v>
      </c>
      <c r="H47" s="50">
        <f>SUM(H39:H46)</f>
        <v>172847482</v>
      </c>
      <c r="I47" s="50"/>
      <c r="J47" s="50">
        <f t="shared" ref="J47:T47" si="9">SUM(J39:J44)</f>
        <v>0</v>
      </c>
      <c r="K47" s="50">
        <f t="shared" si="9"/>
        <v>0</v>
      </c>
      <c r="L47" s="50"/>
      <c r="M47" s="50">
        <f t="shared" si="9"/>
        <v>0</v>
      </c>
      <c r="N47" s="50">
        <f t="shared" si="9"/>
        <v>0</v>
      </c>
      <c r="O47" s="50"/>
      <c r="P47" s="50">
        <f t="shared" si="9"/>
        <v>0</v>
      </c>
      <c r="Q47" s="50">
        <f t="shared" si="9"/>
        <v>0</v>
      </c>
      <c r="R47" s="50"/>
      <c r="S47" s="50">
        <f t="shared" si="9"/>
        <v>0</v>
      </c>
      <c r="T47" s="50">
        <f t="shared" si="9"/>
        <v>0</v>
      </c>
    </row>
    <row r="48" spans="1:57" x14ac:dyDescent="0.2">
      <c r="A48" s="6">
        <v>44</v>
      </c>
      <c r="B48" s="9" t="s">
        <v>109</v>
      </c>
      <c r="C48" s="9"/>
      <c r="D48" s="47">
        <f t="shared" si="7"/>
        <v>0</v>
      </c>
      <c r="E48" s="47">
        <f t="shared" si="7"/>
        <v>0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</row>
    <row r="49" spans="1:20" x14ac:dyDescent="0.2">
      <c r="A49" s="6">
        <v>45</v>
      </c>
      <c r="B49" s="9" t="s">
        <v>34</v>
      </c>
      <c r="C49" s="47">
        <f t="shared" ref="C49:C54" si="10">F49+I49+R49+L49+O49</f>
        <v>5292500</v>
      </c>
      <c r="D49" s="47">
        <f t="shared" si="7"/>
        <v>8741500</v>
      </c>
      <c r="E49" s="47">
        <f t="shared" si="7"/>
        <v>8739900</v>
      </c>
      <c r="F49" s="47">
        <v>73200</v>
      </c>
      <c r="G49" s="47">
        <v>73200</v>
      </c>
      <c r="H49" s="47">
        <v>71600</v>
      </c>
      <c r="I49" s="47">
        <v>5219300</v>
      </c>
      <c r="J49" s="47">
        <v>8668300</v>
      </c>
      <c r="K49" s="47">
        <v>8668300</v>
      </c>
      <c r="L49" s="47"/>
      <c r="M49" s="47"/>
      <c r="N49" s="47"/>
      <c r="O49" s="47"/>
      <c r="P49" s="47"/>
      <c r="Q49" s="47"/>
      <c r="R49" s="47"/>
      <c r="S49" s="47"/>
      <c r="T49" s="47"/>
    </row>
    <row r="50" spans="1:20" x14ac:dyDescent="0.2">
      <c r="A50" s="6">
        <v>46</v>
      </c>
      <c r="B50" s="9" t="s">
        <v>161</v>
      </c>
      <c r="C50" s="47">
        <f t="shared" si="10"/>
        <v>0</v>
      </c>
      <c r="D50" s="47">
        <f t="shared" si="7"/>
        <v>0</v>
      </c>
      <c r="E50" s="47">
        <f t="shared" si="7"/>
        <v>0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x14ac:dyDescent="0.2">
      <c r="A51" s="6">
        <v>47</v>
      </c>
      <c r="B51" s="9" t="s">
        <v>114</v>
      </c>
      <c r="C51" s="47">
        <f t="shared" si="10"/>
        <v>3130752</v>
      </c>
      <c r="D51" s="47">
        <f t="shared" si="7"/>
        <v>1010027</v>
      </c>
      <c r="E51" s="47">
        <f t="shared" si="7"/>
        <v>1010027</v>
      </c>
      <c r="F51" s="47">
        <v>3130752</v>
      </c>
      <c r="G51" s="47">
        <v>1010027</v>
      </c>
      <c r="H51" s="47">
        <v>1010027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>
        <v>0</v>
      </c>
      <c r="T51" s="47"/>
    </row>
    <row r="52" spans="1:20" x14ac:dyDescent="0.2">
      <c r="A52" s="6">
        <v>48</v>
      </c>
      <c r="B52" s="9" t="s">
        <v>37</v>
      </c>
      <c r="C52" s="47">
        <f t="shared" si="10"/>
        <v>0</v>
      </c>
      <c r="D52" s="47">
        <f t="shared" si="7"/>
        <v>12532217</v>
      </c>
      <c r="E52" s="47">
        <f t="shared" si="7"/>
        <v>12532217</v>
      </c>
      <c r="F52" s="47"/>
      <c r="G52" s="47">
        <v>12532217</v>
      </c>
      <c r="H52" s="47">
        <v>12532217</v>
      </c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</row>
    <row r="53" spans="1:20" x14ac:dyDescent="0.2">
      <c r="A53" s="6">
        <v>49</v>
      </c>
      <c r="B53" s="9" t="s">
        <v>38</v>
      </c>
      <c r="C53" s="47">
        <f t="shared" si="10"/>
        <v>0</v>
      </c>
      <c r="D53" s="47">
        <f t="shared" si="7"/>
        <v>139119</v>
      </c>
      <c r="E53" s="47">
        <f t="shared" si="7"/>
        <v>176603</v>
      </c>
      <c r="F53" s="47"/>
      <c r="G53" s="47">
        <v>139119</v>
      </c>
      <c r="H53" s="47">
        <f>140000+119+36484</f>
        <v>176603</v>
      </c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</row>
    <row r="54" spans="1:20" s="2" customFormat="1" x14ac:dyDescent="0.2">
      <c r="A54" s="24">
        <v>50</v>
      </c>
      <c r="B54" s="22" t="s">
        <v>33</v>
      </c>
      <c r="C54" s="49">
        <f t="shared" si="10"/>
        <v>8423252</v>
      </c>
      <c r="D54" s="49">
        <f t="shared" si="7"/>
        <v>22422863</v>
      </c>
      <c r="E54" s="49">
        <f t="shared" si="7"/>
        <v>22458747</v>
      </c>
      <c r="F54" s="50">
        <f t="shared" ref="F54:T54" si="11">SUM(F49:F53)</f>
        <v>3203952</v>
      </c>
      <c r="G54" s="50">
        <f>SUM(G49:G53)</f>
        <v>13754563</v>
      </c>
      <c r="H54" s="50">
        <f t="shared" si="11"/>
        <v>13790447</v>
      </c>
      <c r="I54" s="50">
        <f t="shared" si="11"/>
        <v>5219300</v>
      </c>
      <c r="J54" s="50">
        <f t="shared" si="11"/>
        <v>8668300</v>
      </c>
      <c r="K54" s="50">
        <f t="shared" si="11"/>
        <v>8668300</v>
      </c>
      <c r="L54" s="50"/>
      <c r="M54" s="50">
        <f t="shared" si="11"/>
        <v>0</v>
      </c>
      <c r="N54" s="50">
        <f t="shared" si="11"/>
        <v>0</v>
      </c>
      <c r="O54" s="50"/>
      <c r="P54" s="50">
        <f t="shared" si="11"/>
        <v>0</v>
      </c>
      <c r="Q54" s="50">
        <f t="shared" si="11"/>
        <v>0</v>
      </c>
      <c r="R54" s="50"/>
      <c r="S54" s="50">
        <f t="shared" si="11"/>
        <v>0</v>
      </c>
      <c r="T54" s="50">
        <f t="shared" si="11"/>
        <v>0</v>
      </c>
    </row>
    <row r="55" spans="1:20" s="2" customFormat="1" x14ac:dyDescent="0.2">
      <c r="A55" s="24">
        <v>51</v>
      </c>
      <c r="B55" s="9" t="s">
        <v>110</v>
      </c>
      <c r="C55" s="9"/>
      <c r="D55" s="47">
        <f t="shared" si="7"/>
        <v>0</v>
      </c>
      <c r="E55" s="47">
        <f t="shared" si="7"/>
        <v>0</v>
      </c>
      <c r="F55" s="47"/>
      <c r="G55" s="51">
        <v>0</v>
      </c>
      <c r="H55" s="47"/>
      <c r="I55" s="47"/>
      <c r="J55" s="50"/>
      <c r="K55" s="47"/>
      <c r="L55" s="47"/>
      <c r="M55" s="47"/>
      <c r="N55" s="47"/>
      <c r="O55" s="47"/>
      <c r="P55" s="47"/>
      <c r="Q55" s="47"/>
      <c r="R55" s="47"/>
      <c r="S55" s="50"/>
      <c r="T55" s="47"/>
    </row>
    <row r="56" spans="1:20" s="2" customFormat="1" x14ac:dyDescent="0.2">
      <c r="A56" s="24">
        <v>52</v>
      </c>
      <c r="B56" s="9" t="s">
        <v>138</v>
      </c>
      <c r="C56" s="47">
        <f t="shared" ref="C56:C69" si="12">F56+I56+R56+L56+O56</f>
        <v>0</v>
      </c>
      <c r="D56" s="47">
        <f t="shared" si="7"/>
        <v>0</v>
      </c>
      <c r="E56" s="47">
        <f t="shared" si="7"/>
        <v>0</v>
      </c>
      <c r="F56" s="47"/>
      <c r="G56" s="51">
        <v>0</v>
      </c>
      <c r="H56" s="47"/>
      <c r="I56" s="47"/>
      <c r="J56" s="50"/>
      <c r="K56" s="47"/>
      <c r="L56" s="47"/>
      <c r="M56" s="47"/>
      <c r="N56" s="47"/>
      <c r="O56" s="47"/>
      <c r="P56" s="47"/>
      <c r="Q56" s="47"/>
      <c r="R56" s="47"/>
      <c r="S56" s="50"/>
      <c r="T56" s="47"/>
    </row>
    <row r="57" spans="1:20" s="2" customFormat="1" x14ac:dyDescent="0.2">
      <c r="A57" s="24">
        <v>53</v>
      </c>
      <c r="B57" s="22" t="s">
        <v>12</v>
      </c>
      <c r="C57" s="49">
        <f t="shared" si="12"/>
        <v>218613981</v>
      </c>
      <c r="D57" s="49">
        <f t="shared" si="7"/>
        <v>243549644</v>
      </c>
      <c r="E57" s="49">
        <f t="shared" si="7"/>
        <v>241255309</v>
      </c>
      <c r="F57" s="50">
        <f t="shared" ref="F57:T57" si="13">F37+F38+F47+F54+F56</f>
        <v>213394681</v>
      </c>
      <c r="G57" s="50">
        <f>G37+G38+G47+G54+G56+G55</f>
        <v>232534594</v>
      </c>
      <c r="H57" s="50">
        <f>H37+H38+H47+H54+H56</f>
        <v>230240259</v>
      </c>
      <c r="I57" s="50">
        <f t="shared" si="13"/>
        <v>5219300</v>
      </c>
      <c r="J57" s="50">
        <f t="shared" si="13"/>
        <v>8668300</v>
      </c>
      <c r="K57" s="50">
        <f t="shared" si="13"/>
        <v>8668300</v>
      </c>
      <c r="L57" s="50"/>
      <c r="M57" s="50">
        <f t="shared" si="13"/>
        <v>1910000</v>
      </c>
      <c r="N57" s="50">
        <f t="shared" si="13"/>
        <v>1910000</v>
      </c>
      <c r="O57" s="50"/>
      <c r="P57" s="50">
        <f t="shared" si="13"/>
        <v>436750</v>
      </c>
      <c r="Q57" s="50">
        <f t="shared" si="13"/>
        <v>436750</v>
      </c>
      <c r="R57" s="50"/>
      <c r="S57" s="50">
        <f t="shared" si="13"/>
        <v>0</v>
      </c>
      <c r="T57" s="50">
        <f t="shared" si="13"/>
        <v>0</v>
      </c>
    </row>
    <row r="58" spans="1:20" s="2" customFormat="1" x14ac:dyDescent="0.2">
      <c r="A58" s="24">
        <v>54</v>
      </c>
      <c r="B58" s="9" t="s">
        <v>111</v>
      </c>
      <c r="C58" s="47">
        <f t="shared" si="12"/>
        <v>0</v>
      </c>
      <c r="D58" s="47">
        <f t="shared" si="7"/>
        <v>0</v>
      </c>
      <c r="E58" s="47">
        <f t="shared" si="7"/>
        <v>0</v>
      </c>
      <c r="F58" s="47"/>
      <c r="G58" s="50"/>
      <c r="H58" s="47"/>
      <c r="I58" s="47"/>
      <c r="J58" s="50"/>
      <c r="K58" s="47"/>
      <c r="L58" s="47"/>
      <c r="M58" s="47"/>
      <c r="N58" s="47"/>
      <c r="O58" s="47"/>
      <c r="P58" s="47"/>
      <c r="Q58" s="47"/>
      <c r="R58" s="47"/>
      <c r="S58" s="50"/>
      <c r="T58" s="47"/>
    </row>
    <row r="59" spans="1:20" x14ac:dyDescent="0.2">
      <c r="A59" s="6">
        <v>55</v>
      </c>
      <c r="B59" s="9" t="s">
        <v>35</v>
      </c>
      <c r="C59" s="47">
        <f t="shared" si="12"/>
        <v>0</v>
      </c>
      <c r="D59" s="47">
        <f t="shared" si="7"/>
        <v>0</v>
      </c>
      <c r="E59" s="47">
        <f t="shared" si="7"/>
        <v>0</v>
      </c>
      <c r="F59" s="47"/>
      <c r="G59" s="47">
        <v>0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</row>
    <row r="60" spans="1:20" x14ac:dyDescent="0.2">
      <c r="A60" s="6">
        <v>56</v>
      </c>
      <c r="B60" s="9" t="s">
        <v>36</v>
      </c>
      <c r="C60" s="47">
        <f t="shared" si="12"/>
        <v>0</v>
      </c>
      <c r="D60" s="47">
        <f t="shared" si="7"/>
        <v>0</v>
      </c>
      <c r="E60" s="47">
        <f t="shared" si="7"/>
        <v>0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</row>
    <row r="61" spans="1:20" x14ac:dyDescent="0.2">
      <c r="A61" s="6">
        <v>57</v>
      </c>
      <c r="B61" s="9" t="s">
        <v>37</v>
      </c>
      <c r="C61" s="47">
        <f t="shared" si="12"/>
        <v>0</v>
      </c>
      <c r="D61" s="47">
        <f t="shared" si="7"/>
        <v>448100252</v>
      </c>
      <c r="E61" s="47">
        <f t="shared" si="7"/>
        <v>416825219</v>
      </c>
      <c r="F61" s="47"/>
      <c r="G61" s="47">
        <v>448100252</v>
      </c>
      <c r="H61" s="47">
        <v>416825219</v>
      </c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x14ac:dyDescent="0.2">
      <c r="A62" s="6">
        <v>58</v>
      </c>
      <c r="B62" s="9" t="s">
        <v>130</v>
      </c>
      <c r="C62" s="47">
        <f t="shared" si="12"/>
        <v>0</v>
      </c>
      <c r="D62" s="47">
        <f t="shared" si="7"/>
        <v>0</v>
      </c>
      <c r="E62" s="47">
        <f t="shared" si="7"/>
        <v>0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0" x14ac:dyDescent="0.2">
      <c r="A63" s="6">
        <v>59</v>
      </c>
      <c r="B63" s="9" t="s">
        <v>112</v>
      </c>
      <c r="C63" s="47">
        <f t="shared" si="12"/>
        <v>0</v>
      </c>
      <c r="D63" s="47">
        <f t="shared" si="7"/>
        <v>0</v>
      </c>
      <c r="E63" s="47">
        <f t="shared" si="7"/>
        <v>0</v>
      </c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x14ac:dyDescent="0.2">
      <c r="A64" s="6">
        <v>60</v>
      </c>
      <c r="B64" s="9" t="s">
        <v>162</v>
      </c>
      <c r="C64" s="47">
        <f t="shared" si="12"/>
        <v>0</v>
      </c>
      <c r="D64" s="47">
        <f t="shared" si="7"/>
        <v>0</v>
      </c>
      <c r="E64" s="47">
        <f t="shared" si="7"/>
        <v>0</v>
      </c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</row>
    <row r="65" spans="1:20" x14ac:dyDescent="0.2">
      <c r="A65" s="6">
        <v>61</v>
      </c>
      <c r="B65" s="9" t="s">
        <v>144</v>
      </c>
      <c r="C65" s="47">
        <f t="shared" si="12"/>
        <v>0</v>
      </c>
      <c r="D65" s="47">
        <f t="shared" si="7"/>
        <v>0</v>
      </c>
      <c r="E65" s="47">
        <f t="shared" si="7"/>
        <v>0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</row>
    <row r="66" spans="1:20" x14ac:dyDescent="0.2">
      <c r="A66" s="6">
        <v>62</v>
      </c>
      <c r="B66" s="9" t="s">
        <v>113</v>
      </c>
      <c r="C66" s="47">
        <f t="shared" si="12"/>
        <v>0</v>
      </c>
      <c r="D66" s="47">
        <f t="shared" si="7"/>
        <v>0</v>
      </c>
      <c r="E66" s="47">
        <f t="shared" si="7"/>
        <v>0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</row>
    <row r="67" spans="1:20" x14ac:dyDescent="0.2">
      <c r="A67" s="6">
        <v>63</v>
      </c>
      <c r="B67" s="9" t="s">
        <v>40</v>
      </c>
      <c r="C67" s="47">
        <f t="shared" si="12"/>
        <v>0</v>
      </c>
      <c r="D67" s="47">
        <f t="shared" si="7"/>
        <v>8000000</v>
      </c>
      <c r="E67" s="47">
        <f t="shared" si="7"/>
        <v>8000000</v>
      </c>
      <c r="F67" s="47"/>
      <c r="G67" s="47">
        <v>8000000</v>
      </c>
      <c r="H67" s="47">
        <v>8000000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2" customFormat="1" x14ac:dyDescent="0.2">
      <c r="A68" s="24">
        <v>64</v>
      </c>
      <c r="B68" s="22" t="s">
        <v>42</v>
      </c>
      <c r="C68" s="49">
        <f t="shared" si="12"/>
        <v>0</v>
      </c>
      <c r="D68" s="49">
        <f t="shared" si="7"/>
        <v>456100252</v>
      </c>
      <c r="E68" s="49">
        <f t="shared" si="7"/>
        <v>424825219</v>
      </c>
      <c r="F68" s="50">
        <f>F59+F64+F65+F60+F62+F67</f>
        <v>0</v>
      </c>
      <c r="G68" s="50">
        <f>SUM(G59:G67)</f>
        <v>456100252</v>
      </c>
      <c r="H68" s="50">
        <f>SUM(H59:H67)</f>
        <v>424825219</v>
      </c>
      <c r="I68" s="50">
        <f t="shared" ref="I68:Q68" si="14">SUM(I64)</f>
        <v>0</v>
      </c>
      <c r="J68" s="50">
        <f t="shared" si="14"/>
        <v>0</v>
      </c>
      <c r="K68" s="50">
        <f t="shared" si="14"/>
        <v>0</v>
      </c>
      <c r="L68" s="50"/>
      <c r="M68" s="50">
        <f t="shared" si="14"/>
        <v>0</v>
      </c>
      <c r="N68" s="50">
        <f t="shared" si="14"/>
        <v>0</v>
      </c>
      <c r="O68" s="50"/>
      <c r="P68" s="50">
        <f t="shared" si="14"/>
        <v>0</v>
      </c>
      <c r="Q68" s="50">
        <f t="shared" si="14"/>
        <v>0</v>
      </c>
      <c r="R68" s="50"/>
      <c r="S68" s="50"/>
      <c r="T68" s="47"/>
    </row>
    <row r="69" spans="1:20" s="1" customFormat="1" x14ac:dyDescent="0.2">
      <c r="A69" s="25">
        <v>65</v>
      </c>
      <c r="B69" s="23" t="s">
        <v>14</v>
      </c>
      <c r="C69" s="49">
        <f t="shared" si="12"/>
        <v>218613981</v>
      </c>
      <c r="D69" s="49">
        <f t="shared" si="7"/>
        <v>699649896</v>
      </c>
      <c r="E69" s="49">
        <f t="shared" si="7"/>
        <v>666080528</v>
      </c>
      <c r="F69" s="49">
        <f t="shared" ref="F69:T69" si="15">F57+F68</f>
        <v>213394681</v>
      </c>
      <c r="G69" s="49">
        <f>G57+G68</f>
        <v>688634846</v>
      </c>
      <c r="H69" s="49">
        <f t="shared" si="15"/>
        <v>655065478</v>
      </c>
      <c r="I69" s="49">
        <f t="shared" si="15"/>
        <v>5219300</v>
      </c>
      <c r="J69" s="49">
        <f t="shared" si="15"/>
        <v>8668300</v>
      </c>
      <c r="K69" s="49">
        <f t="shared" si="15"/>
        <v>8668300</v>
      </c>
      <c r="L69" s="49"/>
      <c r="M69" s="49">
        <f t="shared" si="15"/>
        <v>1910000</v>
      </c>
      <c r="N69" s="49">
        <f t="shared" si="15"/>
        <v>1910000</v>
      </c>
      <c r="O69" s="49"/>
      <c r="P69" s="49">
        <f t="shared" si="15"/>
        <v>436750</v>
      </c>
      <c r="Q69" s="49">
        <f t="shared" si="15"/>
        <v>436750</v>
      </c>
      <c r="R69" s="49"/>
      <c r="S69" s="49">
        <f t="shared" si="15"/>
        <v>0</v>
      </c>
      <c r="T69" s="49">
        <f t="shared" si="15"/>
        <v>0</v>
      </c>
    </row>
    <row r="70" spans="1:20" s="1" customFormat="1" x14ac:dyDescent="0.2">
      <c r="A70" s="25">
        <v>66</v>
      </c>
      <c r="B70" s="23" t="s">
        <v>26</v>
      </c>
      <c r="C70" s="23"/>
      <c r="D70" s="47">
        <f t="shared" si="7"/>
        <v>0</v>
      </c>
      <c r="E70" s="47">
        <f t="shared" si="7"/>
        <v>0</v>
      </c>
      <c r="F70" s="47"/>
      <c r="G70" s="49"/>
      <c r="H70" s="47"/>
      <c r="I70" s="47"/>
      <c r="J70" s="49"/>
      <c r="K70" s="47"/>
      <c r="L70" s="47"/>
      <c r="M70" s="47"/>
      <c r="N70" s="47"/>
      <c r="O70" s="47"/>
      <c r="P70" s="47"/>
      <c r="Q70" s="47"/>
      <c r="R70" s="47"/>
      <c r="S70" s="49"/>
      <c r="T70" s="47"/>
    </row>
    <row r="71" spans="1:20" x14ac:dyDescent="0.2">
      <c r="A71" s="6">
        <v>67</v>
      </c>
      <c r="B71" s="9" t="s">
        <v>41</v>
      </c>
      <c r="C71" s="9"/>
      <c r="D71" s="47">
        <f t="shared" si="7"/>
        <v>0</v>
      </c>
      <c r="E71" s="47">
        <f t="shared" si="7"/>
        <v>0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x14ac:dyDescent="0.2">
      <c r="A72" s="6">
        <v>68</v>
      </c>
      <c r="B72" s="9" t="s">
        <v>13</v>
      </c>
      <c r="C72" s="47">
        <f t="shared" ref="C72:C82" si="16">F72+I72+R72+L72+O72</f>
        <v>13994362</v>
      </c>
      <c r="D72" s="47">
        <f t="shared" si="7"/>
        <v>87623604</v>
      </c>
      <c r="E72" s="47">
        <f t="shared" si="7"/>
        <v>87623604</v>
      </c>
      <c r="F72" s="47">
        <v>13994362</v>
      </c>
      <c r="G72" s="47">
        <v>87623604</v>
      </c>
      <c r="H72" s="47">
        <v>87623604</v>
      </c>
      <c r="I72" s="47"/>
      <c r="J72" s="47">
        <v>0</v>
      </c>
      <c r="K72" s="47"/>
      <c r="L72" s="47"/>
      <c r="M72" s="47"/>
      <c r="N72" s="47"/>
      <c r="O72" s="47"/>
      <c r="P72" s="47"/>
      <c r="Q72" s="47"/>
      <c r="R72" s="47"/>
      <c r="S72" s="47"/>
      <c r="T72" s="47"/>
    </row>
    <row r="73" spans="1:20" x14ac:dyDescent="0.2">
      <c r="A73" s="6">
        <v>69</v>
      </c>
      <c r="B73" s="9" t="s">
        <v>24</v>
      </c>
      <c r="C73" s="47">
        <f t="shared" si="16"/>
        <v>0</v>
      </c>
      <c r="D73" s="47">
        <f t="shared" si="7"/>
        <v>262606113</v>
      </c>
      <c r="E73" s="47">
        <f t="shared" si="7"/>
        <v>262606113</v>
      </c>
      <c r="F73" s="47"/>
      <c r="G73" s="47">
        <v>262606113</v>
      </c>
      <c r="H73" s="47">
        <v>262606113</v>
      </c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20" s="1" customFormat="1" x14ac:dyDescent="0.2">
      <c r="A74" s="25">
        <v>70</v>
      </c>
      <c r="B74" s="23" t="s">
        <v>15</v>
      </c>
      <c r="C74" s="49">
        <f t="shared" si="16"/>
        <v>13994362</v>
      </c>
      <c r="D74" s="49">
        <f t="shared" si="7"/>
        <v>350229717</v>
      </c>
      <c r="E74" s="49">
        <f t="shared" si="7"/>
        <v>350229717</v>
      </c>
      <c r="F74" s="49">
        <f>SUM(F72:F73)</f>
        <v>13994362</v>
      </c>
      <c r="G74" s="49">
        <f>SUM(G71:G73)</f>
        <v>350229717</v>
      </c>
      <c r="H74" s="49">
        <f>SUM(H71:H73)</f>
        <v>350229717</v>
      </c>
      <c r="I74" s="49">
        <f t="shared" ref="I74:T74" si="17">SUM(I72)</f>
        <v>0</v>
      </c>
      <c r="J74" s="49">
        <f t="shared" si="17"/>
        <v>0</v>
      </c>
      <c r="K74" s="49">
        <f t="shared" si="17"/>
        <v>0</v>
      </c>
      <c r="L74" s="49"/>
      <c r="M74" s="49">
        <f t="shared" si="17"/>
        <v>0</v>
      </c>
      <c r="N74" s="49">
        <f t="shared" si="17"/>
        <v>0</v>
      </c>
      <c r="O74" s="49"/>
      <c r="P74" s="49">
        <f t="shared" si="17"/>
        <v>0</v>
      </c>
      <c r="Q74" s="49">
        <f t="shared" si="17"/>
        <v>0</v>
      </c>
      <c r="R74" s="49"/>
      <c r="S74" s="49">
        <f t="shared" si="17"/>
        <v>0</v>
      </c>
      <c r="T74" s="49">
        <f t="shared" si="17"/>
        <v>0</v>
      </c>
    </row>
    <row r="75" spans="1:20" s="1" customFormat="1" x14ac:dyDescent="0.2">
      <c r="A75" s="25">
        <v>71</v>
      </c>
      <c r="B75" s="23" t="s">
        <v>22</v>
      </c>
      <c r="C75" s="49">
        <f t="shared" si="16"/>
        <v>232608343</v>
      </c>
      <c r="D75" s="49">
        <f t="shared" si="7"/>
        <v>1049879613</v>
      </c>
      <c r="E75" s="49">
        <f t="shared" si="7"/>
        <v>1016310245</v>
      </c>
      <c r="F75" s="49">
        <f t="shared" ref="F75:T75" si="18">F69+F74</f>
        <v>227389043</v>
      </c>
      <c r="G75" s="49">
        <f t="shared" si="18"/>
        <v>1038864563</v>
      </c>
      <c r="H75" s="49">
        <f t="shared" si="18"/>
        <v>1005295195</v>
      </c>
      <c r="I75" s="49">
        <f t="shared" si="18"/>
        <v>5219300</v>
      </c>
      <c r="J75" s="49">
        <f t="shared" si="18"/>
        <v>8668300</v>
      </c>
      <c r="K75" s="49">
        <f t="shared" si="18"/>
        <v>8668300</v>
      </c>
      <c r="L75" s="49"/>
      <c r="M75" s="49">
        <f t="shared" si="18"/>
        <v>1910000</v>
      </c>
      <c r="N75" s="49">
        <f t="shared" si="18"/>
        <v>1910000</v>
      </c>
      <c r="O75" s="49"/>
      <c r="P75" s="49">
        <f t="shared" si="18"/>
        <v>436750</v>
      </c>
      <c r="Q75" s="49">
        <f t="shared" si="18"/>
        <v>436750</v>
      </c>
      <c r="R75" s="49"/>
      <c r="S75" s="49">
        <f t="shared" si="18"/>
        <v>0</v>
      </c>
      <c r="T75" s="49">
        <f t="shared" si="18"/>
        <v>0</v>
      </c>
    </row>
    <row r="76" spans="1:20" s="1" customFormat="1" x14ac:dyDescent="0.2">
      <c r="A76" s="25">
        <v>72</v>
      </c>
      <c r="B76" s="23" t="s">
        <v>45</v>
      </c>
      <c r="C76" s="49">
        <f t="shared" si="16"/>
        <v>0</v>
      </c>
      <c r="D76" s="49">
        <f t="shared" si="7"/>
        <v>0</v>
      </c>
      <c r="E76" s="49">
        <f t="shared" si="7"/>
        <v>0</v>
      </c>
      <c r="F76" s="49">
        <f t="shared" ref="F76:H79" si="19">-I76-R76-L76-O76</f>
        <v>-20382471</v>
      </c>
      <c r="G76" s="49">
        <f t="shared" si="19"/>
        <v>-20136110</v>
      </c>
      <c r="H76" s="49">
        <f t="shared" si="19"/>
        <v>-4035342</v>
      </c>
      <c r="I76" s="49">
        <v>2454259</v>
      </c>
      <c r="J76" s="49">
        <f>2454259+20151-1000</f>
        <v>2473410</v>
      </c>
      <c r="K76" s="49">
        <v>-458732</v>
      </c>
      <c r="L76" s="49">
        <v>12013713</v>
      </c>
      <c r="M76" s="49">
        <f>12013713+808152</f>
        <v>12821865</v>
      </c>
      <c r="N76" s="49">
        <v>4174169</v>
      </c>
      <c r="O76" s="49">
        <v>4665679</v>
      </c>
      <c r="P76" s="49">
        <f>4665679+331016-941665</f>
        <v>4055030</v>
      </c>
      <c r="Q76" s="49">
        <v>319905</v>
      </c>
      <c r="R76" s="49">
        <v>1248820</v>
      </c>
      <c r="S76" s="49">
        <f>1248820-463015</f>
        <v>785805</v>
      </c>
      <c r="T76" s="49">
        <v>0</v>
      </c>
    </row>
    <row r="77" spans="1:20" s="1" customFormat="1" x14ac:dyDescent="0.2">
      <c r="A77" s="25">
        <v>73</v>
      </c>
      <c r="B77" s="23" t="s">
        <v>20</v>
      </c>
      <c r="C77" s="49">
        <f t="shared" si="16"/>
        <v>0</v>
      </c>
      <c r="D77" s="49">
        <f t="shared" si="7"/>
        <v>0</v>
      </c>
      <c r="E77" s="49">
        <f t="shared" si="7"/>
        <v>0</v>
      </c>
      <c r="F77" s="49">
        <f t="shared" si="19"/>
        <v>0</v>
      </c>
      <c r="G77" s="49">
        <f t="shared" si="19"/>
        <v>0</v>
      </c>
      <c r="H77" s="49">
        <f t="shared" si="19"/>
        <v>0</v>
      </c>
      <c r="I77" s="49"/>
      <c r="J77" s="49"/>
      <c r="K77" s="47"/>
      <c r="L77" s="47"/>
      <c r="M77" s="49">
        <v>0</v>
      </c>
      <c r="N77" s="49"/>
      <c r="O77" s="49"/>
      <c r="P77" s="49"/>
      <c r="Q77" s="49"/>
      <c r="R77" s="49"/>
      <c r="S77" s="49"/>
      <c r="T77" s="47"/>
    </row>
    <row r="78" spans="1:20" s="1" customFormat="1" x14ac:dyDescent="0.2">
      <c r="A78" s="25">
        <v>74</v>
      </c>
      <c r="B78" s="23" t="s">
        <v>21</v>
      </c>
      <c r="C78" s="49">
        <f t="shared" si="16"/>
        <v>0</v>
      </c>
      <c r="D78" s="49">
        <f t="shared" si="7"/>
        <v>0</v>
      </c>
      <c r="E78" s="49">
        <f t="shared" si="7"/>
        <v>0</v>
      </c>
      <c r="F78" s="49">
        <f t="shared" si="19"/>
        <v>-2816001</v>
      </c>
      <c r="G78" s="49">
        <f t="shared" si="19"/>
        <v>-3783931</v>
      </c>
      <c r="H78" s="49">
        <f t="shared" si="19"/>
        <v>-3783931</v>
      </c>
      <c r="I78" s="49"/>
      <c r="J78" s="49"/>
      <c r="K78" s="47"/>
      <c r="L78" s="47"/>
      <c r="M78" s="49">
        <v>0</v>
      </c>
      <c r="N78" s="49"/>
      <c r="O78" s="49">
        <v>2816001</v>
      </c>
      <c r="P78" s="49">
        <f>2816001+504915</f>
        <v>3320916</v>
      </c>
      <c r="Q78" s="49">
        <v>3320916</v>
      </c>
      <c r="R78" s="49"/>
      <c r="S78" s="49">
        <v>463015</v>
      </c>
      <c r="T78" s="47">
        <v>463015</v>
      </c>
    </row>
    <row r="79" spans="1:20" s="1" customFormat="1" x14ac:dyDescent="0.2">
      <c r="A79" s="25">
        <v>75</v>
      </c>
      <c r="B79" s="23" t="s">
        <v>25</v>
      </c>
      <c r="C79" s="49">
        <f t="shared" si="16"/>
        <v>0</v>
      </c>
      <c r="D79" s="49">
        <f t="shared" si="7"/>
        <v>0</v>
      </c>
      <c r="E79" s="49">
        <f t="shared" si="7"/>
        <v>0</v>
      </c>
      <c r="F79" s="49">
        <f t="shared" si="19"/>
        <v>0</v>
      </c>
      <c r="G79" s="49">
        <f t="shared" si="19"/>
        <v>0</v>
      </c>
      <c r="H79" s="49">
        <f t="shared" si="19"/>
        <v>0</v>
      </c>
      <c r="I79" s="49"/>
      <c r="J79" s="49"/>
      <c r="K79" s="47"/>
      <c r="L79" s="47"/>
      <c r="M79" s="49">
        <v>0</v>
      </c>
      <c r="N79" s="49"/>
      <c r="O79" s="49"/>
      <c r="P79" s="49"/>
      <c r="Q79" s="49"/>
      <c r="R79" s="49"/>
      <c r="S79" s="49"/>
      <c r="T79" s="47"/>
    </row>
    <row r="80" spans="1:20" s="1" customFormat="1" x14ac:dyDescent="0.2">
      <c r="A80" s="25">
        <v>76</v>
      </c>
      <c r="B80" s="23" t="s">
        <v>134</v>
      </c>
      <c r="C80" s="49">
        <f t="shared" si="16"/>
        <v>0</v>
      </c>
      <c r="D80" s="49">
        <f t="shared" si="7"/>
        <v>0</v>
      </c>
      <c r="E80" s="49">
        <f t="shared" si="7"/>
        <v>0</v>
      </c>
      <c r="F80" s="49">
        <f>-I80-R80-L80-O80</f>
        <v>0</v>
      </c>
      <c r="G80" s="49">
        <f>-J80-S80-M80-P80</f>
        <v>0</v>
      </c>
      <c r="H80" s="49"/>
      <c r="I80" s="49"/>
      <c r="J80" s="49"/>
      <c r="K80" s="47"/>
      <c r="L80" s="47"/>
      <c r="M80" s="49">
        <v>0</v>
      </c>
      <c r="N80" s="49"/>
      <c r="O80" s="49"/>
      <c r="P80" s="49"/>
      <c r="Q80" s="49"/>
      <c r="R80" s="49"/>
      <c r="S80" s="49"/>
      <c r="T80" s="47"/>
    </row>
    <row r="81" spans="1:20" s="1" customFormat="1" x14ac:dyDescent="0.2">
      <c r="A81" s="25">
        <v>77</v>
      </c>
      <c r="B81" s="23" t="s">
        <v>118</v>
      </c>
      <c r="C81" s="49">
        <f t="shared" si="16"/>
        <v>0</v>
      </c>
      <c r="D81" s="49">
        <f t="shared" si="7"/>
        <v>0</v>
      </c>
      <c r="E81" s="49">
        <f t="shared" si="7"/>
        <v>0</v>
      </c>
      <c r="F81" s="49">
        <f>-I81-R81-L81-O81</f>
        <v>0</v>
      </c>
      <c r="G81" s="49">
        <f>-J81-S81-M81-P81</f>
        <v>0</v>
      </c>
      <c r="H81" s="49">
        <f>-K81-T81-N81-Q81</f>
        <v>0</v>
      </c>
      <c r="I81" s="49"/>
      <c r="J81" s="49"/>
      <c r="K81" s="47"/>
      <c r="L81" s="47"/>
      <c r="M81" s="49"/>
      <c r="N81" s="49"/>
      <c r="O81" s="49"/>
      <c r="P81" s="49"/>
      <c r="Q81" s="49"/>
      <c r="R81" s="49"/>
      <c r="S81" s="49"/>
      <c r="T81" s="47"/>
    </row>
    <row r="82" spans="1:20" s="1" customFormat="1" x14ac:dyDescent="0.2">
      <c r="A82" s="25">
        <v>78</v>
      </c>
      <c r="B82" s="23" t="s">
        <v>16</v>
      </c>
      <c r="C82" s="49">
        <f t="shared" si="16"/>
        <v>232608343</v>
      </c>
      <c r="D82" s="49">
        <f t="shared" si="7"/>
        <v>1049879613</v>
      </c>
      <c r="E82" s="49">
        <f t="shared" si="7"/>
        <v>1016310245</v>
      </c>
      <c r="F82" s="49">
        <f>F69+F74+F76+F77+F78+F79+F81</f>
        <v>204190571</v>
      </c>
      <c r="G82" s="49">
        <f>G69+G74+G76+G77+G78+G79+G81+G80</f>
        <v>1014944522</v>
      </c>
      <c r="H82" s="49">
        <f>H69+H74+H76+H77+H78+H79+H81</f>
        <v>997475922</v>
      </c>
      <c r="I82" s="49">
        <f>I69+I74+I76+I77+I78</f>
        <v>7673559</v>
      </c>
      <c r="J82" s="49">
        <f>J69+J74+J76+J77+J78</f>
        <v>11141710</v>
      </c>
      <c r="K82" s="49">
        <f>K69+K74+K76+K77+K78</f>
        <v>8209568</v>
      </c>
      <c r="L82" s="49">
        <f>L69+L74+L76+L77+L78</f>
        <v>12013713</v>
      </c>
      <c r="M82" s="49">
        <f>M69+M74+M76+M77+M78+M79+M80</f>
        <v>14731865</v>
      </c>
      <c r="N82" s="49">
        <f t="shared" ref="N82:T82" si="20">N69+N74+N76+N77+N78</f>
        <v>6084169</v>
      </c>
      <c r="O82" s="49">
        <f t="shared" si="20"/>
        <v>7481680</v>
      </c>
      <c r="P82" s="49">
        <f t="shared" si="20"/>
        <v>7812696</v>
      </c>
      <c r="Q82" s="49">
        <f t="shared" si="20"/>
        <v>4077571</v>
      </c>
      <c r="R82" s="49">
        <f t="shared" si="20"/>
        <v>1248820</v>
      </c>
      <c r="S82" s="49">
        <f t="shared" si="20"/>
        <v>1248820</v>
      </c>
      <c r="T82" s="49">
        <f t="shared" si="20"/>
        <v>463015</v>
      </c>
    </row>
    <row r="83" spans="1:20" s="1" customFormat="1" x14ac:dyDescent="0.2">
      <c r="A83" s="4"/>
      <c r="B83" s="26"/>
      <c r="C83" s="26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1:20" s="1" customFormat="1" x14ac:dyDescent="0.2">
      <c r="A84" s="4"/>
      <c r="B84" s="26"/>
      <c r="C84" s="26"/>
      <c r="D84" s="52"/>
      <c r="E84" s="52"/>
      <c r="F84" s="52"/>
      <c r="G84" s="52" t="s">
        <v>143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</row>
    <row r="85" spans="1:20" x14ac:dyDescent="0.2">
      <c r="A85" s="4"/>
      <c r="B85" s="11"/>
      <c r="C85" s="11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0" ht="12.75" customHeight="1" x14ac:dyDescent="0.2">
      <c r="A86" s="11"/>
      <c r="B86" s="11" t="s">
        <v>92</v>
      </c>
      <c r="C86" s="11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 spans="1:20" x14ac:dyDescent="0.2">
      <c r="A87" s="6">
        <v>1</v>
      </c>
      <c r="B87" s="62" t="s">
        <v>46</v>
      </c>
      <c r="C87" s="66"/>
      <c r="D87" s="34" t="s">
        <v>47</v>
      </c>
      <c r="E87" s="35"/>
      <c r="F87" s="33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0" t="s">
        <v>93</v>
      </c>
    </row>
    <row r="88" spans="1:20" ht="12" customHeight="1" x14ac:dyDescent="0.2">
      <c r="A88" s="6">
        <v>2</v>
      </c>
      <c r="B88" s="63"/>
      <c r="C88" s="67"/>
      <c r="D88" s="38"/>
      <c r="E88" s="40"/>
      <c r="F88" s="72" t="s">
        <v>43</v>
      </c>
      <c r="G88" s="72"/>
      <c r="H88" s="73"/>
      <c r="I88" s="72" t="s">
        <v>44</v>
      </c>
      <c r="J88" s="72"/>
      <c r="K88" s="73"/>
      <c r="L88" s="72" t="s">
        <v>149</v>
      </c>
      <c r="M88" s="72"/>
      <c r="N88" s="73"/>
      <c r="O88" s="72" t="s">
        <v>120</v>
      </c>
      <c r="P88" s="72"/>
      <c r="Q88" s="73"/>
      <c r="R88" s="72" t="s">
        <v>151</v>
      </c>
      <c r="S88" s="72"/>
      <c r="T88" s="73"/>
    </row>
    <row r="89" spans="1:20" s="10" customFormat="1" ht="36.75" customHeight="1" x14ac:dyDescent="0.2">
      <c r="A89" s="13">
        <v>3</v>
      </c>
      <c r="B89" s="64"/>
      <c r="C89" s="68"/>
      <c r="D89" s="42"/>
      <c r="E89" s="43"/>
      <c r="F89" s="74" t="s">
        <v>123</v>
      </c>
      <c r="G89" s="74"/>
      <c r="H89" s="75"/>
      <c r="I89" s="74" t="s">
        <v>122</v>
      </c>
      <c r="J89" s="74"/>
      <c r="K89" s="75"/>
      <c r="L89" s="76" t="s">
        <v>147</v>
      </c>
      <c r="M89" s="76"/>
      <c r="N89" s="77"/>
      <c r="O89" s="74" t="s">
        <v>142</v>
      </c>
      <c r="P89" s="74"/>
      <c r="Q89" s="75"/>
      <c r="R89" s="74" t="s">
        <v>150</v>
      </c>
      <c r="S89" s="74"/>
      <c r="T89" s="75"/>
    </row>
    <row r="90" spans="1:20" ht="12.75" customHeight="1" x14ac:dyDescent="0.2">
      <c r="A90" s="6">
        <v>4</v>
      </c>
      <c r="B90" s="11"/>
      <c r="C90" s="69"/>
      <c r="D90" s="54"/>
      <c r="E90" s="55"/>
      <c r="F90" s="70" t="s">
        <v>17</v>
      </c>
      <c r="G90" s="70"/>
      <c r="H90" s="71"/>
      <c r="I90" s="70" t="s">
        <v>18</v>
      </c>
      <c r="J90" s="70"/>
      <c r="K90" s="71"/>
      <c r="L90" s="70" t="s">
        <v>148</v>
      </c>
      <c r="M90" s="70"/>
      <c r="N90" s="71"/>
      <c r="O90" s="70" t="s">
        <v>121</v>
      </c>
      <c r="P90" s="70"/>
      <c r="Q90" s="71"/>
      <c r="R90" s="32" t="s">
        <v>19</v>
      </c>
      <c r="S90" s="32"/>
      <c r="T90" s="44"/>
    </row>
    <row r="91" spans="1:20" x14ac:dyDescent="0.2">
      <c r="A91" s="15">
        <v>5</v>
      </c>
      <c r="B91" s="16" t="s">
        <v>48</v>
      </c>
      <c r="C91" s="45" t="s">
        <v>49</v>
      </c>
      <c r="D91" s="45" t="s">
        <v>50</v>
      </c>
      <c r="E91" s="45" t="s">
        <v>51</v>
      </c>
      <c r="F91" s="45" t="s">
        <v>52</v>
      </c>
      <c r="G91" s="45" t="s">
        <v>53</v>
      </c>
      <c r="H91" s="45" t="s">
        <v>54</v>
      </c>
      <c r="I91" s="45" t="s">
        <v>55</v>
      </c>
      <c r="J91" s="45" t="s">
        <v>56</v>
      </c>
      <c r="K91" s="45" t="s">
        <v>57</v>
      </c>
      <c r="L91" s="45" t="s">
        <v>58</v>
      </c>
      <c r="M91" s="45" t="s">
        <v>59</v>
      </c>
      <c r="N91" s="45" t="s">
        <v>60</v>
      </c>
      <c r="O91" s="45" t="s">
        <v>124</v>
      </c>
      <c r="P91" s="45" t="s">
        <v>125</v>
      </c>
      <c r="Q91" s="45" t="s">
        <v>165</v>
      </c>
      <c r="R91" s="45" t="s">
        <v>126</v>
      </c>
      <c r="S91" s="45" t="s">
        <v>127</v>
      </c>
      <c r="T91" s="45" t="s">
        <v>128</v>
      </c>
    </row>
    <row r="92" spans="1:20" x14ac:dyDescent="0.2">
      <c r="A92" s="15">
        <v>6</v>
      </c>
      <c r="B92" s="16"/>
      <c r="C92" s="45" t="s">
        <v>154</v>
      </c>
      <c r="D92" s="45" t="s">
        <v>154</v>
      </c>
      <c r="E92" s="45" t="s">
        <v>154</v>
      </c>
      <c r="F92" s="45" t="s">
        <v>154</v>
      </c>
      <c r="G92" s="45" t="s">
        <v>154</v>
      </c>
      <c r="H92" s="45" t="s">
        <v>154</v>
      </c>
      <c r="I92" s="45" t="s">
        <v>154</v>
      </c>
      <c r="J92" s="45" t="s">
        <v>154</v>
      </c>
      <c r="K92" s="45" t="s">
        <v>154</v>
      </c>
      <c r="L92" s="45" t="s">
        <v>154</v>
      </c>
      <c r="M92" s="45" t="s">
        <v>154</v>
      </c>
      <c r="N92" s="45" t="s">
        <v>154</v>
      </c>
      <c r="O92" s="45" t="s">
        <v>154</v>
      </c>
      <c r="P92" s="45" t="s">
        <v>154</v>
      </c>
      <c r="Q92" s="45" t="s">
        <v>154</v>
      </c>
      <c r="R92" s="45" t="s">
        <v>154</v>
      </c>
      <c r="S92" s="45" t="s">
        <v>154</v>
      </c>
      <c r="T92" s="45" t="s">
        <v>154</v>
      </c>
    </row>
    <row r="93" spans="1:20" x14ac:dyDescent="0.2">
      <c r="A93" s="6">
        <v>7</v>
      </c>
      <c r="B93" s="9" t="s">
        <v>61</v>
      </c>
      <c r="C93" s="46" t="s">
        <v>3</v>
      </c>
      <c r="D93" s="46" t="s">
        <v>95</v>
      </c>
      <c r="E93" s="46" t="s">
        <v>139</v>
      </c>
      <c r="F93" s="46" t="s">
        <v>3</v>
      </c>
      <c r="G93" s="46" t="s">
        <v>95</v>
      </c>
      <c r="H93" s="46" t="s">
        <v>139</v>
      </c>
      <c r="I93" s="46" t="s">
        <v>3</v>
      </c>
      <c r="J93" s="46" t="s">
        <v>95</v>
      </c>
      <c r="K93" s="46" t="s">
        <v>139</v>
      </c>
      <c r="L93" s="46" t="s">
        <v>3</v>
      </c>
      <c r="M93" s="46" t="s">
        <v>95</v>
      </c>
      <c r="N93" s="46" t="s">
        <v>139</v>
      </c>
      <c r="O93" s="46" t="s">
        <v>3</v>
      </c>
      <c r="P93" s="46" t="s">
        <v>95</v>
      </c>
      <c r="Q93" s="46" t="s">
        <v>139</v>
      </c>
      <c r="R93" s="46" t="s">
        <v>3</v>
      </c>
      <c r="S93" s="46" t="s">
        <v>95</v>
      </c>
      <c r="T93" s="46" t="s">
        <v>139</v>
      </c>
    </row>
    <row r="94" spans="1:20" x14ac:dyDescent="0.2">
      <c r="A94" s="6">
        <v>8</v>
      </c>
      <c r="B94" s="9" t="s">
        <v>62</v>
      </c>
      <c r="C94" s="47">
        <f t="shared" ref="C94:C99" si="21">F94+I94+R94+U94+X94+AD94+AG94+L94+O94</f>
        <v>34336796</v>
      </c>
      <c r="D94" s="47">
        <f t="shared" ref="D94:E129" si="22">G94+J94+S94+W94+Z94+AF94+AI94+M94+P94</f>
        <v>35967229</v>
      </c>
      <c r="E94" s="47">
        <f t="shared" si="22"/>
        <v>28169247</v>
      </c>
      <c r="F94" s="47">
        <v>22648852</v>
      </c>
      <c r="G94" s="47">
        <f>22648852+39988+22669+48618-1469190</f>
        <v>21290937</v>
      </c>
      <c r="H94" s="47">
        <v>17348192</v>
      </c>
      <c r="I94" s="47">
        <v>4892144</v>
      </c>
      <c r="J94" s="47">
        <v>7888918</v>
      </c>
      <c r="K94" s="47">
        <v>5967440</v>
      </c>
      <c r="L94" s="47">
        <v>3187800</v>
      </c>
      <c r="M94" s="47">
        <f>3187800+13662</f>
        <v>3201462</v>
      </c>
      <c r="N94" s="47">
        <v>3148970</v>
      </c>
      <c r="O94" s="47">
        <v>3224000</v>
      </c>
      <c r="P94" s="47">
        <f>3224000-22088</f>
        <v>3201912</v>
      </c>
      <c r="Q94" s="47">
        <v>1419294</v>
      </c>
      <c r="R94" s="47">
        <v>384000</v>
      </c>
      <c r="S94" s="47">
        <v>384000</v>
      </c>
      <c r="T94" s="47">
        <v>285351</v>
      </c>
    </row>
    <row r="95" spans="1:20" x14ac:dyDescent="0.2">
      <c r="A95" s="6">
        <v>9</v>
      </c>
      <c r="B95" s="9" t="s">
        <v>63</v>
      </c>
      <c r="C95" s="47">
        <f t="shared" si="21"/>
        <v>6297511</v>
      </c>
      <c r="D95" s="47">
        <f t="shared" si="22"/>
        <v>6234793</v>
      </c>
      <c r="E95" s="47">
        <f t="shared" si="22"/>
        <v>4424484</v>
      </c>
      <c r="F95" s="47">
        <v>4127671</v>
      </c>
      <c r="G95" s="47">
        <f>4127671-534095</f>
        <v>3593576</v>
      </c>
      <c r="H95" s="47">
        <v>3211443</v>
      </c>
      <c r="I95" s="47">
        <v>866415</v>
      </c>
      <c r="J95" s="47">
        <v>1337792</v>
      </c>
      <c r="K95" s="47">
        <v>1003817</v>
      </c>
      <c r="L95" s="47">
        <v>567865</v>
      </c>
      <c r="M95" s="47">
        <v>567865</v>
      </c>
      <c r="N95" s="47">
        <v>54099</v>
      </c>
      <c r="O95" s="47">
        <v>660680</v>
      </c>
      <c r="P95" s="47">
        <v>660680</v>
      </c>
      <c r="Q95" s="47">
        <v>113062</v>
      </c>
      <c r="R95" s="47">
        <v>74880</v>
      </c>
      <c r="S95" s="47">
        <v>74880</v>
      </c>
      <c r="T95" s="47">
        <v>42063</v>
      </c>
    </row>
    <row r="96" spans="1:20" x14ac:dyDescent="0.2">
      <c r="A96" s="6">
        <v>10</v>
      </c>
      <c r="B96" s="9" t="s">
        <v>64</v>
      </c>
      <c r="C96" s="47">
        <f t="shared" si="21"/>
        <v>43231293</v>
      </c>
      <c r="D96" s="47">
        <f t="shared" si="22"/>
        <v>122560388</v>
      </c>
      <c r="E96" s="47">
        <f t="shared" si="22"/>
        <v>75702222</v>
      </c>
      <c r="F96" s="47">
        <v>28846305</v>
      </c>
      <c r="G96" s="47">
        <f>28846305+37974390+288290+11365551+29700864</f>
        <v>108175400</v>
      </c>
      <c r="H96" s="47">
        <v>69300066</v>
      </c>
      <c r="I96" s="47">
        <v>1740000</v>
      </c>
      <c r="J96" s="47">
        <v>1740000</v>
      </c>
      <c r="K96" s="47">
        <v>1193344</v>
      </c>
      <c r="L96" s="47">
        <v>8258048</v>
      </c>
      <c r="M96" s="47">
        <v>8258048</v>
      </c>
      <c r="N96" s="47">
        <v>2881100</v>
      </c>
      <c r="O96" s="47">
        <v>3597000</v>
      </c>
      <c r="P96" s="47">
        <v>3597000</v>
      </c>
      <c r="Q96" s="47">
        <v>2192111</v>
      </c>
      <c r="R96" s="47">
        <v>789940</v>
      </c>
      <c r="S96" s="47">
        <v>789940</v>
      </c>
      <c r="T96" s="47">
        <v>135601</v>
      </c>
    </row>
    <row r="97" spans="1:20" x14ac:dyDescent="0.2">
      <c r="A97" s="6">
        <v>11</v>
      </c>
      <c r="B97" s="9" t="s">
        <v>82</v>
      </c>
      <c r="C97" s="47">
        <f t="shared" si="21"/>
        <v>98322880</v>
      </c>
      <c r="D97" s="47">
        <f t="shared" si="22"/>
        <v>105323508</v>
      </c>
      <c r="E97" s="47">
        <f t="shared" si="22"/>
        <v>104013117</v>
      </c>
      <c r="F97" s="47">
        <v>98322880</v>
      </c>
      <c r="G97" s="47">
        <v>105323508</v>
      </c>
      <c r="H97" s="47">
        <v>104013117</v>
      </c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</row>
    <row r="98" spans="1:20" x14ac:dyDescent="0.2">
      <c r="A98" s="6">
        <v>12</v>
      </c>
      <c r="B98" s="9" t="s">
        <v>65</v>
      </c>
      <c r="C98" s="47">
        <f t="shared" si="21"/>
        <v>8010000</v>
      </c>
      <c r="D98" s="47">
        <f t="shared" si="22"/>
        <v>8010000</v>
      </c>
      <c r="E98" s="47">
        <f t="shared" si="22"/>
        <v>5308518</v>
      </c>
      <c r="F98" s="47">
        <v>8010000</v>
      </c>
      <c r="G98" s="47">
        <v>8010000</v>
      </c>
      <c r="H98" s="47">
        <v>5308518</v>
      </c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</row>
    <row r="99" spans="1:20" x14ac:dyDescent="0.2">
      <c r="A99" s="24">
        <v>13</v>
      </c>
      <c r="B99" s="22" t="s">
        <v>66</v>
      </c>
      <c r="C99" s="49">
        <f t="shared" si="21"/>
        <v>190198480</v>
      </c>
      <c r="D99" s="49">
        <f t="shared" si="22"/>
        <v>278095918</v>
      </c>
      <c r="E99" s="49">
        <f t="shared" si="22"/>
        <v>217617588</v>
      </c>
      <c r="F99" s="50">
        <f t="shared" ref="F99:T99" si="23">SUM(F94:F98)</f>
        <v>161955708</v>
      </c>
      <c r="G99" s="50">
        <f>SUM(G94:G98)</f>
        <v>246393421</v>
      </c>
      <c r="H99" s="50">
        <f t="shared" si="23"/>
        <v>199181336</v>
      </c>
      <c r="I99" s="50">
        <f>SUM(I94:I98)</f>
        <v>7498559</v>
      </c>
      <c r="J99" s="50">
        <f>SUM(J94:J98)</f>
        <v>10966710</v>
      </c>
      <c r="K99" s="50">
        <f t="shared" si="23"/>
        <v>8164601</v>
      </c>
      <c r="L99" s="50">
        <f t="shared" si="23"/>
        <v>12013713</v>
      </c>
      <c r="M99" s="50">
        <f t="shared" si="23"/>
        <v>12027375</v>
      </c>
      <c r="N99" s="50">
        <f t="shared" si="23"/>
        <v>6084169</v>
      </c>
      <c r="O99" s="50">
        <f t="shared" si="23"/>
        <v>7481680</v>
      </c>
      <c r="P99" s="50">
        <f t="shared" si="23"/>
        <v>7459592</v>
      </c>
      <c r="Q99" s="50">
        <f t="shared" si="23"/>
        <v>3724467</v>
      </c>
      <c r="R99" s="50">
        <f t="shared" si="23"/>
        <v>1248820</v>
      </c>
      <c r="S99" s="50">
        <f t="shared" si="23"/>
        <v>1248820</v>
      </c>
      <c r="T99" s="50">
        <f t="shared" si="23"/>
        <v>463015</v>
      </c>
    </row>
    <row r="100" spans="1:20" x14ac:dyDescent="0.2">
      <c r="A100" s="6">
        <v>14</v>
      </c>
      <c r="B100" s="9" t="s">
        <v>67</v>
      </c>
      <c r="C100" s="9"/>
      <c r="D100" s="47">
        <f t="shared" si="22"/>
        <v>0</v>
      </c>
      <c r="E100" s="47">
        <f t="shared" si="22"/>
        <v>0</v>
      </c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</row>
    <row r="101" spans="1:20" x14ac:dyDescent="0.2">
      <c r="A101" s="6">
        <v>15</v>
      </c>
      <c r="B101" s="9" t="s">
        <v>83</v>
      </c>
      <c r="C101" s="47">
        <f t="shared" ref="C101:C109" si="24">F101+I101+R101+U101+X101+AD101+AG101+L101+O101</f>
        <v>2879490</v>
      </c>
      <c r="D101" s="47">
        <f t="shared" si="22"/>
        <v>282145989</v>
      </c>
      <c r="E101" s="47">
        <f t="shared" si="22"/>
        <v>214419788</v>
      </c>
      <c r="F101" s="47">
        <v>2704490</v>
      </c>
      <c r="G101" s="47">
        <f>2704490+143750+175985000+48168660+52264599</f>
        <v>279266499</v>
      </c>
      <c r="H101" s="47">
        <v>214374821</v>
      </c>
      <c r="I101" s="47">
        <v>175000</v>
      </c>
      <c r="J101" s="47">
        <v>175000</v>
      </c>
      <c r="K101" s="47">
        <v>44967</v>
      </c>
      <c r="L101" s="47"/>
      <c r="M101" s="47">
        <v>2704490</v>
      </c>
      <c r="N101" s="47"/>
      <c r="O101" s="47"/>
      <c r="P101" s="47">
        <v>0</v>
      </c>
      <c r="Q101" s="47"/>
      <c r="R101" s="47"/>
      <c r="S101" s="47"/>
      <c r="T101" s="47"/>
    </row>
    <row r="102" spans="1:20" x14ac:dyDescent="0.2">
      <c r="A102" s="6">
        <v>16</v>
      </c>
      <c r="B102" s="9" t="s">
        <v>84</v>
      </c>
      <c r="C102" s="47">
        <f t="shared" si="24"/>
        <v>0</v>
      </c>
      <c r="D102" s="47">
        <f t="shared" si="22"/>
        <v>60582703</v>
      </c>
      <c r="E102" s="47">
        <f t="shared" si="22"/>
        <v>55252672</v>
      </c>
      <c r="F102" s="47"/>
      <c r="G102" s="47">
        <f>49480347+10749252</f>
        <v>60229599</v>
      </c>
      <c r="H102" s="47">
        <v>54899568</v>
      </c>
      <c r="I102" s="47"/>
      <c r="J102" s="47">
        <v>0</v>
      </c>
      <c r="K102" s="47"/>
      <c r="L102" s="47"/>
      <c r="M102" s="47"/>
      <c r="N102" s="47"/>
      <c r="O102" s="47"/>
      <c r="P102" s="47">
        <f>353104</f>
        <v>353104</v>
      </c>
      <c r="Q102" s="47">
        <v>353104</v>
      </c>
      <c r="R102" s="47"/>
      <c r="S102" s="47"/>
      <c r="T102" s="47"/>
    </row>
    <row r="103" spans="1:20" x14ac:dyDescent="0.2">
      <c r="A103" s="27">
        <v>17</v>
      </c>
      <c r="B103" s="5" t="s">
        <v>85</v>
      </c>
      <c r="C103" s="47">
        <f t="shared" si="24"/>
        <v>400000</v>
      </c>
      <c r="D103" s="47">
        <f t="shared" si="22"/>
        <v>0</v>
      </c>
      <c r="E103" s="47">
        <f t="shared" si="22"/>
        <v>0</v>
      </c>
      <c r="F103" s="47">
        <v>400000</v>
      </c>
      <c r="G103" s="47">
        <v>0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</row>
    <row r="104" spans="1:20" x14ac:dyDescent="0.2">
      <c r="A104" s="6">
        <v>18</v>
      </c>
      <c r="B104" s="6" t="s">
        <v>86</v>
      </c>
      <c r="C104" s="47">
        <f t="shared" si="24"/>
        <v>0</v>
      </c>
      <c r="D104" s="47">
        <f t="shared" si="22"/>
        <v>0</v>
      </c>
      <c r="E104" s="47">
        <f t="shared" si="22"/>
        <v>0</v>
      </c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</row>
    <row r="105" spans="1:20" x14ac:dyDescent="0.2">
      <c r="A105" s="6">
        <v>19</v>
      </c>
      <c r="B105" s="6" t="s">
        <v>87</v>
      </c>
      <c r="C105" s="47">
        <f t="shared" si="24"/>
        <v>0</v>
      </c>
      <c r="D105" s="47">
        <f t="shared" si="22"/>
        <v>0</v>
      </c>
      <c r="E105" s="47">
        <f t="shared" si="22"/>
        <v>0</v>
      </c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</row>
    <row r="106" spans="1:20" x14ac:dyDescent="0.2">
      <c r="A106" s="6">
        <v>20</v>
      </c>
      <c r="B106" s="9" t="s">
        <v>115</v>
      </c>
      <c r="C106" s="47">
        <f t="shared" si="24"/>
        <v>0</v>
      </c>
      <c r="D106" s="47">
        <f t="shared" si="22"/>
        <v>1050000</v>
      </c>
      <c r="E106" s="47">
        <f t="shared" si="22"/>
        <v>1050000</v>
      </c>
      <c r="F106" s="47"/>
      <c r="G106" s="47">
        <v>1050000</v>
      </c>
      <c r="H106" s="47">
        <v>1050000</v>
      </c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</row>
    <row r="107" spans="1:20" x14ac:dyDescent="0.2">
      <c r="A107" s="24">
        <v>21</v>
      </c>
      <c r="B107" s="22" t="s">
        <v>68</v>
      </c>
      <c r="C107" s="49">
        <f t="shared" si="24"/>
        <v>3279490</v>
      </c>
      <c r="D107" s="49">
        <f t="shared" si="22"/>
        <v>343778692</v>
      </c>
      <c r="E107" s="49">
        <f t="shared" si="22"/>
        <v>270722460</v>
      </c>
      <c r="F107" s="50">
        <f t="shared" ref="F107:T107" si="25">SUM(F101:F106)</f>
        <v>3104490</v>
      </c>
      <c r="G107" s="50">
        <f t="shared" si="25"/>
        <v>340546098</v>
      </c>
      <c r="H107" s="50">
        <f t="shared" si="25"/>
        <v>270324389</v>
      </c>
      <c r="I107" s="50">
        <f t="shared" si="25"/>
        <v>175000</v>
      </c>
      <c r="J107" s="50">
        <f t="shared" si="25"/>
        <v>175000</v>
      </c>
      <c r="K107" s="50">
        <f t="shared" si="25"/>
        <v>44967</v>
      </c>
      <c r="L107" s="50">
        <f t="shared" si="25"/>
        <v>0</v>
      </c>
      <c r="M107" s="50">
        <f t="shared" si="25"/>
        <v>2704490</v>
      </c>
      <c r="N107" s="50">
        <f t="shared" si="25"/>
        <v>0</v>
      </c>
      <c r="O107" s="50">
        <f t="shared" si="25"/>
        <v>0</v>
      </c>
      <c r="P107" s="50">
        <f t="shared" si="25"/>
        <v>353104</v>
      </c>
      <c r="Q107" s="50">
        <f t="shared" si="25"/>
        <v>353104</v>
      </c>
      <c r="R107" s="50">
        <f t="shared" si="25"/>
        <v>0</v>
      </c>
      <c r="S107" s="50">
        <f t="shared" si="25"/>
        <v>0</v>
      </c>
      <c r="T107" s="50">
        <f t="shared" si="25"/>
        <v>0</v>
      </c>
    </row>
    <row r="108" spans="1:20" x14ac:dyDescent="0.2">
      <c r="A108" s="24">
        <v>22</v>
      </c>
      <c r="B108" s="23" t="s">
        <v>140</v>
      </c>
      <c r="C108" s="47">
        <f t="shared" si="24"/>
        <v>0</v>
      </c>
      <c r="D108" s="47">
        <f t="shared" si="22"/>
        <v>0</v>
      </c>
      <c r="E108" s="47">
        <f t="shared" si="22"/>
        <v>0</v>
      </c>
      <c r="F108" s="47"/>
      <c r="G108" s="50">
        <v>0</v>
      </c>
      <c r="H108" s="47">
        <v>0</v>
      </c>
      <c r="I108" s="47"/>
      <c r="J108" s="50"/>
      <c r="K108" s="47"/>
      <c r="L108" s="47"/>
      <c r="M108" s="47"/>
      <c r="N108" s="47"/>
      <c r="O108" s="47"/>
      <c r="P108" s="47"/>
      <c r="Q108" s="47"/>
      <c r="R108" s="47"/>
      <c r="S108" s="50"/>
      <c r="T108" s="47"/>
    </row>
    <row r="109" spans="1:20" x14ac:dyDescent="0.2">
      <c r="A109" s="25">
        <v>23</v>
      </c>
      <c r="B109" s="23" t="s">
        <v>69</v>
      </c>
      <c r="C109" s="49">
        <f t="shared" si="24"/>
        <v>193477970</v>
      </c>
      <c r="D109" s="49">
        <f t="shared" si="22"/>
        <v>621874610</v>
      </c>
      <c r="E109" s="49">
        <f t="shared" si="22"/>
        <v>488340048</v>
      </c>
      <c r="F109" s="49">
        <f t="shared" ref="F109:T109" si="26">F99+F107</f>
        <v>165060198</v>
      </c>
      <c r="G109" s="49">
        <f>G99+G107+G108</f>
        <v>586939519</v>
      </c>
      <c r="H109" s="49">
        <f>H99+H107+H108</f>
        <v>469505725</v>
      </c>
      <c r="I109" s="49">
        <f t="shared" si="26"/>
        <v>7673559</v>
      </c>
      <c r="J109" s="49">
        <f t="shared" si="26"/>
        <v>11141710</v>
      </c>
      <c r="K109" s="49">
        <f t="shared" si="26"/>
        <v>8209568</v>
      </c>
      <c r="L109" s="49">
        <f t="shared" si="26"/>
        <v>12013713</v>
      </c>
      <c r="M109" s="49">
        <f t="shared" si="26"/>
        <v>14731865</v>
      </c>
      <c r="N109" s="49">
        <f t="shared" si="26"/>
        <v>6084169</v>
      </c>
      <c r="O109" s="49">
        <f t="shared" si="26"/>
        <v>7481680</v>
      </c>
      <c r="P109" s="49">
        <f t="shared" si="26"/>
        <v>7812696</v>
      </c>
      <c r="Q109" s="49">
        <f t="shared" si="26"/>
        <v>4077571</v>
      </c>
      <c r="R109" s="49">
        <f t="shared" si="26"/>
        <v>1248820</v>
      </c>
      <c r="S109" s="49">
        <f t="shared" si="26"/>
        <v>1248820</v>
      </c>
      <c r="T109" s="49">
        <f t="shared" si="26"/>
        <v>463015</v>
      </c>
    </row>
    <row r="110" spans="1:20" x14ac:dyDescent="0.2">
      <c r="A110" s="6">
        <v>24</v>
      </c>
      <c r="B110" s="9" t="s">
        <v>88</v>
      </c>
      <c r="C110" s="9"/>
      <c r="D110" s="47">
        <f t="shared" si="22"/>
        <v>0</v>
      </c>
      <c r="E110" s="47">
        <f t="shared" si="22"/>
        <v>0</v>
      </c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</row>
    <row r="111" spans="1:20" x14ac:dyDescent="0.2">
      <c r="A111" s="28">
        <v>25</v>
      </c>
      <c r="B111" s="29" t="s">
        <v>70</v>
      </c>
      <c r="C111" s="47">
        <f t="shared" ref="C111:C119" si="27">F111+I111+R111+U111+X111+AD111+AG111+L111+O111</f>
        <v>1205373</v>
      </c>
      <c r="D111" s="47">
        <f t="shared" si="22"/>
        <v>1205373</v>
      </c>
      <c r="E111" s="47">
        <f t="shared" si="22"/>
        <v>0</v>
      </c>
      <c r="F111" s="47">
        <v>1205373</v>
      </c>
      <c r="G111" s="56">
        <v>1205373</v>
      </c>
      <c r="H111" s="47"/>
      <c r="I111" s="47"/>
      <c r="J111" s="56">
        <v>0</v>
      </c>
      <c r="K111" s="47"/>
      <c r="L111" s="47"/>
      <c r="M111" s="47"/>
      <c r="N111" s="47"/>
      <c r="O111" s="47"/>
      <c r="P111" s="47"/>
      <c r="Q111" s="47"/>
      <c r="R111" s="47"/>
      <c r="S111" s="56"/>
      <c r="T111" s="47"/>
    </row>
    <row r="112" spans="1:20" x14ac:dyDescent="0.2">
      <c r="A112" s="28">
        <v>26</v>
      </c>
      <c r="B112" s="9" t="s">
        <v>71</v>
      </c>
      <c r="C112" s="47">
        <f t="shared" si="27"/>
        <v>0</v>
      </c>
      <c r="D112" s="47">
        <f t="shared" si="22"/>
        <v>373722300</v>
      </c>
      <c r="E112" s="47">
        <f t="shared" si="22"/>
        <v>0</v>
      </c>
      <c r="F112" s="47"/>
      <c r="G112" s="47">
        <f>101461467-13994362+338519794-52264599</f>
        <v>373722300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</row>
    <row r="113" spans="1:20" x14ac:dyDescent="0.2">
      <c r="A113" s="25">
        <v>27</v>
      </c>
      <c r="B113" s="23" t="s">
        <v>72</v>
      </c>
      <c r="C113" s="49">
        <f t="shared" si="27"/>
        <v>1205373</v>
      </c>
      <c r="D113" s="49">
        <f t="shared" si="22"/>
        <v>374927673</v>
      </c>
      <c r="E113" s="49">
        <f t="shared" si="22"/>
        <v>0</v>
      </c>
      <c r="F113" s="49">
        <f t="shared" ref="F113:Q113" si="28">SUM(F111:F112)</f>
        <v>1205373</v>
      </c>
      <c r="G113" s="49">
        <f t="shared" si="28"/>
        <v>374927673</v>
      </c>
      <c r="H113" s="49">
        <f t="shared" si="28"/>
        <v>0</v>
      </c>
      <c r="I113" s="49">
        <f t="shared" si="28"/>
        <v>0</v>
      </c>
      <c r="J113" s="49">
        <f t="shared" si="28"/>
        <v>0</v>
      </c>
      <c r="K113" s="49">
        <f t="shared" si="28"/>
        <v>0</v>
      </c>
      <c r="L113" s="49"/>
      <c r="M113" s="49">
        <f t="shared" si="28"/>
        <v>0</v>
      </c>
      <c r="N113" s="49">
        <f t="shared" si="28"/>
        <v>0</v>
      </c>
      <c r="O113" s="49">
        <f t="shared" si="28"/>
        <v>0</v>
      </c>
      <c r="P113" s="49">
        <f t="shared" si="28"/>
        <v>0</v>
      </c>
      <c r="Q113" s="49">
        <f t="shared" si="28"/>
        <v>0</v>
      </c>
      <c r="R113" s="49"/>
      <c r="S113" s="49"/>
      <c r="T113" s="47"/>
    </row>
    <row r="114" spans="1:20" x14ac:dyDescent="0.2">
      <c r="A114" s="25">
        <v>28</v>
      </c>
      <c r="B114" s="23" t="s">
        <v>73</v>
      </c>
      <c r="C114" s="49">
        <f t="shared" si="27"/>
        <v>194683343</v>
      </c>
      <c r="D114" s="49">
        <f t="shared" si="22"/>
        <v>996802283</v>
      </c>
      <c r="E114" s="49">
        <f t="shared" si="22"/>
        <v>488340048</v>
      </c>
      <c r="F114" s="49">
        <f t="shared" ref="F114:T114" si="29">F113+F109</f>
        <v>166265571</v>
      </c>
      <c r="G114" s="49">
        <f t="shared" si="29"/>
        <v>961867192</v>
      </c>
      <c r="H114" s="49">
        <f t="shared" si="29"/>
        <v>469505725</v>
      </c>
      <c r="I114" s="49">
        <f t="shared" si="29"/>
        <v>7673559</v>
      </c>
      <c r="J114" s="49">
        <f t="shared" si="29"/>
        <v>11141710</v>
      </c>
      <c r="K114" s="49">
        <f t="shared" si="29"/>
        <v>8209568</v>
      </c>
      <c r="L114" s="49">
        <f t="shared" si="29"/>
        <v>12013713</v>
      </c>
      <c r="M114" s="49">
        <f t="shared" si="29"/>
        <v>14731865</v>
      </c>
      <c r="N114" s="49">
        <f t="shared" si="29"/>
        <v>6084169</v>
      </c>
      <c r="O114" s="49">
        <f t="shared" si="29"/>
        <v>7481680</v>
      </c>
      <c r="P114" s="49">
        <f t="shared" si="29"/>
        <v>7812696</v>
      </c>
      <c r="Q114" s="49">
        <f t="shared" si="29"/>
        <v>4077571</v>
      </c>
      <c r="R114" s="49">
        <f t="shared" si="29"/>
        <v>1248820</v>
      </c>
      <c r="S114" s="49">
        <f t="shared" si="29"/>
        <v>1248820</v>
      </c>
      <c r="T114" s="49">
        <f t="shared" si="29"/>
        <v>463015</v>
      </c>
    </row>
    <row r="115" spans="1:20" x14ac:dyDescent="0.2">
      <c r="A115" s="28">
        <v>29</v>
      </c>
      <c r="B115" s="29" t="s">
        <v>89</v>
      </c>
      <c r="C115" s="47">
        <f t="shared" si="27"/>
        <v>0</v>
      </c>
      <c r="D115" s="47">
        <f t="shared" si="22"/>
        <v>0</v>
      </c>
      <c r="E115" s="47">
        <f t="shared" si="22"/>
        <v>0</v>
      </c>
      <c r="F115" s="47"/>
      <c r="G115" s="48">
        <v>0</v>
      </c>
      <c r="H115" s="47"/>
      <c r="I115" s="47"/>
      <c r="J115" s="48"/>
      <c r="K115" s="47"/>
      <c r="L115" s="47"/>
      <c r="M115" s="47"/>
      <c r="N115" s="47"/>
      <c r="O115" s="47"/>
      <c r="P115" s="47"/>
      <c r="Q115" s="47"/>
      <c r="R115" s="47"/>
      <c r="S115" s="48"/>
      <c r="T115" s="47"/>
    </row>
    <row r="116" spans="1:20" x14ac:dyDescent="0.2">
      <c r="A116" s="28">
        <v>30</v>
      </c>
      <c r="B116" s="29" t="s">
        <v>90</v>
      </c>
      <c r="C116" s="47">
        <f t="shared" si="27"/>
        <v>37925000</v>
      </c>
      <c r="D116" s="47">
        <f t="shared" si="22"/>
        <v>46993275</v>
      </c>
      <c r="E116" s="47">
        <f t="shared" si="22"/>
        <v>46993275</v>
      </c>
      <c r="F116" s="47">
        <v>37925000</v>
      </c>
      <c r="G116" s="48">
        <f>37925000+9068275</f>
        <v>46993275</v>
      </c>
      <c r="H116" s="47">
        <v>46993275</v>
      </c>
      <c r="I116" s="47"/>
      <c r="J116" s="48"/>
      <c r="K116" s="47"/>
      <c r="L116" s="47"/>
      <c r="M116" s="47"/>
      <c r="N116" s="47"/>
      <c r="O116" s="47"/>
      <c r="P116" s="47"/>
      <c r="Q116" s="47"/>
      <c r="R116" s="47"/>
      <c r="S116" s="48"/>
      <c r="T116" s="47"/>
    </row>
    <row r="117" spans="1:20" x14ac:dyDescent="0.2">
      <c r="A117" s="28">
        <v>31</v>
      </c>
      <c r="B117" s="29" t="s">
        <v>133</v>
      </c>
      <c r="C117" s="47">
        <f t="shared" si="27"/>
        <v>0</v>
      </c>
      <c r="D117" s="47">
        <f t="shared" si="22"/>
        <v>6084055</v>
      </c>
      <c r="E117" s="47">
        <f t="shared" si="22"/>
        <v>6084055</v>
      </c>
      <c r="F117" s="47"/>
      <c r="G117" s="48">
        <v>6084055</v>
      </c>
      <c r="H117" s="47">
        <v>6084055</v>
      </c>
      <c r="I117" s="47"/>
      <c r="J117" s="48"/>
      <c r="K117" s="47"/>
      <c r="L117" s="47"/>
      <c r="M117" s="47"/>
      <c r="N117" s="47"/>
      <c r="O117" s="47"/>
      <c r="P117" s="47"/>
      <c r="Q117" s="47"/>
      <c r="R117" s="47"/>
      <c r="S117" s="48"/>
      <c r="T117" s="47"/>
    </row>
    <row r="118" spans="1:20" x14ac:dyDescent="0.2">
      <c r="A118" s="25">
        <v>32</v>
      </c>
      <c r="B118" s="23" t="s">
        <v>91</v>
      </c>
      <c r="C118" s="49">
        <f t="shared" si="27"/>
        <v>37925000</v>
      </c>
      <c r="D118" s="49">
        <f t="shared" si="22"/>
        <v>53077330</v>
      </c>
      <c r="E118" s="49">
        <f t="shared" si="22"/>
        <v>53077330</v>
      </c>
      <c r="F118" s="49">
        <f>SUM(F115:F117)</f>
        <v>37925000</v>
      </c>
      <c r="G118" s="49">
        <f>SUM(G115:G117)</f>
        <v>53077330</v>
      </c>
      <c r="H118" s="49">
        <f>SUM(H115:H117)</f>
        <v>53077330</v>
      </c>
      <c r="I118" s="49">
        <f t="shared" ref="I118:T118" si="30">SUM(I115)</f>
        <v>0</v>
      </c>
      <c r="J118" s="49">
        <f t="shared" si="30"/>
        <v>0</v>
      </c>
      <c r="K118" s="49">
        <f t="shared" si="30"/>
        <v>0</v>
      </c>
      <c r="L118" s="49">
        <f t="shared" si="30"/>
        <v>0</v>
      </c>
      <c r="M118" s="49">
        <f t="shared" si="30"/>
        <v>0</v>
      </c>
      <c r="N118" s="49">
        <f t="shared" si="30"/>
        <v>0</v>
      </c>
      <c r="O118" s="49">
        <f t="shared" si="30"/>
        <v>0</v>
      </c>
      <c r="P118" s="49">
        <f t="shared" si="30"/>
        <v>0</v>
      </c>
      <c r="Q118" s="49">
        <f t="shared" si="30"/>
        <v>0</v>
      </c>
      <c r="R118" s="49">
        <f t="shared" si="30"/>
        <v>0</v>
      </c>
      <c r="S118" s="49">
        <f t="shared" si="30"/>
        <v>0</v>
      </c>
      <c r="T118" s="49">
        <f t="shared" si="30"/>
        <v>0</v>
      </c>
    </row>
    <row r="119" spans="1:20" x14ac:dyDescent="0.2">
      <c r="A119" s="25">
        <v>33</v>
      </c>
      <c r="B119" s="23" t="s">
        <v>74</v>
      </c>
      <c r="C119" s="49">
        <f t="shared" si="27"/>
        <v>232608343</v>
      </c>
      <c r="D119" s="49">
        <f t="shared" si="22"/>
        <v>1049879613</v>
      </c>
      <c r="E119" s="49">
        <f t="shared" si="22"/>
        <v>541417378</v>
      </c>
      <c r="F119" s="49">
        <f>F109+F113+F118</f>
        <v>204190571</v>
      </c>
      <c r="G119" s="49">
        <f>G109+G113+G118</f>
        <v>1014944522</v>
      </c>
      <c r="H119" s="49">
        <f>H109+H113+H118</f>
        <v>522583055</v>
      </c>
      <c r="I119" s="49">
        <f t="shared" ref="I119:T119" si="31">I109+I113</f>
        <v>7673559</v>
      </c>
      <c r="J119" s="49">
        <f t="shared" si="31"/>
        <v>11141710</v>
      </c>
      <c r="K119" s="49">
        <f t="shared" si="31"/>
        <v>8209568</v>
      </c>
      <c r="L119" s="49">
        <f t="shared" si="31"/>
        <v>12013713</v>
      </c>
      <c r="M119" s="49">
        <f t="shared" si="31"/>
        <v>14731865</v>
      </c>
      <c r="N119" s="49">
        <f t="shared" si="31"/>
        <v>6084169</v>
      </c>
      <c r="O119" s="49">
        <f t="shared" si="31"/>
        <v>7481680</v>
      </c>
      <c r="P119" s="49">
        <f t="shared" si="31"/>
        <v>7812696</v>
      </c>
      <c r="Q119" s="49">
        <f t="shared" si="31"/>
        <v>4077571</v>
      </c>
      <c r="R119" s="49">
        <f t="shared" si="31"/>
        <v>1248820</v>
      </c>
      <c r="S119" s="49">
        <f t="shared" si="31"/>
        <v>1248820</v>
      </c>
      <c r="T119" s="49">
        <f t="shared" si="31"/>
        <v>463015</v>
      </c>
    </row>
    <row r="120" spans="1:20" x14ac:dyDescent="0.2">
      <c r="A120" s="25">
        <v>34</v>
      </c>
      <c r="B120" s="23" t="s">
        <v>75</v>
      </c>
      <c r="C120" s="23"/>
      <c r="D120" s="49">
        <f t="shared" si="22"/>
        <v>0</v>
      </c>
      <c r="E120" s="49">
        <f t="shared" si="22"/>
        <v>0</v>
      </c>
      <c r="F120" s="49"/>
      <c r="G120" s="49"/>
      <c r="H120" s="47"/>
      <c r="I120" s="47"/>
      <c r="J120" s="49"/>
      <c r="K120" s="47"/>
      <c r="L120" s="47"/>
      <c r="M120" s="47"/>
      <c r="N120" s="47"/>
      <c r="O120" s="47"/>
      <c r="P120" s="47"/>
      <c r="Q120" s="47"/>
      <c r="R120" s="47"/>
      <c r="S120" s="49"/>
      <c r="T120" s="47"/>
    </row>
    <row r="121" spans="1:20" x14ac:dyDescent="0.2">
      <c r="A121" s="25">
        <v>35</v>
      </c>
      <c r="B121" s="23" t="s">
        <v>74</v>
      </c>
      <c r="C121" s="49">
        <f>F121+I121+R121+U121+X121+AD121+AG121+L121+O121</f>
        <v>232608343</v>
      </c>
      <c r="D121" s="49">
        <f t="shared" si="22"/>
        <v>1049879613</v>
      </c>
      <c r="E121" s="49">
        <f t="shared" si="22"/>
        <v>541417378</v>
      </c>
      <c r="F121" s="49">
        <f t="shared" ref="F121:T121" si="32">SUM(F119:F120)</f>
        <v>204190571</v>
      </c>
      <c r="G121" s="49">
        <f t="shared" si="32"/>
        <v>1014944522</v>
      </c>
      <c r="H121" s="49">
        <f t="shared" si="32"/>
        <v>522583055</v>
      </c>
      <c r="I121" s="49">
        <f t="shared" si="32"/>
        <v>7673559</v>
      </c>
      <c r="J121" s="49">
        <f t="shared" si="32"/>
        <v>11141710</v>
      </c>
      <c r="K121" s="49">
        <f t="shared" si="32"/>
        <v>8209568</v>
      </c>
      <c r="L121" s="49">
        <f t="shared" si="32"/>
        <v>12013713</v>
      </c>
      <c r="M121" s="49">
        <f t="shared" si="32"/>
        <v>14731865</v>
      </c>
      <c r="N121" s="49">
        <f t="shared" si="32"/>
        <v>6084169</v>
      </c>
      <c r="O121" s="49">
        <f t="shared" si="32"/>
        <v>7481680</v>
      </c>
      <c r="P121" s="49">
        <f t="shared" si="32"/>
        <v>7812696</v>
      </c>
      <c r="Q121" s="49">
        <f t="shared" si="32"/>
        <v>4077571</v>
      </c>
      <c r="R121" s="49">
        <f t="shared" si="32"/>
        <v>1248820</v>
      </c>
      <c r="S121" s="49">
        <f t="shared" si="32"/>
        <v>1248820</v>
      </c>
      <c r="T121" s="49">
        <f t="shared" si="32"/>
        <v>463015</v>
      </c>
    </row>
    <row r="122" spans="1:20" x14ac:dyDescent="0.2">
      <c r="A122" s="25">
        <v>36</v>
      </c>
      <c r="B122" s="22"/>
      <c r="C122" s="22"/>
      <c r="D122" s="47">
        <f t="shared" si="22"/>
        <v>0</v>
      </c>
      <c r="E122" s="47">
        <f t="shared" si="22"/>
        <v>0</v>
      </c>
      <c r="F122" s="47"/>
      <c r="G122" s="50"/>
      <c r="H122" s="47"/>
      <c r="I122" s="47"/>
      <c r="J122" s="50"/>
      <c r="K122" s="47"/>
      <c r="L122" s="47"/>
      <c r="M122" s="47"/>
      <c r="N122" s="47"/>
      <c r="O122" s="47"/>
      <c r="P122" s="47"/>
      <c r="Q122" s="47"/>
      <c r="R122" s="47"/>
      <c r="S122" s="50"/>
      <c r="T122" s="47"/>
    </row>
    <row r="123" spans="1:20" s="11" customFormat="1" x14ac:dyDescent="0.2">
      <c r="A123" s="25">
        <v>37</v>
      </c>
      <c r="B123" s="9" t="s">
        <v>76</v>
      </c>
      <c r="C123" s="58">
        <f t="shared" ref="C123:C129" si="33">F123+I123+R123+U123+X123+AD123+AG123+L123+O123</f>
        <v>1</v>
      </c>
      <c r="D123" s="58">
        <f t="shared" si="22"/>
        <v>1</v>
      </c>
      <c r="E123" s="58">
        <f t="shared" si="22"/>
        <v>1</v>
      </c>
      <c r="F123" s="58"/>
      <c r="G123" s="58">
        <v>0</v>
      </c>
      <c r="H123" s="58">
        <v>0</v>
      </c>
      <c r="I123" s="58">
        <v>1</v>
      </c>
      <c r="J123" s="58">
        <v>1</v>
      </c>
      <c r="K123" s="58">
        <v>1</v>
      </c>
      <c r="L123" s="58"/>
      <c r="M123" s="58"/>
      <c r="N123" s="58"/>
      <c r="O123" s="58"/>
      <c r="P123" s="58">
        <v>0</v>
      </c>
      <c r="Q123" s="58"/>
      <c r="R123" s="58"/>
      <c r="S123" s="58">
        <v>0</v>
      </c>
      <c r="T123" s="58"/>
    </row>
    <row r="124" spans="1:20" s="11" customFormat="1" x14ac:dyDescent="0.2">
      <c r="A124" s="25">
        <v>38</v>
      </c>
      <c r="B124" s="9" t="s">
        <v>77</v>
      </c>
      <c r="C124" s="58">
        <f t="shared" si="33"/>
        <v>0</v>
      </c>
      <c r="D124" s="58">
        <f t="shared" si="22"/>
        <v>0</v>
      </c>
      <c r="E124" s="58">
        <f t="shared" si="22"/>
        <v>0</v>
      </c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</row>
    <row r="125" spans="1:20" s="11" customFormat="1" x14ac:dyDescent="0.2">
      <c r="A125" s="25">
        <v>39</v>
      </c>
      <c r="B125" s="9" t="s">
        <v>78</v>
      </c>
      <c r="C125" s="58">
        <f t="shared" si="33"/>
        <v>2</v>
      </c>
      <c r="D125" s="58">
        <f t="shared" si="22"/>
        <v>5</v>
      </c>
      <c r="E125" s="58">
        <f t="shared" si="22"/>
        <v>3.5</v>
      </c>
      <c r="F125" s="58"/>
      <c r="G125" s="58">
        <v>3</v>
      </c>
      <c r="H125" s="58">
        <v>1.5</v>
      </c>
      <c r="I125" s="58"/>
      <c r="J125" s="58">
        <v>0</v>
      </c>
      <c r="K125" s="58">
        <v>0</v>
      </c>
      <c r="L125" s="58">
        <v>1</v>
      </c>
      <c r="M125" s="58">
        <v>1</v>
      </c>
      <c r="N125" s="58">
        <v>1</v>
      </c>
      <c r="O125" s="58">
        <v>1</v>
      </c>
      <c r="P125" s="58">
        <v>1</v>
      </c>
      <c r="Q125" s="58">
        <v>1</v>
      </c>
      <c r="R125" s="58"/>
      <c r="S125" s="58">
        <v>0</v>
      </c>
      <c r="T125" s="58">
        <v>0</v>
      </c>
    </row>
    <row r="126" spans="1:20" s="11" customFormat="1" x14ac:dyDescent="0.2">
      <c r="A126" s="25">
        <v>40</v>
      </c>
      <c r="B126" s="9" t="s">
        <v>79</v>
      </c>
      <c r="C126" s="58">
        <f t="shared" si="33"/>
        <v>0</v>
      </c>
      <c r="D126" s="58">
        <f t="shared" si="22"/>
        <v>11</v>
      </c>
      <c r="E126" s="58">
        <f t="shared" si="22"/>
        <v>2</v>
      </c>
      <c r="F126" s="58"/>
      <c r="G126" s="58">
        <v>11</v>
      </c>
      <c r="H126" s="58">
        <v>2</v>
      </c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</row>
    <row r="127" spans="1:20" s="11" customFormat="1" x14ac:dyDescent="0.2">
      <c r="A127" s="25">
        <v>41</v>
      </c>
      <c r="B127" s="9" t="s">
        <v>80</v>
      </c>
      <c r="C127" s="58">
        <f t="shared" si="33"/>
        <v>2</v>
      </c>
      <c r="D127" s="58">
        <f t="shared" si="22"/>
        <v>10</v>
      </c>
      <c r="E127" s="58">
        <f t="shared" si="22"/>
        <v>9.75</v>
      </c>
      <c r="F127" s="58"/>
      <c r="G127" s="58">
        <v>8</v>
      </c>
      <c r="H127" s="58">
        <f>4.75+3</f>
        <v>7.75</v>
      </c>
      <c r="I127" s="58"/>
      <c r="J127" s="58"/>
      <c r="K127" s="58"/>
      <c r="L127" s="58"/>
      <c r="M127" s="58"/>
      <c r="N127" s="58"/>
      <c r="O127" s="58">
        <v>1</v>
      </c>
      <c r="P127" s="58">
        <v>1</v>
      </c>
      <c r="Q127" s="58">
        <v>1</v>
      </c>
      <c r="R127" s="58">
        <v>1</v>
      </c>
      <c r="S127" s="58">
        <v>1</v>
      </c>
      <c r="T127" s="58">
        <v>1</v>
      </c>
    </row>
    <row r="128" spans="1:20" s="11" customFormat="1" x14ac:dyDescent="0.2">
      <c r="A128" s="25">
        <v>42</v>
      </c>
      <c r="B128" s="9" t="s">
        <v>163</v>
      </c>
      <c r="C128" s="58">
        <f t="shared" si="33"/>
        <v>0</v>
      </c>
      <c r="D128" s="58">
        <f t="shared" si="22"/>
        <v>7</v>
      </c>
      <c r="E128" s="58">
        <f t="shared" si="22"/>
        <v>7</v>
      </c>
      <c r="F128" s="58"/>
      <c r="G128" s="58">
        <v>7</v>
      </c>
      <c r="H128" s="58">
        <v>7</v>
      </c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</row>
    <row r="129" spans="1:20" x14ac:dyDescent="0.2">
      <c r="A129" s="25">
        <v>43</v>
      </c>
      <c r="B129" s="9" t="s">
        <v>81</v>
      </c>
      <c r="C129" s="58">
        <f t="shared" si="33"/>
        <v>5</v>
      </c>
      <c r="D129" s="58">
        <f t="shared" si="22"/>
        <v>34</v>
      </c>
      <c r="E129" s="58">
        <f t="shared" si="22"/>
        <v>23.25</v>
      </c>
      <c r="F129" s="58">
        <f>SUM(F123:F128)</f>
        <v>0</v>
      </c>
      <c r="G129" s="58">
        <f>SUM(G123:G128)</f>
        <v>29</v>
      </c>
      <c r="H129" s="58">
        <f>SUM(H123:H128)</f>
        <v>18.25</v>
      </c>
      <c r="I129" s="58">
        <f t="shared" ref="I129:T129" si="34">SUM(I123:I127)</f>
        <v>1</v>
      </c>
      <c r="J129" s="58">
        <f t="shared" si="34"/>
        <v>1</v>
      </c>
      <c r="K129" s="58">
        <f t="shared" si="34"/>
        <v>1</v>
      </c>
      <c r="L129" s="58">
        <f t="shared" si="34"/>
        <v>1</v>
      </c>
      <c r="M129" s="58">
        <f t="shared" si="34"/>
        <v>1</v>
      </c>
      <c r="N129" s="58">
        <f t="shared" si="34"/>
        <v>1</v>
      </c>
      <c r="O129" s="58">
        <f t="shared" si="34"/>
        <v>2</v>
      </c>
      <c r="P129" s="58">
        <f t="shared" si="34"/>
        <v>2</v>
      </c>
      <c r="Q129" s="58">
        <f t="shared" si="34"/>
        <v>2</v>
      </c>
      <c r="R129" s="58">
        <f t="shared" si="34"/>
        <v>1</v>
      </c>
      <c r="S129" s="58">
        <f t="shared" si="34"/>
        <v>1</v>
      </c>
      <c r="T129" s="58">
        <f t="shared" si="34"/>
        <v>1</v>
      </c>
    </row>
  </sheetData>
  <mergeCells count="29">
    <mergeCell ref="F90:H90"/>
    <mergeCell ref="I90:K90"/>
    <mergeCell ref="L90:N90"/>
    <mergeCell ref="O90:Q90"/>
    <mergeCell ref="F88:H88"/>
    <mergeCell ref="I88:K88"/>
    <mergeCell ref="L88:N88"/>
    <mergeCell ref="O88:Q88"/>
    <mergeCell ref="R88:T88"/>
    <mergeCell ref="F89:H89"/>
    <mergeCell ref="I89:K89"/>
    <mergeCell ref="L89:N89"/>
    <mergeCell ref="O89:Q89"/>
    <mergeCell ref="R89:T89"/>
    <mergeCell ref="F8:H8"/>
    <mergeCell ref="I8:K8"/>
    <mergeCell ref="L8:N8"/>
    <mergeCell ref="O8:Q8"/>
    <mergeCell ref="R8:T8"/>
    <mergeCell ref="F9:H9"/>
    <mergeCell ref="I9:K9"/>
    <mergeCell ref="L9:N9"/>
    <mergeCell ref="O9:Q9"/>
    <mergeCell ref="G5:T5"/>
    <mergeCell ref="F7:H7"/>
    <mergeCell ref="I7:K7"/>
    <mergeCell ref="L7:N7"/>
    <mergeCell ref="O7:Q7"/>
    <mergeCell ref="R7:T7"/>
  </mergeCells>
  <pageMargins left="0.19685039370078741" right="0.19685039370078741" top="0.19685039370078741" bottom="0.19685039370078741" header="0" footer="0"/>
  <pageSetup paperSize="8" scale="5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2020.évi ktv.</vt:lpstr>
      <vt:lpstr>2020.évi ei.mód I.</vt:lpstr>
      <vt:lpstr>2020.évi ei.mód II.</vt:lpstr>
    </vt:vector>
  </TitlesOfParts>
  <Company>Kistérség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Vértestolna</dc:creator>
  <cp:lastModifiedBy>Lantai Éva dr.</cp:lastModifiedBy>
  <cp:lastPrinted>2018-11-20T08:07:26Z</cp:lastPrinted>
  <dcterms:created xsi:type="dcterms:W3CDTF">2006-02-13T08:37:16Z</dcterms:created>
  <dcterms:modified xsi:type="dcterms:W3CDTF">2021-05-31T06:47:23Z</dcterms:modified>
</cp:coreProperties>
</file>