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026"/>
  <workbookPr/>
  <mc:AlternateContent xmlns:mc="http://schemas.openxmlformats.org/markup-compatibility/2006">
    <mc:Choice Requires="x15">
      <x15ac:absPath xmlns:x15ac="http://schemas.microsoft.com/office/spreadsheetml/2010/11/ac" url="C:\Users\jegyzoititkarsag\Desktop\Excel táblák\"/>
    </mc:Choice>
  </mc:AlternateContent>
  <xr:revisionPtr revIDLastSave="0" documentId="8_{F6FFACC3-3677-4CA0-A01A-A181E7E56923}" xr6:coauthVersionLast="47" xr6:coauthVersionMax="47" xr10:uidLastSave="{00000000-0000-0000-0000-000000000000}"/>
  <bookViews>
    <workbookView xWindow="-120" yWindow="-120" windowWidth="29040" windowHeight="15990" activeTab="3"/>
  </bookViews>
  <sheets>
    <sheet name="2020.évi ktv." sheetId="42" r:id="rId1"/>
    <sheet name="2020.évi ei mód." sheetId="43" r:id="rId2"/>
    <sheet name="2020.évi ei mód.II." sheetId="44" r:id="rId3"/>
    <sheet name="2020.évi beszámoló" sheetId="45" r:id="rId4"/>
  </sheets>
  <calcPr calcId="181029"/>
</workbook>
</file>

<file path=xl/calcChain.xml><?xml version="1.0" encoding="utf-8"?>
<calcChain xmlns="http://schemas.openxmlformats.org/spreadsheetml/2006/main">
  <c r="F47" i="45" l="1"/>
  <c r="AF69" i="45"/>
  <c r="AE69" i="45"/>
  <c r="AD69" i="45"/>
  <c r="Z69" i="45"/>
  <c r="Y69" i="45"/>
  <c r="X69" i="45"/>
  <c r="W69" i="45"/>
  <c r="V69" i="45"/>
  <c r="U69" i="45"/>
  <c r="T69" i="45"/>
  <c r="S69" i="45"/>
  <c r="R69" i="45"/>
  <c r="Q69" i="45"/>
  <c r="P69" i="45"/>
  <c r="O69" i="45"/>
  <c r="N69" i="45"/>
  <c r="M69" i="45"/>
  <c r="L69" i="45"/>
  <c r="K69" i="45"/>
  <c r="J69" i="45"/>
  <c r="I69" i="45"/>
  <c r="H69" i="45"/>
  <c r="F69" i="45"/>
  <c r="E69" i="45"/>
  <c r="AC69" i="45"/>
  <c r="C69" i="45"/>
  <c r="AA69" i="45"/>
  <c r="AC68" i="45"/>
  <c r="AB68" i="45"/>
  <c r="AC67" i="45"/>
  <c r="AA67" i="45"/>
  <c r="G67" i="45"/>
  <c r="G69" i="45"/>
  <c r="D67" i="45"/>
  <c r="D69" i="45"/>
  <c r="AB69" i="45"/>
  <c r="AC66" i="45"/>
  <c r="AB66" i="45"/>
  <c r="H65" i="45"/>
  <c r="H70" i="45"/>
  <c r="H73" i="45"/>
  <c r="Z64" i="45"/>
  <c r="Y64" i="45"/>
  <c r="X64" i="45"/>
  <c r="W64" i="45"/>
  <c r="V64" i="45"/>
  <c r="U64" i="45"/>
  <c r="T64" i="45"/>
  <c r="S64" i="45"/>
  <c r="R64" i="45"/>
  <c r="Q64" i="45"/>
  <c r="P64" i="45"/>
  <c r="O64" i="45"/>
  <c r="N64" i="45"/>
  <c r="M64" i="45"/>
  <c r="L64" i="45"/>
  <c r="K64" i="45"/>
  <c r="J64" i="45"/>
  <c r="I64" i="45"/>
  <c r="H64" i="45"/>
  <c r="G64" i="45"/>
  <c r="F64" i="45"/>
  <c r="E64" i="45"/>
  <c r="AC64" i="45"/>
  <c r="D64" i="45"/>
  <c r="AB64" i="45"/>
  <c r="C64" i="45"/>
  <c r="AA64" i="45"/>
  <c r="AC63" i="45"/>
  <c r="AB63" i="45"/>
  <c r="AA63" i="45"/>
  <c r="AF62" i="45"/>
  <c r="AE62" i="45"/>
  <c r="AD62" i="45"/>
  <c r="AD65" i="45"/>
  <c r="AD70" i="45"/>
  <c r="AD73" i="45"/>
  <c r="Z62" i="45"/>
  <c r="Z65" i="45"/>
  <c r="Z70" i="45"/>
  <c r="Z73" i="45"/>
  <c r="Y62" i="45"/>
  <c r="X62" i="45"/>
  <c r="X65" i="45"/>
  <c r="X70" i="45"/>
  <c r="X73" i="45"/>
  <c r="W62" i="45"/>
  <c r="V62" i="45"/>
  <c r="V65" i="45"/>
  <c r="V70" i="45"/>
  <c r="V73" i="45"/>
  <c r="U62" i="45"/>
  <c r="T62" i="45"/>
  <c r="S62" i="45"/>
  <c r="R62" i="45"/>
  <c r="R65" i="45"/>
  <c r="R70" i="45"/>
  <c r="R73" i="45"/>
  <c r="Q62" i="45"/>
  <c r="P62" i="45"/>
  <c r="O62" i="45"/>
  <c r="N62" i="45"/>
  <c r="N65" i="45"/>
  <c r="N70" i="45"/>
  <c r="N73" i="45"/>
  <c r="M62" i="45"/>
  <c r="L62" i="45"/>
  <c r="L65" i="45"/>
  <c r="L70" i="45"/>
  <c r="L73" i="45"/>
  <c r="K62" i="45"/>
  <c r="J62" i="45"/>
  <c r="H62" i="45"/>
  <c r="G62" i="45"/>
  <c r="F62" i="45"/>
  <c r="E62" i="45"/>
  <c r="AC62" i="45"/>
  <c r="D62" i="45"/>
  <c r="AB62" i="45"/>
  <c r="AC61" i="45"/>
  <c r="AB61" i="45"/>
  <c r="AA61" i="45"/>
  <c r="I61" i="45"/>
  <c r="I62" i="45"/>
  <c r="C61" i="45"/>
  <c r="C62" i="45"/>
  <c r="AA62" i="45"/>
  <c r="AF60" i="45"/>
  <c r="AE60" i="45"/>
  <c r="AE65" i="45"/>
  <c r="AE70" i="45"/>
  <c r="AE73" i="45"/>
  <c r="AD60" i="45"/>
  <c r="Z60" i="45"/>
  <c r="Y60" i="45"/>
  <c r="Y65" i="45"/>
  <c r="Y70" i="45"/>
  <c r="Y73" i="45"/>
  <c r="X60" i="45"/>
  <c r="W60" i="45"/>
  <c r="W65" i="45"/>
  <c r="W70" i="45"/>
  <c r="W73" i="45"/>
  <c r="V60" i="45"/>
  <c r="U60" i="45"/>
  <c r="U65" i="45"/>
  <c r="U70" i="45"/>
  <c r="U73" i="45"/>
  <c r="S60" i="45"/>
  <c r="S65" i="45"/>
  <c r="S70" i="45"/>
  <c r="S73" i="45"/>
  <c r="R60" i="45"/>
  <c r="Q60" i="45"/>
  <c r="Q65" i="45"/>
  <c r="Q70" i="45"/>
  <c r="Q73" i="45"/>
  <c r="O60" i="45"/>
  <c r="O65" i="45"/>
  <c r="O70" i="45"/>
  <c r="O73" i="45"/>
  <c r="N60" i="45"/>
  <c r="M60" i="45"/>
  <c r="M65" i="45"/>
  <c r="M70" i="45"/>
  <c r="M73" i="45"/>
  <c r="L60" i="45"/>
  <c r="K60" i="45"/>
  <c r="K65" i="45"/>
  <c r="K70" i="45"/>
  <c r="K73" i="45"/>
  <c r="H60" i="45"/>
  <c r="AC59" i="45"/>
  <c r="J59" i="45"/>
  <c r="AB59" i="45"/>
  <c r="I59" i="45"/>
  <c r="AA59" i="45"/>
  <c r="AC58" i="45"/>
  <c r="AB58" i="45"/>
  <c r="AA58" i="45"/>
  <c r="AC57" i="45"/>
  <c r="AB57" i="45"/>
  <c r="AA57" i="45"/>
  <c r="AC56" i="45"/>
  <c r="AB56" i="45"/>
  <c r="AA56" i="45"/>
  <c r="AC55" i="45"/>
  <c r="AA55" i="45"/>
  <c r="J55" i="45"/>
  <c r="I55" i="45"/>
  <c r="D55" i="45"/>
  <c r="AB55" i="45"/>
  <c r="AC54" i="45"/>
  <c r="G54" i="45"/>
  <c r="G60" i="45"/>
  <c r="G65" i="45"/>
  <c r="G70" i="45"/>
  <c r="G73" i="45"/>
  <c r="F54" i="45"/>
  <c r="D54" i="45"/>
  <c r="AB54" i="45"/>
  <c r="C54" i="45"/>
  <c r="AA54" i="45"/>
  <c r="AC53" i="45"/>
  <c r="AB53" i="45"/>
  <c r="Y53" i="45"/>
  <c r="I53" i="45"/>
  <c r="E53" i="45"/>
  <c r="E60" i="45"/>
  <c r="D53" i="45"/>
  <c r="C53" i="45"/>
  <c r="F53" i="45"/>
  <c r="F60" i="45"/>
  <c r="F65" i="45"/>
  <c r="F70" i="45"/>
  <c r="F73" i="45"/>
  <c r="AC52" i="45"/>
  <c r="AB52" i="45"/>
  <c r="AA52" i="45"/>
  <c r="AC51" i="45"/>
  <c r="AB51" i="45"/>
  <c r="AA51" i="45"/>
  <c r="AC50" i="45"/>
  <c r="AB50" i="45"/>
  <c r="AA50" i="45"/>
  <c r="AC49" i="45"/>
  <c r="AA49" i="45"/>
  <c r="AC48" i="45"/>
  <c r="AB48" i="45"/>
  <c r="AA48" i="45"/>
  <c r="AC47" i="45"/>
  <c r="AB47" i="45"/>
  <c r="AA47" i="45"/>
  <c r="D47" i="45"/>
  <c r="AC46" i="45"/>
  <c r="AB46" i="45"/>
  <c r="AA46" i="45"/>
  <c r="AC45" i="45"/>
  <c r="AB45" i="45"/>
  <c r="AA45" i="45"/>
  <c r="AC44" i="45"/>
  <c r="AB44" i="45"/>
  <c r="AA44" i="45"/>
  <c r="AC43" i="45"/>
  <c r="AA43" i="45"/>
  <c r="Q43" i="45"/>
  <c r="P43" i="45"/>
  <c r="AB43" i="45"/>
  <c r="AC42" i="45"/>
  <c r="AB42" i="45"/>
  <c r="AA42" i="45"/>
  <c r="AC41" i="45"/>
  <c r="AB41" i="45"/>
  <c r="AA41" i="45"/>
  <c r="AC40" i="45"/>
  <c r="AB40" i="45"/>
  <c r="AA40" i="45"/>
  <c r="D40" i="45"/>
  <c r="AC39" i="45"/>
  <c r="AB39" i="45"/>
  <c r="AA39" i="45"/>
  <c r="AC38" i="45"/>
  <c r="AB38" i="45"/>
  <c r="AA38" i="45"/>
  <c r="AC37" i="45"/>
  <c r="AB37" i="45"/>
  <c r="AA37" i="45"/>
  <c r="AC36" i="45"/>
  <c r="AB36" i="45"/>
  <c r="AA36" i="45"/>
  <c r="AC35" i="45"/>
  <c r="AB35" i="45"/>
  <c r="AA35" i="45"/>
  <c r="AC34" i="45"/>
  <c r="AB34" i="45"/>
  <c r="AA34" i="45"/>
  <c r="AB33" i="45"/>
  <c r="AA33" i="45"/>
  <c r="AC32" i="45"/>
  <c r="AB32" i="45"/>
  <c r="AA32" i="45"/>
  <c r="AC31" i="45"/>
  <c r="AB31" i="45"/>
  <c r="AA31" i="45"/>
  <c r="AC30" i="45"/>
  <c r="AB30" i="45"/>
  <c r="AA30" i="45"/>
  <c r="AC29" i="45"/>
  <c r="AB29" i="45"/>
  <c r="AA29" i="45"/>
  <c r="AC28" i="45"/>
  <c r="AB28" i="45"/>
  <c r="AA28" i="45"/>
  <c r="AC27" i="45"/>
  <c r="AB27" i="45"/>
  <c r="AA27" i="45"/>
  <c r="AB26" i="45"/>
  <c r="AA26" i="45"/>
  <c r="T26" i="45"/>
  <c r="AC26" i="45"/>
  <c r="S26" i="45"/>
  <c r="AC25" i="45"/>
  <c r="AB25" i="45"/>
  <c r="AA25" i="45"/>
  <c r="AC24" i="45"/>
  <c r="AB24" i="45"/>
  <c r="AA24" i="45"/>
  <c r="AC23" i="45"/>
  <c r="AB23" i="45"/>
  <c r="AA23" i="45"/>
  <c r="P23" i="45"/>
  <c r="P60" i="45"/>
  <c r="P65" i="45"/>
  <c r="P70" i="45"/>
  <c r="P73" i="45"/>
  <c r="AC22" i="45"/>
  <c r="AB22" i="45"/>
  <c r="AA22" i="45"/>
  <c r="O22" i="45"/>
  <c r="AC21" i="45"/>
  <c r="AB21" i="45"/>
  <c r="AA21" i="45"/>
  <c r="AC20" i="45"/>
  <c r="AB20" i="45"/>
  <c r="AA20" i="45"/>
  <c r="AC19" i="45"/>
  <c r="AB19" i="45"/>
  <c r="AA19" i="45"/>
  <c r="AB18" i="45"/>
  <c r="AA18" i="45"/>
  <c r="T18" i="45"/>
  <c r="AC18" i="45"/>
  <c r="S18" i="45"/>
  <c r="AC17" i="45"/>
  <c r="AB17" i="45"/>
  <c r="AA17" i="45"/>
  <c r="AC16" i="45"/>
  <c r="AB16" i="45"/>
  <c r="AA16" i="45"/>
  <c r="AC15" i="45"/>
  <c r="AB15" i="45"/>
  <c r="AA15" i="45"/>
  <c r="AC14" i="45"/>
  <c r="AB14" i="45"/>
  <c r="AA14" i="45"/>
  <c r="AC13" i="45"/>
  <c r="AB13" i="45"/>
  <c r="AA13" i="45"/>
  <c r="AC12" i="45"/>
  <c r="AB12" i="45"/>
  <c r="AA12" i="45"/>
  <c r="AC11" i="45"/>
  <c r="AB11" i="45"/>
  <c r="AA11" i="45"/>
  <c r="AC10" i="45"/>
  <c r="AB10" i="45"/>
  <c r="AA10" i="45"/>
  <c r="S10" i="45"/>
  <c r="AC9" i="45"/>
  <c r="AB9" i="45"/>
  <c r="AA9" i="45"/>
  <c r="AC8" i="45"/>
  <c r="AA8" i="45"/>
  <c r="J8" i="45"/>
  <c r="J60" i="45"/>
  <c r="J65" i="45"/>
  <c r="J70" i="45"/>
  <c r="J73" i="45"/>
  <c r="I8" i="45"/>
  <c r="I60" i="45"/>
  <c r="I65" i="45"/>
  <c r="I70" i="45"/>
  <c r="I73" i="45"/>
  <c r="D8" i="45"/>
  <c r="D60" i="45"/>
  <c r="AA7" i="45"/>
  <c r="S18" i="44"/>
  <c r="T18" i="44"/>
  <c r="T60" i="44"/>
  <c r="Y53" i="44"/>
  <c r="P23" i="44"/>
  <c r="AB53" i="44"/>
  <c r="E53" i="44"/>
  <c r="AC53" i="44"/>
  <c r="D53" i="44"/>
  <c r="D60" i="44"/>
  <c r="D65" i="44"/>
  <c r="D70" i="44"/>
  <c r="D73" i="44"/>
  <c r="S10" i="44"/>
  <c r="AB10" i="44"/>
  <c r="Q60" i="44"/>
  <c r="Q65" i="44"/>
  <c r="Q70" i="44"/>
  <c r="Q73" i="44"/>
  <c r="AB23" i="44"/>
  <c r="D47" i="44"/>
  <c r="AB47" i="44"/>
  <c r="Q43" i="44"/>
  <c r="AC43" i="44"/>
  <c r="T26" i="44"/>
  <c r="S26" i="44"/>
  <c r="AB26" i="44"/>
  <c r="J8" i="44"/>
  <c r="J60" i="44"/>
  <c r="AF69" i="44"/>
  <c r="AE69" i="44"/>
  <c r="AD69" i="44"/>
  <c r="Z69" i="44"/>
  <c r="Y69" i="44"/>
  <c r="X69" i="44"/>
  <c r="W69" i="44"/>
  <c r="V69" i="44"/>
  <c r="U69" i="44"/>
  <c r="T69" i="44"/>
  <c r="S69" i="44"/>
  <c r="R69" i="44"/>
  <c r="Q69" i="44"/>
  <c r="P69" i="44"/>
  <c r="O69" i="44"/>
  <c r="N69" i="44"/>
  <c r="M69" i="44"/>
  <c r="L69" i="44"/>
  <c r="K69" i="44"/>
  <c r="I69" i="44"/>
  <c r="H69" i="44"/>
  <c r="F69" i="44"/>
  <c r="E69" i="44"/>
  <c r="C69" i="44"/>
  <c r="AA69" i="44"/>
  <c r="AC68" i="44"/>
  <c r="AB68" i="44"/>
  <c r="AC67" i="44"/>
  <c r="AA67" i="44"/>
  <c r="J69" i="44"/>
  <c r="G67" i="44"/>
  <c r="G69" i="44"/>
  <c r="D67" i="44"/>
  <c r="D69" i="44"/>
  <c r="AB69" i="44"/>
  <c r="AC66" i="44"/>
  <c r="AB66" i="44"/>
  <c r="Z64" i="44"/>
  <c r="Y64" i="44"/>
  <c r="X64" i="44"/>
  <c r="W64" i="44"/>
  <c r="V64" i="44"/>
  <c r="U64" i="44"/>
  <c r="T64" i="44"/>
  <c r="S64" i="44"/>
  <c r="R64" i="44"/>
  <c r="Q64" i="44"/>
  <c r="P64" i="44"/>
  <c r="O64" i="44"/>
  <c r="N64" i="44"/>
  <c r="M64" i="44"/>
  <c r="L64" i="44"/>
  <c r="K64" i="44"/>
  <c r="J64" i="44"/>
  <c r="I64" i="44"/>
  <c r="H64" i="44"/>
  <c r="G64" i="44"/>
  <c r="F64" i="44"/>
  <c r="E64" i="44"/>
  <c r="AC64" i="44"/>
  <c r="D64" i="44"/>
  <c r="AB64" i="44"/>
  <c r="C64" i="44"/>
  <c r="AA64" i="44"/>
  <c r="AC63" i="44"/>
  <c r="AB63" i="44"/>
  <c r="AA63" i="44"/>
  <c r="AF62" i="44"/>
  <c r="AE62" i="44"/>
  <c r="AD62" i="44"/>
  <c r="Z62" i="44"/>
  <c r="Y62" i="44"/>
  <c r="X62" i="44"/>
  <c r="W62" i="44"/>
  <c r="V62" i="44"/>
  <c r="U62" i="44"/>
  <c r="U65" i="44"/>
  <c r="U70" i="44"/>
  <c r="U73" i="44"/>
  <c r="T62" i="44"/>
  <c r="S62" i="44"/>
  <c r="R62" i="44"/>
  <c r="Q62" i="44"/>
  <c r="P62" i="44"/>
  <c r="O62" i="44"/>
  <c r="N62" i="44"/>
  <c r="M62" i="44"/>
  <c r="M65" i="44"/>
  <c r="M70" i="44"/>
  <c r="M73" i="44"/>
  <c r="L62" i="44"/>
  <c r="K62" i="44"/>
  <c r="AC62" i="44"/>
  <c r="J62" i="44"/>
  <c r="I62" i="44"/>
  <c r="H62" i="44"/>
  <c r="F62" i="44"/>
  <c r="E62" i="44"/>
  <c r="C62" i="44"/>
  <c r="AA62" i="44"/>
  <c r="AC61" i="44"/>
  <c r="I61" i="44"/>
  <c r="G62" i="44"/>
  <c r="D62" i="44"/>
  <c r="C61" i="44"/>
  <c r="AA61" i="44"/>
  <c r="AF60" i="44"/>
  <c r="AF65" i="44"/>
  <c r="AF70" i="44"/>
  <c r="AF73" i="44"/>
  <c r="AE60" i="44"/>
  <c r="AE65" i="44"/>
  <c r="AE70" i="44"/>
  <c r="AE73" i="44"/>
  <c r="AD60" i="44"/>
  <c r="AD65" i="44"/>
  <c r="AD70" i="44"/>
  <c r="AD73" i="44"/>
  <c r="Z60" i="44"/>
  <c r="Z65" i="44"/>
  <c r="Z70" i="44"/>
  <c r="Z73" i="44"/>
  <c r="X60" i="44"/>
  <c r="X65" i="44"/>
  <c r="X70" i="44"/>
  <c r="X73" i="44"/>
  <c r="W60" i="44"/>
  <c r="W65" i="44"/>
  <c r="W70" i="44"/>
  <c r="W73" i="44"/>
  <c r="V60" i="44"/>
  <c r="V65" i="44"/>
  <c r="V70" i="44"/>
  <c r="V73" i="44"/>
  <c r="U60" i="44"/>
  <c r="R60" i="44"/>
  <c r="R65" i="44"/>
  <c r="R70" i="44"/>
  <c r="R73" i="44"/>
  <c r="N60" i="44"/>
  <c r="N65" i="44"/>
  <c r="N70" i="44"/>
  <c r="N73" i="44"/>
  <c r="M60" i="44"/>
  <c r="L60" i="44"/>
  <c r="L65" i="44"/>
  <c r="L70" i="44"/>
  <c r="L73" i="44"/>
  <c r="K60" i="44"/>
  <c r="H60" i="44"/>
  <c r="H65" i="44"/>
  <c r="AC59" i="44"/>
  <c r="J59" i="44"/>
  <c r="AB59" i="44"/>
  <c r="I59" i="44"/>
  <c r="AA59" i="44"/>
  <c r="AC58" i="44"/>
  <c r="AB58" i="44"/>
  <c r="AA58" i="44"/>
  <c r="AC57" i="44"/>
  <c r="AB57" i="44"/>
  <c r="AA57" i="44"/>
  <c r="AC56" i="44"/>
  <c r="AB56" i="44"/>
  <c r="AA56" i="44"/>
  <c r="AC55" i="44"/>
  <c r="AA55" i="44"/>
  <c r="J55" i="44"/>
  <c r="I55" i="44"/>
  <c r="D55" i="44"/>
  <c r="AB55" i="44"/>
  <c r="AC54" i="44"/>
  <c r="G54" i="44"/>
  <c r="G60" i="44"/>
  <c r="F54" i="44"/>
  <c r="D54" i="44"/>
  <c r="AB54" i="44"/>
  <c r="C54" i="44"/>
  <c r="AA54" i="44"/>
  <c r="Y60" i="44"/>
  <c r="Y65" i="44"/>
  <c r="Y70" i="44"/>
  <c r="Y73" i="44"/>
  <c r="I53" i="44"/>
  <c r="C53" i="44"/>
  <c r="AC52" i="44"/>
  <c r="AB52" i="44"/>
  <c r="AA52" i="44"/>
  <c r="AC51" i="44"/>
  <c r="AB51" i="44"/>
  <c r="AA51" i="44"/>
  <c r="AC50" i="44"/>
  <c r="AB50" i="44"/>
  <c r="AA50" i="44"/>
  <c r="AC49" i="44"/>
  <c r="AA49" i="44"/>
  <c r="AC48" i="44"/>
  <c r="AB48" i="44"/>
  <c r="AA48" i="44"/>
  <c r="AC47" i="44"/>
  <c r="AA47" i="44"/>
  <c r="AC46" i="44"/>
  <c r="AB46" i="44"/>
  <c r="AA46" i="44"/>
  <c r="AC45" i="44"/>
  <c r="AB45" i="44"/>
  <c r="AA45" i="44"/>
  <c r="AC44" i="44"/>
  <c r="AB44" i="44"/>
  <c r="AA44" i="44"/>
  <c r="AA43" i="44"/>
  <c r="P43" i="44"/>
  <c r="AB43" i="44"/>
  <c r="AC42" i="44"/>
  <c r="AB42" i="44"/>
  <c r="AA42" i="44"/>
  <c r="AC41" i="44"/>
  <c r="AB41" i="44"/>
  <c r="AA41" i="44"/>
  <c r="AC40" i="44"/>
  <c r="AB40" i="44"/>
  <c r="AA40" i="44"/>
  <c r="D40" i="44"/>
  <c r="AC39" i="44"/>
  <c r="AB39" i="44"/>
  <c r="AA39" i="44"/>
  <c r="AC38" i="44"/>
  <c r="AB38" i="44"/>
  <c r="AA38" i="44"/>
  <c r="AC37" i="44"/>
  <c r="AB37" i="44"/>
  <c r="AA37" i="44"/>
  <c r="AC36" i="44"/>
  <c r="AB36" i="44"/>
  <c r="AA36" i="44"/>
  <c r="AC35" i="44"/>
  <c r="AB35" i="44"/>
  <c r="AA35" i="44"/>
  <c r="AC34" i="44"/>
  <c r="AB34" i="44"/>
  <c r="AA34" i="44"/>
  <c r="AB33" i="44"/>
  <c r="AA33" i="44"/>
  <c r="AC32" i="44"/>
  <c r="AB32" i="44"/>
  <c r="AA32" i="44"/>
  <c r="AC31" i="44"/>
  <c r="AB31" i="44"/>
  <c r="AA31" i="44"/>
  <c r="AC30" i="44"/>
  <c r="AB30" i="44"/>
  <c r="AA30" i="44"/>
  <c r="AC29" i="44"/>
  <c r="AB29" i="44"/>
  <c r="AA29" i="44"/>
  <c r="AC28" i="44"/>
  <c r="AB28" i="44"/>
  <c r="AA28" i="44"/>
  <c r="AC27" i="44"/>
  <c r="AB27" i="44"/>
  <c r="AA27" i="44"/>
  <c r="AC26" i="44"/>
  <c r="AA26" i="44"/>
  <c r="AC25" i="44"/>
  <c r="AB25" i="44"/>
  <c r="AA25" i="44"/>
  <c r="AC24" i="44"/>
  <c r="AB24" i="44"/>
  <c r="AA24" i="44"/>
  <c r="AA23" i="44"/>
  <c r="AC22" i="44"/>
  <c r="AA22" i="44"/>
  <c r="P60" i="44"/>
  <c r="P65" i="44"/>
  <c r="P70" i="44"/>
  <c r="P73" i="44"/>
  <c r="O22" i="44"/>
  <c r="O60" i="44"/>
  <c r="O65" i="44"/>
  <c r="O70" i="44"/>
  <c r="O73" i="44"/>
  <c r="AC21" i="44"/>
  <c r="AB21" i="44"/>
  <c r="AA21" i="44"/>
  <c r="AC20" i="44"/>
  <c r="AB20" i="44"/>
  <c r="AA20" i="44"/>
  <c r="AC19" i="44"/>
  <c r="AA19" i="44"/>
  <c r="AB19" i="44"/>
  <c r="AC18" i="44"/>
  <c r="AB18" i="44"/>
  <c r="AA18" i="44"/>
  <c r="AC17" i="44"/>
  <c r="AB17" i="44"/>
  <c r="AA17" i="44"/>
  <c r="AC16" i="44"/>
  <c r="AB16" i="44"/>
  <c r="AA16" i="44"/>
  <c r="AC15" i="44"/>
  <c r="AB15" i="44"/>
  <c r="AA15" i="44"/>
  <c r="AC14" i="44"/>
  <c r="AB14" i="44"/>
  <c r="AA14" i="44"/>
  <c r="AC13" i="44"/>
  <c r="AB13" i="44"/>
  <c r="AA13" i="44"/>
  <c r="AC12" i="44"/>
  <c r="AB12" i="44"/>
  <c r="AA12" i="44"/>
  <c r="AC11" i="44"/>
  <c r="AB11" i="44"/>
  <c r="AA11" i="44"/>
  <c r="AC10" i="44"/>
  <c r="AA10" i="44"/>
  <c r="AC9" i="44"/>
  <c r="AB9" i="44"/>
  <c r="AA9" i="44"/>
  <c r="AC8" i="44"/>
  <c r="I8" i="44"/>
  <c r="I60" i="44"/>
  <c r="I65" i="44"/>
  <c r="I70" i="44"/>
  <c r="I73" i="44"/>
  <c r="D8" i="44"/>
  <c r="AA7" i="44"/>
  <c r="S53" i="43"/>
  <c r="S26" i="43"/>
  <c r="P22" i="43"/>
  <c r="P60" i="43"/>
  <c r="J53" i="43"/>
  <c r="V60" i="43"/>
  <c r="P43" i="43"/>
  <c r="J19" i="43"/>
  <c r="J13" i="43"/>
  <c r="AB13" i="43"/>
  <c r="Y53" i="43"/>
  <c r="Y60" i="43"/>
  <c r="D47" i="43"/>
  <c r="D8" i="43"/>
  <c r="D53" i="43"/>
  <c r="G60" i="43"/>
  <c r="D40" i="43"/>
  <c r="D55" i="43"/>
  <c r="AB55" i="43"/>
  <c r="G61" i="43"/>
  <c r="D61" i="43"/>
  <c r="J67" i="43"/>
  <c r="J69" i="43"/>
  <c r="G67" i="43"/>
  <c r="D67" i="43"/>
  <c r="J59" i="43"/>
  <c r="AB59" i="43"/>
  <c r="J55" i="43"/>
  <c r="J8" i="43"/>
  <c r="G54" i="43"/>
  <c r="D54" i="43"/>
  <c r="AF69" i="43"/>
  <c r="AE69" i="43"/>
  <c r="AD69" i="43"/>
  <c r="Z69" i="43"/>
  <c r="Y69" i="43"/>
  <c r="X69" i="43"/>
  <c r="W69" i="43"/>
  <c r="V69" i="43"/>
  <c r="U69" i="43"/>
  <c r="T69" i="43"/>
  <c r="S69" i="43"/>
  <c r="R69" i="43"/>
  <c r="Q69" i="43"/>
  <c r="P69" i="43"/>
  <c r="O69" i="43"/>
  <c r="N69" i="43"/>
  <c r="M69" i="43"/>
  <c r="L69" i="43"/>
  <c r="K69" i="43"/>
  <c r="I69" i="43"/>
  <c r="H69" i="43"/>
  <c r="G69" i="43"/>
  <c r="F69" i="43"/>
  <c r="E69" i="43"/>
  <c r="D69" i="43"/>
  <c r="C69" i="43"/>
  <c r="AC68" i="43"/>
  <c r="AB68" i="43"/>
  <c r="AC67" i="43"/>
  <c r="AA67" i="43"/>
  <c r="AC66" i="43"/>
  <c r="AB66" i="43"/>
  <c r="Z64" i="43"/>
  <c r="Y64" i="43"/>
  <c r="X64" i="43"/>
  <c r="W64" i="43"/>
  <c r="V64" i="43"/>
  <c r="U64" i="43"/>
  <c r="T64" i="43"/>
  <c r="S64" i="43"/>
  <c r="R64" i="43"/>
  <c r="Q64" i="43"/>
  <c r="P64" i="43"/>
  <c r="O64" i="43"/>
  <c r="N64" i="43"/>
  <c r="M64" i="43"/>
  <c r="L64" i="43"/>
  <c r="K64" i="43"/>
  <c r="J64" i="43"/>
  <c r="I64" i="43"/>
  <c r="H64" i="43"/>
  <c r="G64" i="43"/>
  <c r="F64" i="43"/>
  <c r="E64" i="43"/>
  <c r="D64" i="43"/>
  <c r="C64" i="43"/>
  <c r="AC63" i="43"/>
  <c r="AB63" i="43"/>
  <c r="AA63" i="43"/>
  <c r="AF62" i="43"/>
  <c r="AE62" i="43"/>
  <c r="AD62" i="43"/>
  <c r="Z62" i="43"/>
  <c r="Y62" i="43"/>
  <c r="X62" i="43"/>
  <c r="W62" i="43"/>
  <c r="V62" i="43"/>
  <c r="U62" i="43"/>
  <c r="T62" i="43"/>
  <c r="S62" i="43"/>
  <c r="R62" i="43"/>
  <c r="Q62" i="43"/>
  <c r="P62" i="43"/>
  <c r="O62" i="43"/>
  <c r="N62" i="43"/>
  <c r="M62" i="43"/>
  <c r="L62" i="43"/>
  <c r="K62" i="43"/>
  <c r="J62" i="43"/>
  <c r="H62" i="43"/>
  <c r="G62" i="43"/>
  <c r="F62" i="43"/>
  <c r="E62" i="43"/>
  <c r="D62" i="43"/>
  <c r="AC61" i="43"/>
  <c r="AB61" i="43"/>
  <c r="I61" i="43"/>
  <c r="I62" i="43"/>
  <c r="C61" i="43"/>
  <c r="C62" i="43"/>
  <c r="AF60" i="43"/>
  <c r="AE60" i="43"/>
  <c r="AD60" i="43"/>
  <c r="Z60" i="43"/>
  <c r="X60" i="43"/>
  <c r="W60" i="43"/>
  <c r="U60" i="43"/>
  <c r="R60" i="43"/>
  <c r="N60" i="43"/>
  <c r="M60" i="43"/>
  <c r="L60" i="43"/>
  <c r="H60" i="43"/>
  <c r="AC59" i="43"/>
  <c r="I59" i="43"/>
  <c r="AA59" i="43"/>
  <c r="AC58" i="43"/>
  <c r="AB58" i="43"/>
  <c r="AA58" i="43"/>
  <c r="AC57" i="43"/>
  <c r="AB57" i="43"/>
  <c r="AA57" i="43"/>
  <c r="AB56" i="43"/>
  <c r="AA56" i="43"/>
  <c r="K60" i="43"/>
  <c r="AC55" i="43"/>
  <c r="I55" i="43"/>
  <c r="AA55" i="43"/>
  <c r="AC54" i="43"/>
  <c r="AB54" i="43"/>
  <c r="C54" i="43"/>
  <c r="I53" i="43"/>
  <c r="E60" i="43"/>
  <c r="C53" i="43"/>
  <c r="F53" i="43"/>
  <c r="AC52" i="43"/>
  <c r="AB52" i="43"/>
  <c r="AA52" i="43"/>
  <c r="AC51" i="43"/>
  <c r="AB51" i="43"/>
  <c r="AA51" i="43"/>
  <c r="AC50" i="43"/>
  <c r="AB50" i="43"/>
  <c r="AA50" i="43"/>
  <c r="AC49" i="43"/>
  <c r="AA49" i="43"/>
  <c r="AC48" i="43"/>
  <c r="AB48" i="43"/>
  <c r="AA48" i="43"/>
  <c r="AC47" i="43"/>
  <c r="AB47" i="43"/>
  <c r="AA47" i="43"/>
  <c r="AC46" i="43"/>
  <c r="AB46" i="43"/>
  <c r="AA46" i="43"/>
  <c r="AC45" i="43"/>
  <c r="AB45" i="43"/>
  <c r="AA45" i="43"/>
  <c r="AC44" i="43"/>
  <c r="AB44" i="43"/>
  <c r="AA44" i="43"/>
  <c r="AC43" i="43"/>
  <c r="AA43" i="43"/>
  <c r="AB43" i="43"/>
  <c r="AC42" i="43"/>
  <c r="AB42" i="43"/>
  <c r="AA42" i="43"/>
  <c r="AC41" i="43"/>
  <c r="AB41" i="43"/>
  <c r="AA41" i="43"/>
  <c r="AC40" i="43"/>
  <c r="AB40" i="43"/>
  <c r="AA40" i="43"/>
  <c r="AC39" i="43"/>
  <c r="AB39" i="43"/>
  <c r="AA39" i="43"/>
  <c r="AC38" i="43"/>
  <c r="AB38" i="43"/>
  <c r="AA38" i="43"/>
  <c r="AC37" i="43"/>
  <c r="AB37" i="43"/>
  <c r="AA37" i="43"/>
  <c r="AC36" i="43"/>
  <c r="AB36" i="43"/>
  <c r="AA36" i="43"/>
  <c r="AC35" i="43"/>
  <c r="AB35" i="43"/>
  <c r="AA35" i="43"/>
  <c r="AC34" i="43"/>
  <c r="AB34" i="43"/>
  <c r="AA34" i="43"/>
  <c r="AB33" i="43"/>
  <c r="AA33" i="43"/>
  <c r="AC32" i="43"/>
  <c r="AB32" i="43"/>
  <c r="AA32" i="43"/>
  <c r="AC31" i="43"/>
  <c r="AB31" i="43"/>
  <c r="AA31" i="43"/>
  <c r="AC30" i="43"/>
  <c r="AB30" i="43"/>
  <c r="AA30" i="43"/>
  <c r="AC29" i="43"/>
  <c r="AB29" i="43"/>
  <c r="AA29" i="43"/>
  <c r="AC28" i="43"/>
  <c r="AB28" i="43"/>
  <c r="AA28" i="43"/>
  <c r="AC27" i="43"/>
  <c r="AB27" i="43"/>
  <c r="AA27" i="43"/>
  <c r="AA26" i="43"/>
  <c r="AC26" i="43"/>
  <c r="AC25" i="43"/>
  <c r="AB25" i="43"/>
  <c r="AA25" i="43"/>
  <c r="AC24" i="43"/>
  <c r="AB24" i="43"/>
  <c r="AA24" i="43"/>
  <c r="AC23" i="43"/>
  <c r="AB23" i="43"/>
  <c r="AA23" i="43"/>
  <c r="Q60" i="43"/>
  <c r="O22" i="43"/>
  <c r="O60" i="43"/>
  <c r="AC21" i="43"/>
  <c r="AB21" i="43"/>
  <c r="AA21" i="43"/>
  <c r="AC20" i="43"/>
  <c r="AB20" i="43"/>
  <c r="AA20" i="43"/>
  <c r="AC19" i="43"/>
  <c r="AB19" i="43"/>
  <c r="AA19" i="43"/>
  <c r="AC18" i="43"/>
  <c r="AB18" i="43"/>
  <c r="AA18" i="43"/>
  <c r="AC17" i="43"/>
  <c r="AA17" i="43"/>
  <c r="AB17" i="43"/>
  <c r="AC16" i="43"/>
  <c r="AB16" i="43"/>
  <c r="AA16" i="43"/>
  <c r="AC15" i="43"/>
  <c r="AB15" i="43"/>
  <c r="AA15" i="43"/>
  <c r="AC14" i="43"/>
  <c r="AB14" i="43"/>
  <c r="AA14" i="43"/>
  <c r="AC13" i="43"/>
  <c r="AA13" i="43"/>
  <c r="AC12" i="43"/>
  <c r="AB12" i="43"/>
  <c r="AA12" i="43"/>
  <c r="AC11" i="43"/>
  <c r="AB11" i="43"/>
  <c r="AA11" i="43"/>
  <c r="AC10" i="43"/>
  <c r="AB10" i="43"/>
  <c r="AA10" i="43"/>
  <c r="AA9" i="43"/>
  <c r="AB9" i="43"/>
  <c r="AC8" i="43"/>
  <c r="I8" i="43"/>
  <c r="AA7" i="43"/>
  <c r="AP62" i="42"/>
  <c r="AM62" i="42"/>
  <c r="AM69" i="42"/>
  <c r="AM65" i="42"/>
  <c r="AM70" i="42"/>
  <c r="AM73" i="42"/>
  <c r="AM60" i="42"/>
  <c r="I53" i="42"/>
  <c r="I60" i="42"/>
  <c r="I65" i="42"/>
  <c r="F53" i="42"/>
  <c r="E53" i="42"/>
  <c r="V22" i="42"/>
  <c r="U22" i="42"/>
  <c r="Z9" i="42"/>
  <c r="Z26" i="42"/>
  <c r="AL26" i="42"/>
  <c r="Y26" i="42"/>
  <c r="S22" i="42"/>
  <c r="K53" i="42"/>
  <c r="G54" i="42"/>
  <c r="G53" i="42"/>
  <c r="AI53" i="42"/>
  <c r="C54" i="42"/>
  <c r="AI54" i="42"/>
  <c r="C53" i="42"/>
  <c r="K55" i="42"/>
  <c r="AI55" i="42"/>
  <c r="K59" i="42"/>
  <c r="K61" i="42"/>
  <c r="AI61" i="42"/>
  <c r="C61" i="42"/>
  <c r="K8" i="42"/>
  <c r="AI8" i="42"/>
  <c r="AE69" i="42"/>
  <c r="AE65" i="42"/>
  <c r="AE70" i="42"/>
  <c r="AE73" i="42"/>
  <c r="AE64" i="42"/>
  <c r="AE62" i="42"/>
  <c r="AE60" i="42"/>
  <c r="AA73" i="42"/>
  <c r="AA70" i="42"/>
  <c r="AA69" i="42"/>
  <c r="AA65" i="42"/>
  <c r="AA64" i="42"/>
  <c r="AI64" i="42"/>
  <c r="AA62" i="42"/>
  <c r="AA60" i="42"/>
  <c r="W69" i="42"/>
  <c r="W64" i="42"/>
  <c r="W62" i="42"/>
  <c r="W60" i="42"/>
  <c r="S69" i="42"/>
  <c r="S64" i="42"/>
  <c r="S62" i="42"/>
  <c r="S60" i="42"/>
  <c r="S65" i="42"/>
  <c r="S70" i="42"/>
  <c r="S73" i="42"/>
  <c r="O69" i="42"/>
  <c r="O64" i="42"/>
  <c r="O62" i="42"/>
  <c r="O60" i="42"/>
  <c r="O65" i="42"/>
  <c r="O70" i="42"/>
  <c r="O73" i="42"/>
  <c r="K69" i="42"/>
  <c r="K64" i="42"/>
  <c r="K62" i="42"/>
  <c r="G69" i="42"/>
  <c r="G70" i="42"/>
  <c r="G73" i="42"/>
  <c r="G64" i="42"/>
  <c r="G62" i="42"/>
  <c r="G60" i="42"/>
  <c r="G65" i="42"/>
  <c r="C69" i="42"/>
  <c r="C64" i="42"/>
  <c r="C62" i="42"/>
  <c r="AI67" i="42"/>
  <c r="AI9" i="42"/>
  <c r="AI10" i="42"/>
  <c r="AI11" i="42"/>
  <c r="AI12" i="42"/>
  <c r="AI13" i="42"/>
  <c r="AI14" i="42"/>
  <c r="AI15" i="42"/>
  <c r="AI16" i="42"/>
  <c r="AI17" i="42"/>
  <c r="AI18" i="42"/>
  <c r="AI19" i="42"/>
  <c r="AI20" i="42"/>
  <c r="AI21" i="42"/>
  <c r="AI22" i="42"/>
  <c r="AI23" i="42"/>
  <c r="AI24" i="42"/>
  <c r="AI25" i="42"/>
  <c r="AI26" i="42"/>
  <c r="AI27" i="42"/>
  <c r="AI28" i="42"/>
  <c r="AI29" i="42"/>
  <c r="AI30" i="42"/>
  <c r="AI31" i="42"/>
  <c r="AI32" i="42"/>
  <c r="AI33" i="42"/>
  <c r="AI34" i="42"/>
  <c r="AI35" i="42"/>
  <c r="AI36" i="42"/>
  <c r="AI37" i="42"/>
  <c r="AI38" i="42"/>
  <c r="AI39" i="42"/>
  <c r="AI40" i="42"/>
  <c r="AI41" i="42"/>
  <c r="AI42" i="42"/>
  <c r="AI43" i="42"/>
  <c r="AI44" i="42"/>
  <c r="AI45" i="42"/>
  <c r="AI46" i="42"/>
  <c r="AI47" i="42"/>
  <c r="AI48" i="42"/>
  <c r="AI49" i="42"/>
  <c r="AI50" i="42"/>
  <c r="AI51" i="42"/>
  <c r="AI52" i="42"/>
  <c r="AI56" i="42"/>
  <c r="AI57" i="42"/>
  <c r="AI58" i="42"/>
  <c r="AI63" i="42"/>
  <c r="AI7" i="42"/>
  <c r="R60" i="42"/>
  <c r="R65" i="42"/>
  <c r="R70" i="42"/>
  <c r="R73" i="42"/>
  <c r="AP69" i="42"/>
  <c r="AO69" i="42"/>
  <c r="AN69" i="42"/>
  <c r="AH69" i="42"/>
  <c r="AG69" i="42"/>
  <c r="AF69" i="42"/>
  <c r="AD69" i="42"/>
  <c r="AC69" i="42"/>
  <c r="AB69" i="42"/>
  <c r="Z69" i="42"/>
  <c r="Y69" i="42"/>
  <c r="X69" i="42"/>
  <c r="V69" i="42"/>
  <c r="U69" i="42"/>
  <c r="T69" i="42"/>
  <c r="R69" i="42"/>
  <c r="Q69" i="42"/>
  <c r="P69" i="42"/>
  <c r="N69" i="42"/>
  <c r="M69" i="42"/>
  <c r="L69" i="42"/>
  <c r="J69" i="42"/>
  <c r="I69" i="42"/>
  <c r="H69" i="42"/>
  <c r="F69" i="42"/>
  <c r="E69" i="42"/>
  <c r="D69" i="42"/>
  <c r="AJ69" i="42"/>
  <c r="AL68" i="42"/>
  <c r="AK68" i="42"/>
  <c r="AL67" i="42"/>
  <c r="AK67" i="42"/>
  <c r="AJ67" i="42"/>
  <c r="AL66" i="42"/>
  <c r="AK66" i="42"/>
  <c r="AJ66" i="42"/>
  <c r="AH64" i="42"/>
  <c r="AG64" i="42"/>
  <c r="AF64" i="42"/>
  <c r="AD64" i="42"/>
  <c r="AC64" i="42"/>
  <c r="AB64" i="42"/>
  <c r="Z64" i="42"/>
  <c r="Y64" i="42"/>
  <c r="X64" i="42"/>
  <c r="V64" i="42"/>
  <c r="U64" i="42"/>
  <c r="AK64" i="42"/>
  <c r="T64" i="42"/>
  <c r="R64" i="42"/>
  <c r="Q64" i="42"/>
  <c r="P64" i="42"/>
  <c r="N64" i="42"/>
  <c r="M64" i="42"/>
  <c r="L64" i="42"/>
  <c r="J64" i="42"/>
  <c r="I64" i="42"/>
  <c r="H64" i="42"/>
  <c r="F64" i="42"/>
  <c r="AL64" i="42"/>
  <c r="E64" i="42"/>
  <c r="D64" i="42"/>
  <c r="AJ64" i="42"/>
  <c r="AL63" i="42"/>
  <c r="AK63" i="42"/>
  <c r="AJ63" i="42"/>
  <c r="AO62" i="42"/>
  <c r="AO65" i="42"/>
  <c r="AO70" i="42"/>
  <c r="AO73" i="42"/>
  <c r="AN62" i="42"/>
  <c r="AH62" i="42"/>
  <c r="AG62" i="42"/>
  <c r="AF62" i="42"/>
  <c r="AD62" i="42"/>
  <c r="AC62" i="42"/>
  <c r="AB62" i="42"/>
  <c r="Z62" i="42"/>
  <c r="X62" i="42"/>
  <c r="V62" i="42"/>
  <c r="U62" i="42"/>
  <c r="T62" i="42"/>
  <c r="R62" i="42"/>
  <c r="Q62" i="42"/>
  <c r="P62" i="42"/>
  <c r="N62" i="42"/>
  <c r="M62" i="42"/>
  <c r="J62" i="42"/>
  <c r="I62" i="42"/>
  <c r="H62" i="42"/>
  <c r="F62" i="42"/>
  <c r="AL62" i="42"/>
  <c r="E62" i="42"/>
  <c r="D62" i="42"/>
  <c r="AJ62" i="42"/>
  <c r="AL61" i="42"/>
  <c r="AK61" i="42"/>
  <c r="L61" i="42"/>
  <c r="L62" i="42"/>
  <c r="AP60" i="42"/>
  <c r="AP65" i="42"/>
  <c r="AP70" i="42"/>
  <c r="AP73" i="42"/>
  <c r="AO60" i="42"/>
  <c r="AN60" i="42"/>
  <c r="AN65" i="42"/>
  <c r="AN70" i="42"/>
  <c r="AN73" i="42"/>
  <c r="AH60" i="42"/>
  <c r="AH65" i="42"/>
  <c r="AH70" i="42"/>
  <c r="AH73" i="42"/>
  <c r="AG60" i="42"/>
  <c r="AG65" i="42"/>
  <c r="AG70" i="42"/>
  <c r="AG73" i="42"/>
  <c r="AF60" i="42"/>
  <c r="AF65" i="42"/>
  <c r="AF70" i="42"/>
  <c r="AF73" i="42"/>
  <c r="AD60" i="42"/>
  <c r="AD65" i="42"/>
  <c r="AD70" i="42"/>
  <c r="AD73" i="42"/>
  <c r="AC60" i="42"/>
  <c r="AC65" i="42"/>
  <c r="AC70" i="42"/>
  <c r="AC73" i="42"/>
  <c r="AB60" i="42"/>
  <c r="AB65" i="42"/>
  <c r="AB70" i="42"/>
  <c r="AB73" i="42"/>
  <c r="X60" i="42"/>
  <c r="X65" i="42"/>
  <c r="X70" i="42"/>
  <c r="X73" i="42"/>
  <c r="V60" i="42"/>
  <c r="V65" i="42"/>
  <c r="V70" i="42"/>
  <c r="V73" i="42"/>
  <c r="Q60" i="42"/>
  <c r="Q65" i="42"/>
  <c r="Q70" i="42"/>
  <c r="Q73" i="42"/>
  <c r="P60" i="42"/>
  <c r="P65" i="42"/>
  <c r="P70" i="42"/>
  <c r="P73" i="42"/>
  <c r="J60" i="42"/>
  <c r="H60" i="42"/>
  <c r="H65" i="42"/>
  <c r="H70" i="42"/>
  <c r="H73" i="42"/>
  <c r="F60" i="42"/>
  <c r="AL59" i="42"/>
  <c r="AK59" i="42"/>
  <c r="AJ59" i="42"/>
  <c r="AL58" i="42"/>
  <c r="AK58" i="42"/>
  <c r="AJ58" i="42"/>
  <c r="AL57" i="42"/>
  <c r="AK57" i="42"/>
  <c r="AJ57" i="42"/>
  <c r="AJ56" i="42"/>
  <c r="N56" i="42"/>
  <c r="N60" i="42"/>
  <c r="N65" i="42"/>
  <c r="AK56" i="42"/>
  <c r="AL55" i="42"/>
  <c r="AJ55" i="42"/>
  <c r="M55" i="42"/>
  <c r="AK55" i="42"/>
  <c r="L55" i="42"/>
  <c r="AL54" i="42"/>
  <c r="AK54" i="42"/>
  <c r="AJ54" i="42"/>
  <c r="D54" i="42"/>
  <c r="Z53" i="42"/>
  <c r="AL53" i="42"/>
  <c r="X53" i="42"/>
  <c r="T53" i="42"/>
  <c r="AK53" i="42"/>
  <c r="L53" i="42"/>
  <c r="E60" i="42"/>
  <c r="D53" i="42"/>
  <c r="AJ53" i="42"/>
  <c r="AL52" i="42"/>
  <c r="AK52" i="42"/>
  <c r="L52" i="42"/>
  <c r="AJ52" i="42"/>
  <c r="AL51" i="42"/>
  <c r="AK51" i="42"/>
  <c r="AJ51" i="42"/>
  <c r="AL50" i="42"/>
  <c r="AK50" i="42"/>
  <c r="AJ50" i="42"/>
  <c r="AL49" i="42"/>
  <c r="AJ49" i="42"/>
  <c r="AL48" i="42"/>
  <c r="AK48" i="42"/>
  <c r="AJ48" i="42"/>
  <c r="AL47" i="42"/>
  <c r="AK47" i="42"/>
  <c r="AJ47" i="42"/>
  <c r="AL46" i="42"/>
  <c r="AK46" i="42"/>
  <c r="AJ46" i="42"/>
  <c r="AL45" i="42"/>
  <c r="AK45" i="42"/>
  <c r="AJ45" i="42"/>
  <c r="AL44" i="42"/>
  <c r="AK44" i="42"/>
  <c r="AJ44" i="42"/>
  <c r="AL43" i="42"/>
  <c r="AJ43" i="42"/>
  <c r="Y43" i="42"/>
  <c r="AK43" i="42"/>
  <c r="AL42" i="42"/>
  <c r="AK42" i="42"/>
  <c r="AJ42" i="42"/>
  <c r="AL41" i="42"/>
  <c r="AK41" i="42"/>
  <c r="AJ41" i="42"/>
  <c r="AL40" i="42"/>
  <c r="AK40" i="42"/>
  <c r="AJ40" i="42"/>
  <c r="AL39" i="42"/>
  <c r="AK39" i="42"/>
  <c r="AJ39" i="42"/>
  <c r="AL38" i="42"/>
  <c r="AK38" i="42"/>
  <c r="AJ38" i="42"/>
  <c r="AL37" i="42"/>
  <c r="AK37" i="42"/>
  <c r="AJ37" i="42"/>
  <c r="AL36" i="42"/>
  <c r="AK36" i="42"/>
  <c r="AJ36" i="42"/>
  <c r="AL35" i="42"/>
  <c r="AK35" i="42"/>
  <c r="AJ35" i="42"/>
  <c r="AL34" i="42"/>
  <c r="AK34" i="42"/>
  <c r="AJ34" i="42"/>
  <c r="AK33" i="42"/>
  <c r="AJ33" i="42"/>
  <c r="AL32" i="42"/>
  <c r="AK32" i="42"/>
  <c r="AJ32" i="42"/>
  <c r="AL31" i="42"/>
  <c r="AK31" i="42"/>
  <c r="AJ31" i="42"/>
  <c r="AL30" i="42"/>
  <c r="AK30" i="42"/>
  <c r="AJ30" i="42"/>
  <c r="AL29" i="42"/>
  <c r="AK29" i="42"/>
  <c r="AJ29" i="42"/>
  <c r="AL28" i="42"/>
  <c r="AK28" i="42"/>
  <c r="AL27" i="42"/>
  <c r="AK27" i="42"/>
  <c r="AJ27" i="42"/>
  <c r="AK26" i="42"/>
  <c r="Y60" i="42"/>
  <c r="AL25" i="42"/>
  <c r="AK25" i="42"/>
  <c r="AL24" i="42"/>
  <c r="AK24" i="42"/>
  <c r="AL23" i="42"/>
  <c r="AK23" i="42"/>
  <c r="AL22" i="42"/>
  <c r="AJ22" i="42"/>
  <c r="U60" i="42"/>
  <c r="U65" i="42"/>
  <c r="U70" i="42"/>
  <c r="U73" i="42"/>
  <c r="T22" i="42"/>
  <c r="T60" i="42"/>
  <c r="T65" i="42"/>
  <c r="T70" i="42"/>
  <c r="T73" i="42"/>
  <c r="AL21" i="42"/>
  <c r="AK21" i="42"/>
  <c r="AJ21" i="42"/>
  <c r="AL20" i="42"/>
  <c r="AK20" i="42"/>
  <c r="AL19" i="42"/>
  <c r="AK19" i="42"/>
  <c r="AJ19" i="42"/>
  <c r="AL18" i="42"/>
  <c r="AK18" i="42"/>
  <c r="AJ18" i="42"/>
  <c r="AL17" i="42"/>
  <c r="AJ17" i="42"/>
  <c r="M17" i="42"/>
  <c r="AK17" i="42"/>
  <c r="AL16" i="42"/>
  <c r="AK16" i="42"/>
  <c r="AJ16" i="42"/>
  <c r="AL15" i="42"/>
  <c r="AK15" i="42"/>
  <c r="AL14" i="42"/>
  <c r="AK14" i="42"/>
  <c r="AJ14" i="42"/>
  <c r="AL13" i="42"/>
  <c r="AJ13" i="42"/>
  <c r="AK13" i="42"/>
  <c r="AL12" i="42"/>
  <c r="AK12" i="42"/>
  <c r="AJ12" i="42"/>
  <c r="AL11" i="42"/>
  <c r="AK11" i="42"/>
  <c r="AJ11" i="42"/>
  <c r="AL10" i="42"/>
  <c r="AK10" i="42"/>
  <c r="AJ10" i="42"/>
  <c r="AL9" i="42"/>
  <c r="AK9" i="42"/>
  <c r="M9" i="42"/>
  <c r="L9" i="42"/>
  <c r="AJ9" i="42"/>
  <c r="AL8" i="42"/>
  <c r="M8" i="42"/>
  <c r="AK8" i="42"/>
  <c r="L8" i="42"/>
  <c r="AJ8" i="42"/>
  <c r="Y62" i="42"/>
  <c r="AK62" i="42"/>
  <c r="AL56" i="42"/>
  <c r="L60" i="42"/>
  <c r="L65" i="42"/>
  <c r="L70" i="42"/>
  <c r="L73" i="42"/>
  <c r="M60" i="42"/>
  <c r="AK22" i="42"/>
  <c r="D60" i="42"/>
  <c r="AJ60" i="42"/>
  <c r="AJ65" i="42"/>
  <c r="AJ70" i="42"/>
  <c r="AJ73" i="42"/>
  <c r="AJ61" i="42"/>
  <c r="W65" i="42"/>
  <c r="W70" i="42"/>
  <c r="W73" i="42"/>
  <c r="C60" i="42"/>
  <c r="C65" i="42"/>
  <c r="C70" i="42"/>
  <c r="C73" i="42"/>
  <c r="K60" i="42"/>
  <c r="K65" i="42"/>
  <c r="K70" i="42"/>
  <c r="K73" i="42"/>
  <c r="AI59" i="42"/>
  <c r="AI62" i="42"/>
  <c r="D65" i="42"/>
  <c r="D70" i="42"/>
  <c r="D73" i="42"/>
  <c r="AI60" i="42"/>
  <c r="AI65" i="42"/>
  <c r="I70" i="42"/>
  <c r="I73" i="42"/>
  <c r="E65" i="42"/>
  <c r="E70" i="42"/>
  <c r="E73" i="42"/>
  <c r="Y65" i="42"/>
  <c r="Y70" i="42"/>
  <c r="Y73" i="42"/>
  <c r="J65" i="42"/>
  <c r="J70" i="42"/>
  <c r="J73" i="42"/>
  <c r="F65" i="42"/>
  <c r="F70" i="42"/>
  <c r="F73" i="42"/>
  <c r="Z60" i="42"/>
  <c r="Z65" i="42"/>
  <c r="Z70" i="42"/>
  <c r="Z73" i="42"/>
  <c r="AK60" i="42"/>
  <c r="AK65" i="42"/>
  <c r="M65" i="42"/>
  <c r="M70" i="42"/>
  <c r="M73" i="42"/>
  <c r="AK69" i="42"/>
  <c r="AL69" i="42"/>
  <c r="N70" i="42"/>
  <c r="N73" i="42"/>
  <c r="AI69" i="42"/>
  <c r="AI70" i="42"/>
  <c r="AI73" i="42"/>
  <c r="AL60" i="42"/>
  <c r="AL65" i="42"/>
  <c r="AL70" i="42"/>
  <c r="AL73" i="42"/>
  <c r="AK70" i="42"/>
  <c r="AK73" i="42"/>
  <c r="D60" i="43"/>
  <c r="D65" i="43"/>
  <c r="D70" i="43"/>
  <c r="D73" i="43"/>
  <c r="AB67" i="43"/>
  <c r="AD65" i="43"/>
  <c r="S60" i="43"/>
  <c r="S65" i="43"/>
  <c r="S70" i="43"/>
  <c r="S73" i="43"/>
  <c r="Y65" i="43"/>
  <c r="Y70" i="43"/>
  <c r="Y73" i="43"/>
  <c r="AE65" i="43"/>
  <c r="AE70" i="43"/>
  <c r="AE73" i="43"/>
  <c r="V65" i="43"/>
  <c r="V70" i="43"/>
  <c r="V73" i="43"/>
  <c r="AB69" i="43"/>
  <c r="P65" i="43"/>
  <c r="P70" i="43"/>
  <c r="P73" i="43"/>
  <c r="M65" i="43"/>
  <c r="M70" i="43"/>
  <c r="M73" i="43"/>
  <c r="I60" i="43"/>
  <c r="I65" i="43"/>
  <c r="I70" i="43"/>
  <c r="I73" i="43"/>
  <c r="AC64" i="43"/>
  <c r="U65" i="43"/>
  <c r="U70" i="43"/>
  <c r="U73" i="43"/>
  <c r="X65" i="43"/>
  <c r="X70" i="43"/>
  <c r="X73" i="43"/>
  <c r="AD70" i="43"/>
  <c r="AD73" i="43"/>
  <c r="K65" i="43"/>
  <c r="K70" i="43"/>
  <c r="K73" i="43"/>
  <c r="AA64" i="43"/>
  <c r="AA69" i="43"/>
  <c r="Q65" i="43"/>
  <c r="Q70" i="43"/>
  <c r="Q73" i="43"/>
  <c r="N65" i="43"/>
  <c r="N70" i="43"/>
  <c r="N73" i="43"/>
  <c r="AC62" i="43"/>
  <c r="AA8" i="43"/>
  <c r="G65" i="43"/>
  <c r="G70" i="43"/>
  <c r="G73" i="43"/>
  <c r="W65" i="43"/>
  <c r="W70" i="43"/>
  <c r="W73" i="43"/>
  <c r="Z65" i="43"/>
  <c r="Z70" i="43"/>
  <c r="Z73" i="43"/>
  <c r="AF65" i="43"/>
  <c r="AF70" i="43"/>
  <c r="AF73" i="43"/>
  <c r="AB64" i="43"/>
  <c r="J60" i="43"/>
  <c r="J65" i="43"/>
  <c r="J70" i="43"/>
  <c r="J73" i="43"/>
  <c r="AC69" i="43"/>
  <c r="H65" i="43"/>
  <c r="H70" i="43"/>
  <c r="H73" i="43"/>
  <c r="AB8" i="43"/>
  <c r="T60" i="43"/>
  <c r="T65" i="43"/>
  <c r="T70" i="43"/>
  <c r="T73" i="43"/>
  <c r="O65" i="43"/>
  <c r="O70" i="43"/>
  <c r="O73" i="43"/>
  <c r="AB26" i="43"/>
  <c r="L65" i="43"/>
  <c r="L70" i="43"/>
  <c r="L73" i="43"/>
  <c r="R65" i="43"/>
  <c r="R70" i="43"/>
  <c r="R73" i="43"/>
  <c r="AB62" i="43"/>
  <c r="E65" i="43"/>
  <c r="E70" i="43"/>
  <c r="E73" i="43"/>
  <c r="AA53" i="43"/>
  <c r="AA62" i="43"/>
  <c r="C60" i="43"/>
  <c r="AC9" i="43"/>
  <c r="AA22" i="43"/>
  <c r="AB22" i="43"/>
  <c r="AB53" i="43"/>
  <c r="F54" i="43"/>
  <c r="AA54" i="43"/>
  <c r="AC56" i="43"/>
  <c r="AC22" i="43"/>
  <c r="AC53" i="43"/>
  <c r="AA61" i="43"/>
  <c r="AB60" i="43"/>
  <c r="AB65" i="43"/>
  <c r="AB70" i="43"/>
  <c r="AB73" i="43"/>
  <c r="AC60" i="43"/>
  <c r="AC65" i="43"/>
  <c r="AC70" i="43"/>
  <c r="AC73" i="43"/>
  <c r="F60" i="43"/>
  <c r="F65" i="43"/>
  <c r="F70" i="43"/>
  <c r="F73" i="43"/>
  <c r="C65" i="43"/>
  <c r="C70" i="43"/>
  <c r="C73" i="43"/>
  <c r="AA60" i="43"/>
  <c r="AA65" i="43"/>
  <c r="AA70" i="43"/>
  <c r="AA73" i="43"/>
  <c r="G65" i="44"/>
  <c r="G70" i="44"/>
  <c r="G73" i="44"/>
  <c r="AB62" i="44"/>
  <c r="AB8" i="44"/>
  <c r="C60" i="44"/>
  <c r="S60" i="44"/>
  <c r="AB60" i="44"/>
  <c r="AB65" i="44"/>
  <c r="AB70" i="44"/>
  <c r="AB73" i="44"/>
  <c r="AB22" i="44"/>
  <c r="F53" i="44"/>
  <c r="F60" i="44"/>
  <c r="F65" i="44"/>
  <c r="F70" i="44"/>
  <c r="F73" i="44"/>
  <c r="AB67" i="44"/>
  <c r="AB61" i="44"/>
  <c r="AA8" i="44"/>
  <c r="AA53" i="44"/>
  <c r="C65" i="44"/>
  <c r="C70" i="44"/>
  <c r="C73" i="44"/>
  <c r="AA60" i="44"/>
  <c r="AA65" i="44"/>
  <c r="AA70" i="44"/>
  <c r="AA73" i="44"/>
  <c r="AC69" i="44"/>
  <c r="H70" i="44"/>
  <c r="H73" i="44"/>
  <c r="E60" i="44"/>
  <c r="E65" i="44"/>
  <c r="E70" i="44"/>
  <c r="E73" i="44"/>
  <c r="AC23" i="44"/>
  <c r="K65" i="44"/>
  <c r="K70" i="44"/>
  <c r="K73" i="44"/>
  <c r="J65" i="44"/>
  <c r="J70" i="44"/>
  <c r="J73" i="44"/>
  <c r="AC60" i="44"/>
  <c r="AC65" i="44"/>
  <c r="AC70" i="44"/>
  <c r="AC73" i="44"/>
  <c r="T65" i="44"/>
  <c r="T70" i="44"/>
  <c r="T73" i="44"/>
  <c r="S65" i="44"/>
  <c r="S70" i="44"/>
  <c r="S73" i="44"/>
  <c r="AF65" i="45"/>
  <c r="AF70" i="45"/>
  <c r="AF73" i="45"/>
  <c r="E65" i="45"/>
  <c r="E70" i="45"/>
  <c r="E73" i="45"/>
  <c r="D65" i="45"/>
  <c r="D70" i="45"/>
  <c r="D73" i="45"/>
  <c r="AB60" i="45"/>
  <c r="AB65" i="45"/>
  <c r="AB70" i="45"/>
  <c r="AB73" i="45"/>
  <c r="AB8" i="45"/>
  <c r="T60" i="45"/>
  <c r="T65" i="45"/>
  <c r="T70" i="45"/>
  <c r="T73" i="45"/>
  <c r="C60" i="45"/>
  <c r="AA53" i="45"/>
  <c r="AB67" i="45"/>
  <c r="C65" i="45"/>
  <c r="C70" i="45"/>
  <c r="C73" i="45"/>
  <c r="AA60" i="45"/>
  <c r="AA65" i="45"/>
  <c r="AA70" i="45"/>
  <c r="AA73" i="45"/>
  <c r="AC60" i="45"/>
  <c r="AC65" i="45"/>
  <c r="AC70" i="45"/>
  <c r="AC73" i="45"/>
</calcChain>
</file>

<file path=xl/sharedStrings.xml><?xml version="1.0" encoding="utf-8"?>
<sst xmlns="http://schemas.openxmlformats.org/spreadsheetml/2006/main" count="683" uniqueCount="101">
  <si>
    <t>Feladatok megnevezése</t>
  </si>
  <si>
    <t>Személyi jellegű</t>
  </si>
  <si>
    <t>Munkaadókat t.j.</t>
  </si>
  <si>
    <t>Dologi</t>
  </si>
  <si>
    <t>Ellátottak</t>
  </si>
  <si>
    <t xml:space="preserve"> - Közvilágítás</t>
  </si>
  <si>
    <t>Tartalék</t>
  </si>
  <si>
    <t xml:space="preserve"> - Város és községgazdálkodás</t>
  </si>
  <si>
    <t xml:space="preserve"> - Önkormányzati igazgatás</t>
  </si>
  <si>
    <t>Összesen</t>
  </si>
  <si>
    <t xml:space="preserve">Felhalmozási </t>
  </si>
  <si>
    <t>b.) Egészségház</t>
  </si>
  <si>
    <t xml:space="preserve"> - Szoc.étkezt.</t>
  </si>
  <si>
    <t>c.)Szociális étkeztetés</t>
  </si>
  <si>
    <t>fő</t>
  </si>
  <si>
    <t xml:space="preserve"> - Önkormányzati képviselő választás</t>
  </si>
  <si>
    <t xml:space="preserve"> - Ifjuság egészségügyi gondozás</t>
  </si>
  <si>
    <t xml:space="preserve"> - Civil szervezetek támogatása</t>
  </si>
  <si>
    <t xml:space="preserve"> - Köztemető fenntartás</t>
  </si>
  <si>
    <t xml:space="preserve"> - Országgyülési képviselő választás</t>
  </si>
  <si>
    <t xml:space="preserve"> - Országos települési kisebbs.képv.vál.</t>
  </si>
  <si>
    <t>a.)Igazgatás összesen:</t>
  </si>
  <si>
    <t xml:space="preserve"> - Szennyvíz gyűtés,tiszt.</t>
  </si>
  <si>
    <t>I.Önkormányzat</t>
  </si>
  <si>
    <t>ÖNK.Önállóan műk.és gazd. összesen:</t>
  </si>
  <si>
    <t>Egyéb működési c.kiadás</t>
  </si>
  <si>
    <t>Finanszírozási c.pénzü.műv.</t>
  </si>
  <si>
    <t>4.melléklet</t>
  </si>
  <si>
    <t xml:space="preserve"> - függő kiadás önkormányzat</t>
  </si>
  <si>
    <t xml:space="preserve"> - Zöldterület kezelése  </t>
  </si>
  <si>
    <t xml:space="preserve"> - Út,híd fenntartás </t>
  </si>
  <si>
    <t>csop.bontása</t>
  </si>
  <si>
    <t>kötelező</t>
  </si>
  <si>
    <t>nem kötelező</t>
  </si>
  <si>
    <t xml:space="preserve"> - Önkormányzatok és kist.t.. Ig.tev.</t>
  </si>
  <si>
    <t>PH.Önállóan műk.és gazd. összesen:</t>
  </si>
  <si>
    <t xml:space="preserve"> - függő kiadás PH.</t>
  </si>
  <si>
    <t xml:space="preserve"> -Önk.vagyonnal való gazd.( Lakóingatlan bérbead,üzemeltetés)</t>
  </si>
  <si>
    <t xml:space="preserve"> - Önk.vagyonnal való gazd.(Nem lakóingatlan bérbead.,üzemelt.)</t>
  </si>
  <si>
    <t xml:space="preserve"> - Iskolai intézményi étkeztetés</t>
  </si>
  <si>
    <t xml:space="preserve"> - Támogatás célú finanszírozási műveletek</t>
  </si>
  <si>
    <t xml:space="preserve"> - Betegséggel kapcs.pénzbeli ell.,tám.(Ápolási díj mélt.)</t>
  </si>
  <si>
    <t xml:space="preserve"> -                                                     ( Közgyógy)</t>
  </si>
  <si>
    <t xml:space="preserve"> - Lakásfenntartással ,lakhatással kapcs. tám.(-normatív lak.)</t>
  </si>
  <si>
    <t xml:space="preserve"> -                                                    (Adosságkezelési szolg.)</t>
  </si>
  <si>
    <t xml:space="preserve"> - Gyermekvédelmi pénzbeli és term.ell.(Rendszeres gyv.tám.)</t>
  </si>
  <si>
    <t xml:space="preserve"> -                                                       (Ovodáztatás tám.)</t>
  </si>
  <si>
    <t xml:space="preserve"> -                                        (Egyéb önkormányzati eseti p.tám.)</t>
  </si>
  <si>
    <t xml:space="preserve"> - Elhunyt személyek hátramaradottainak pénzb.ell.</t>
  </si>
  <si>
    <t xml:space="preserve"> -                                                      ( Rendkívüli gyv.tám.)</t>
  </si>
  <si>
    <t xml:space="preserve"> - Család és nővédelem eü.gondozás (Védőnő )</t>
  </si>
  <si>
    <t xml:space="preserve"> - Foglalkoztatás eü.alap ellátás</t>
  </si>
  <si>
    <t xml:space="preserve"> - Halgatói és oktatói ösztöndíjak és egyéb jutt.</t>
  </si>
  <si>
    <t xml:space="preserve"> - Hosszabb időtartamú közfoglalkoztatás</t>
  </si>
  <si>
    <t xml:space="preserve"> - Rövid időtartamú közfoglalkoztatás</t>
  </si>
  <si>
    <t xml:space="preserve"> - Lakáshoz jutást segítő tám.</t>
  </si>
  <si>
    <t xml:space="preserve"> - Könyvtári szolgáltatások</t>
  </si>
  <si>
    <t xml:space="preserve"> - Helyi, térségi közösségi tér biztosítása, működtetése</t>
  </si>
  <si>
    <t>II.Szomódi Polgármesteri Hivatal</t>
  </si>
  <si>
    <t>Önkormányzat és Polgármesteri hivatal össz.:</t>
  </si>
  <si>
    <t xml:space="preserve"> -                                                      (ápolás alanyi)</t>
  </si>
  <si>
    <t>foglalkoztatotti létszám</t>
  </si>
  <si>
    <t xml:space="preserve"> -Szünidei gyermekétkeztetés</t>
  </si>
  <si>
    <t xml:space="preserve">nem kötelező </t>
  </si>
  <si>
    <t xml:space="preserve"> - Kerékpárútak üzemeltetése, fenntartása</t>
  </si>
  <si>
    <t>Adatok Ft-ban</t>
  </si>
  <si>
    <t xml:space="preserve"> - Önk.vagyonnal való gazd.(szak fel.nem könyvelhető)</t>
  </si>
  <si>
    <t xml:space="preserve"> - Kiemelt állami és Önk.ünnepek</t>
  </si>
  <si>
    <t xml:space="preserve"> - Önkormányzatok elszámolásai központi ktv.szervekkel</t>
  </si>
  <si>
    <t xml:space="preserve"> - Parkoló,garázs- üzemeltetés ,fenntartás</t>
  </si>
  <si>
    <t xml:space="preserve"> - Sportlétesítmények, edzőtáborok működtetése, fejlesztése</t>
  </si>
  <si>
    <t xml:space="preserve"> </t>
  </si>
  <si>
    <t xml:space="preserve"> - út, autópálya építés</t>
  </si>
  <si>
    <t xml:space="preserve"> - Informatikai fejlesztések, szolgáltatások</t>
  </si>
  <si>
    <t xml:space="preserve"> - Köznevelés 1-4.évfolyamán tan.nev., oktatás működtetési fel.</t>
  </si>
  <si>
    <t xml:space="preserve"> - Köznevelés 5-8.évifolyamán tan.nev., oktatás működtetési fel.</t>
  </si>
  <si>
    <t xml:space="preserve"> - Óvodai nevelés, ellátás múködtetés fel.</t>
  </si>
  <si>
    <t xml:space="preserve"> - Közművelődés - közösségi és társadalmi részvétel fejlesztése</t>
  </si>
  <si>
    <t xml:space="preserve"> - Egyházak közösségi és hitéleti tevékenységének támogatása</t>
  </si>
  <si>
    <t>2019.évi Eredeti ei.</t>
  </si>
  <si>
    <t xml:space="preserve"> - Települési támogatás(Átmeneti segély,természetben nyút.tám.)</t>
  </si>
  <si>
    <t>2019.évi Mód.ei</t>
  </si>
  <si>
    <t>2019.évi  telj.</t>
  </si>
  <si>
    <t xml:space="preserve"> - Település fejlesztés</t>
  </si>
  <si>
    <t xml:space="preserve"> - Gyermekek bölcsödében és mini bölcsödében tört.ellátása</t>
  </si>
  <si>
    <t>2020.évi Eredeti ei.</t>
  </si>
  <si>
    <t xml:space="preserve">2020.évi költségvetési kiadás részletezése </t>
  </si>
  <si>
    <t xml:space="preserve"> - Országgyűlési,önk.és ep. választás</t>
  </si>
  <si>
    <t xml:space="preserve"> - Erdő,- vad- gazdálkodás</t>
  </si>
  <si>
    <t>2020.évi Mód.ei</t>
  </si>
  <si>
    <t>2020.évi  telj.</t>
  </si>
  <si>
    <t xml:space="preserve">Személyi jellegű </t>
  </si>
  <si>
    <t>foglalkoztatotti létszám/fő</t>
  </si>
  <si>
    <t>a 2 / 2020.(II.11.) önkormányzati rendelethez</t>
  </si>
  <si>
    <t>a    / 2020.(IX.  .) önkormányzati rendelethez</t>
  </si>
  <si>
    <t>a    / 2021.(II.  .) önkormányzati rendelethez</t>
  </si>
  <si>
    <t>2020.évi várható telj.</t>
  </si>
  <si>
    <t xml:space="preserve"> -Komplex környezetvédelmi programok támogatása</t>
  </si>
  <si>
    <t xml:space="preserve"> - Fertőző megbetegedések megelőzése, járványügyi ellátás</t>
  </si>
  <si>
    <t xml:space="preserve"> - Önkormányzatok elszámolásai a központi költségvetéssel</t>
  </si>
  <si>
    <t>a    / 2021.(V.  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</si>
</sst>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6" formatCode="0.0"/>
    <numFmt numFmtId="167" formatCode="#,##0.000\ _F_t"/>
    <numFmt numFmtId="169" formatCode="0.000"/>
  </numFmts>
  <fonts count="9" x14ac:knownFonts="1">
    <font>
      <sz val="10"/>
      <name val="Arial CE"/>
      <charset val="238"/>
    </font>
    <font>
      <b/>
      <sz val="10"/>
      <name val="Arial CE"/>
      <family val="2"/>
      <charset val="238"/>
    </font>
    <font>
      <b/>
      <i/>
      <sz val="10"/>
      <name val="Arial CE"/>
      <family val="2"/>
      <charset val="238"/>
    </font>
    <font>
      <b/>
      <u val="double"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sz val="10"/>
      <name val="Arial CE"/>
      <family val="2"/>
      <charset val="238"/>
    </font>
    <font>
      <b/>
      <sz val="11"/>
      <name val="Arial CE"/>
      <family val="2"/>
      <charset val="238"/>
    </font>
    <font>
      <b/>
      <u val="doubleAccounting"/>
      <sz val="11"/>
      <name val="Arial CE"/>
      <family val="2"/>
      <charset val="238"/>
    </font>
    <font>
      <sz val="8"/>
      <name val="Arial CE"/>
      <family val="2"/>
      <charset val="23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1" fillId="0" borderId="0" xfId="0" applyFont="1"/>
    <xf numFmtId="0" fontId="2" fillId="0" borderId="0" xfId="0" applyFont="1"/>
    <xf numFmtId="1" fontId="0" fillId="0" borderId="0" xfId="0" applyNumberFormat="1"/>
    <xf numFmtId="0" fontId="6" fillId="0" borderId="0" xfId="0" applyFont="1"/>
    <xf numFmtId="0" fontId="5" fillId="0" borderId="0" xfId="0" applyFont="1"/>
    <xf numFmtId="166" fontId="0" fillId="0" borderId="1" xfId="0" applyNumberFormat="1" applyFill="1" applyBorder="1"/>
    <xf numFmtId="0" fontId="2" fillId="0" borderId="2" xfId="0" applyFont="1" applyFill="1" applyBorder="1"/>
    <xf numFmtId="0" fontId="2" fillId="0" borderId="0" xfId="0" applyFont="1" applyFill="1"/>
    <xf numFmtId="0" fontId="0" fillId="0" borderId="0" xfId="0" applyFill="1"/>
    <xf numFmtId="0" fontId="0" fillId="0" borderId="2" xfId="0" applyFill="1" applyBorder="1"/>
    <xf numFmtId="0" fontId="0" fillId="0" borderId="3" xfId="0" applyFill="1" applyBorder="1"/>
    <xf numFmtId="0" fontId="0" fillId="0" borderId="4" xfId="0" applyFill="1" applyBorder="1"/>
    <xf numFmtId="0" fontId="0" fillId="0" borderId="2" xfId="0" applyFill="1" applyBorder="1" applyAlignment="1">
      <alignment wrapText="1"/>
    </xf>
    <xf numFmtId="0" fontId="8" fillId="0" borderId="2" xfId="0" applyFont="1" applyFill="1" applyBorder="1" applyAlignment="1">
      <alignment wrapText="1"/>
    </xf>
    <xf numFmtId="0" fontId="5" fillId="0" borderId="2" xfId="0" applyFont="1" applyFill="1" applyBorder="1"/>
    <xf numFmtId="0" fontId="1" fillId="0" borderId="2" xfId="0" applyFont="1" applyFill="1" applyBorder="1"/>
    <xf numFmtId="167" fontId="0" fillId="0" borderId="0" xfId="0" applyNumberFormat="1" applyFill="1"/>
    <xf numFmtId="167" fontId="0" fillId="0" borderId="0" xfId="0" applyNumberFormat="1" applyFill="1" applyAlignment="1">
      <alignment horizontal="center"/>
    </xf>
    <xf numFmtId="167" fontId="0" fillId="0" borderId="2" xfId="0" applyNumberFormat="1" applyFill="1" applyBorder="1" applyAlignment="1">
      <alignment horizontal="center"/>
    </xf>
    <xf numFmtId="167" fontId="0" fillId="0" borderId="0" xfId="0" applyNumberFormat="1"/>
    <xf numFmtId="3" fontId="0" fillId="0" borderId="0" xfId="0" applyNumberFormat="1" applyFill="1"/>
    <xf numFmtId="3" fontId="0" fillId="0" borderId="2" xfId="0" applyNumberFormat="1" applyFill="1" applyBorder="1" applyAlignment="1">
      <alignment horizontal="center"/>
    </xf>
    <xf numFmtId="3" fontId="0" fillId="0" borderId="2" xfId="0" applyNumberFormat="1" applyFill="1" applyBorder="1"/>
    <xf numFmtId="3" fontId="0" fillId="0" borderId="2" xfId="0" applyNumberFormat="1" applyFill="1" applyBorder="1" applyAlignment="1">
      <alignment wrapText="1"/>
    </xf>
    <xf numFmtId="3" fontId="2" fillId="0" borderId="2" xfId="0" applyNumberFormat="1" applyFont="1" applyFill="1" applyBorder="1"/>
    <xf numFmtId="3" fontId="4" fillId="0" borderId="2" xfId="0" applyNumberFormat="1" applyFont="1" applyFill="1" applyBorder="1"/>
    <xf numFmtId="3" fontId="5" fillId="0" borderId="2" xfId="0" applyNumberFormat="1" applyFont="1" applyFill="1" applyBorder="1"/>
    <xf numFmtId="3" fontId="1" fillId="0" borderId="2" xfId="0" applyNumberFormat="1" applyFont="1" applyFill="1" applyBorder="1"/>
    <xf numFmtId="3" fontId="3" fillId="0" borderId="2" xfId="0" applyNumberFormat="1" applyFont="1" applyFill="1" applyBorder="1"/>
    <xf numFmtId="3" fontId="7" fillId="0" borderId="2" xfId="0" applyNumberFormat="1" applyFont="1" applyFill="1" applyBorder="1"/>
    <xf numFmtId="169" fontId="0" fillId="0" borderId="0" xfId="0" applyNumberFormat="1" applyFill="1" applyAlignment="1">
      <alignment horizontal="right"/>
    </xf>
    <xf numFmtId="169" fontId="0" fillId="0" borderId="2" xfId="0" applyNumberFormat="1" applyFill="1" applyBorder="1" applyAlignment="1">
      <alignment horizontal="right"/>
    </xf>
    <xf numFmtId="169" fontId="0" fillId="0" borderId="0" xfId="0" applyNumberFormat="1" applyAlignment="1">
      <alignment horizontal="right"/>
    </xf>
    <xf numFmtId="0" fontId="0" fillId="0" borderId="5" xfId="0" applyFill="1" applyBorder="1" applyAlignment="1">
      <alignment wrapText="1"/>
    </xf>
    <xf numFmtId="3" fontId="2" fillId="0" borderId="0" xfId="0" applyNumberFormat="1" applyFont="1" applyFill="1"/>
    <xf numFmtId="3" fontId="2" fillId="0" borderId="0" xfId="0" applyNumberFormat="1" applyFont="1"/>
    <xf numFmtId="0" fontId="0" fillId="0" borderId="0" xfId="0" applyFill="1" applyAlignment="1">
      <alignment wrapText="1"/>
    </xf>
    <xf numFmtId="1" fontId="0" fillId="0" borderId="0" xfId="0" applyNumberFormat="1" applyFill="1"/>
    <xf numFmtId="2" fontId="0" fillId="0" borderId="2" xfId="0" applyNumberFormat="1" applyFill="1" applyBorder="1"/>
    <xf numFmtId="2" fontId="0" fillId="0" borderId="2" xfId="0" applyNumberFormat="1" applyFill="1" applyBorder="1" applyAlignment="1">
      <alignment horizontal="right"/>
    </xf>
    <xf numFmtId="2" fontId="0" fillId="0" borderId="2" xfId="0" applyNumberFormat="1" applyFill="1" applyBorder="1" applyAlignment="1">
      <alignment wrapText="1"/>
    </xf>
    <xf numFmtId="2" fontId="0" fillId="0" borderId="2" xfId="0" applyNumberFormat="1" applyFill="1" applyBorder="1" applyAlignment="1">
      <alignment horizontal="right" wrapText="1"/>
    </xf>
    <xf numFmtId="2" fontId="2" fillId="0" borderId="2" xfId="0" applyNumberFormat="1" applyFont="1" applyFill="1" applyBorder="1"/>
    <xf numFmtId="2" fontId="2" fillId="0" borderId="2" xfId="0" applyNumberFormat="1" applyFont="1" applyFill="1" applyBorder="1" applyAlignment="1">
      <alignment horizontal="right"/>
    </xf>
    <xf numFmtId="2" fontId="5" fillId="0" borderId="2" xfId="0" applyNumberFormat="1" applyFont="1" applyFill="1" applyBorder="1"/>
    <xf numFmtId="2" fontId="5" fillId="0" borderId="2" xfId="0" applyNumberFormat="1" applyFont="1" applyFill="1" applyBorder="1" applyAlignment="1">
      <alignment horizontal="right"/>
    </xf>
    <xf numFmtId="2" fontId="4" fillId="0" borderId="2" xfId="0" applyNumberFormat="1" applyFont="1" applyFill="1" applyBorder="1"/>
    <xf numFmtId="2" fontId="4" fillId="0" borderId="2" xfId="0" applyNumberFormat="1" applyFont="1" applyFill="1" applyBorder="1" applyAlignment="1">
      <alignment horizontal="right"/>
    </xf>
    <xf numFmtId="2" fontId="3" fillId="0" borderId="2" xfId="0" applyNumberFormat="1" applyFont="1" applyFill="1" applyBorder="1"/>
    <xf numFmtId="2" fontId="3" fillId="0" borderId="2" xfId="0" applyNumberFormat="1" applyFont="1" applyFill="1" applyBorder="1" applyAlignment="1">
      <alignment horizontal="right"/>
    </xf>
    <xf numFmtId="2" fontId="7" fillId="0" borderId="2" xfId="0" applyNumberFormat="1" applyFont="1" applyFill="1" applyBorder="1"/>
    <xf numFmtId="2" fontId="7" fillId="0" borderId="2" xfId="0" applyNumberFormat="1" applyFont="1" applyFill="1" applyBorder="1" applyAlignment="1">
      <alignment horizontal="right"/>
    </xf>
    <xf numFmtId="0" fontId="0" fillId="0" borderId="1" xfId="0" applyFill="1" applyBorder="1"/>
    <xf numFmtId="0" fontId="0" fillId="0" borderId="0" xfId="0" applyFill="1" applyBorder="1"/>
    <xf numFmtId="2" fontId="0" fillId="0" borderId="0" xfId="0" applyNumberFormat="1" applyFill="1"/>
    <xf numFmtId="2" fontId="0" fillId="0" borderId="3" xfId="0" applyNumberFormat="1" applyFill="1" applyBorder="1"/>
    <xf numFmtId="2" fontId="0" fillId="0" borderId="5" xfId="0" applyNumberFormat="1" applyFill="1" applyBorder="1" applyAlignment="1">
      <alignment wrapText="1"/>
    </xf>
    <xf numFmtId="2" fontId="1" fillId="0" borderId="2" xfId="0" applyNumberFormat="1" applyFont="1" applyFill="1" applyBorder="1"/>
    <xf numFmtId="3" fontId="8" fillId="0" borderId="2" xfId="0" applyNumberFormat="1" applyFont="1" applyFill="1" applyBorder="1" applyAlignment="1">
      <alignment wrapText="1"/>
    </xf>
    <xf numFmtId="3" fontId="0" fillId="0" borderId="6" xfId="0" applyNumberFormat="1" applyFill="1" applyBorder="1" applyAlignment="1">
      <alignment horizontal="center"/>
    </xf>
    <xf numFmtId="3" fontId="0" fillId="0" borderId="7" xfId="0" applyNumberFormat="1" applyFill="1" applyBorder="1" applyAlignment="1">
      <alignment horizontal="center"/>
    </xf>
    <xf numFmtId="1" fontId="0" fillId="0" borderId="6" xfId="0" applyNumberFormat="1" applyFill="1" applyBorder="1" applyAlignment="1">
      <alignment horizontal="center"/>
    </xf>
    <xf numFmtId="1" fontId="0" fillId="0" borderId="7" xfId="0" applyNumberFormat="1" applyFill="1" applyBorder="1" applyAlignment="1">
      <alignment horizontal="center"/>
    </xf>
    <xf numFmtId="0" fontId="0" fillId="0" borderId="3" xfId="0" applyFill="1" applyBorder="1" applyAlignment="1"/>
    <xf numFmtId="0" fontId="0" fillId="0" borderId="6" xfId="0" applyBorder="1" applyAlignment="1"/>
    <xf numFmtId="0" fontId="0" fillId="0" borderId="7" xfId="0" applyBorder="1" applyAlignment="1"/>
    <xf numFmtId="2" fontId="0" fillId="0" borderId="3" xfId="0" applyNumberFormat="1" applyFill="1" applyBorder="1" applyAlignment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73"/>
  <sheetViews>
    <sheetView workbookViewId="0">
      <pane xSplit="1" ySplit="1" topLeftCell="B50" activePane="bottomRight" state="frozen"/>
      <selection pane="topRight" activeCell="B1" sqref="B1"/>
      <selection pane="bottomLeft" activeCell="A2" sqref="A2"/>
      <selection pane="bottomRight" activeCell="L2" sqref="L2:O2"/>
    </sheetView>
  </sheetViews>
  <sheetFormatPr defaultRowHeight="12.75" x14ac:dyDescent="0.2"/>
  <cols>
    <col min="1" max="1" width="53.85546875" customWidth="1"/>
    <col min="2" max="3" width="11.85546875" customWidth="1"/>
    <col min="4" max="4" width="12.5703125" style="21" customWidth="1"/>
    <col min="5" max="15" width="11.5703125" style="21" customWidth="1"/>
    <col min="16" max="16" width="11" style="21" customWidth="1"/>
    <col min="17" max="17" width="10.5703125" style="21" customWidth="1"/>
    <col min="18" max="18" width="10.42578125" style="21" customWidth="1"/>
    <col min="19" max="19" width="11" style="21" customWidth="1"/>
    <col min="20" max="20" width="11.28515625" style="21" customWidth="1"/>
    <col min="21" max="21" width="11.85546875" style="21" customWidth="1"/>
    <col min="22" max="23" width="11.7109375" style="21" customWidth="1"/>
    <col min="24" max="24" width="10.140625" style="21" customWidth="1"/>
    <col min="25" max="25" width="12.28515625" style="21" customWidth="1"/>
    <col min="26" max="27" width="12.5703125" style="21" customWidth="1"/>
    <col min="28" max="28" width="10.7109375" style="21" customWidth="1"/>
    <col min="29" max="29" width="12.42578125" style="21" customWidth="1"/>
    <col min="30" max="31" width="12.5703125" style="21" customWidth="1"/>
    <col min="32" max="32" width="11.42578125" style="21" customWidth="1"/>
    <col min="33" max="33" width="12.28515625" style="21" customWidth="1"/>
    <col min="34" max="34" width="10.140625" style="21" customWidth="1"/>
    <col min="35" max="35" width="13.28515625" style="21" customWidth="1"/>
    <col min="36" max="36" width="12.5703125" style="21" customWidth="1"/>
    <col min="37" max="37" width="13.42578125" style="21" customWidth="1"/>
    <col min="38" max="38" width="12.28515625" style="21" customWidth="1"/>
    <col min="39" max="39" width="12.28515625" style="55" customWidth="1"/>
    <col min="40" max="40" width="10" style="20" customWidth="1"/>
    <col min="41" max="41" width="10.140625" style="20" customWidth="1"/>
    <col min="42" max="42" width="7.85546875" style="33" customWidth="1"/>
    <col min="43" max="43" width="10.5703125" bestFit="1" customWidth="1"/>
    <col min="44" max="45" width="11.28515625" bestFit="1" customWidth="1"/>
  </cols>
  <sheetData>
    <row r="1" spans="1:43" s="9" customFormat="1" x14ac:dyDescent="0.2">
      <c r="A1" s="9" t="s">
        <v>86</v>
      </c>
      <c r="D1" s="21"/>
      <c r="E1" s="21"/>
      <c r="F1" s="21"/>
      <c r="G1" s="21"/>
      <c r="H1" s="21"/>
      <c r="I1" s="21"/>
      <c r="J1" s="21"/>
      <c r="K1" s="21"/>
      <c r="L1" s="21"/>
      <c r="M1" s="21" t="s">
        <v>27</v>
      </c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21"/>
      <c r="AE1" s="21"/>
      <c r="AF1" s="21"/>
      <c r="AG1" s="21"/>
      <c r="AH1" s="21"/>
      <c r="AI1" s="21"/>
      <c r="AJ1" s="21"/>
      <c r="AK1" s="21"/>
      <c r="AL1" s="21"/>
      <c r="AM1" s="55"/>
      <c r="AN1" s="17"/>
      <c r="AO1" s="17"/>
      <c r="AP1" s="31"/>
    </row>
    <row r="2" spans="1:43" s="9" customFormat="1" x14ac:dyDescent="0.2">
      <c r="D2" s="21"/>
      <c r="E2" s="21"/>
      <c r="F2" s="21"/>
      <c r="G2" s="21"/>
      <c r="H2" s="21"/>
      <c r="I2" s="21"/>
      <c r="J2" s="21"/>
      <c r="K2" s="21"/>
      <c r="L2" s="21" t="s">
        <v>93</v>
      </c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21"/>
      <c r="AE2" s="21"/>
      <c r="AF2" s="21"/>
      <c r="AG2" s="21"/>
      <c r="AH2" s="21"/>
      <c r="AI2" s="21"/>
      <c r="AJ2" s="21"/>
      <c r="AK2" s="21"/>
      <c r="AL2" s="21"/>
      <c r="AM2" s="55"/>
      <c r="AN2" s="17"/>
      <c r="AO2" s="17"/>
      <c r="AP2" s="31"/>
    </row>
    <row r="3" spans="1:43" s="9" customFormat="1" x14ac:dyDescent="0.2">
      <c r="D3" s="21"/>
      <c r="E3" s="21"/>
      <c r="F3" s="21"/>
      <c r="G3" s="21"/>
      <c r="H3" s="21"/>
      <c r="I3" s="21"/>
      <c r="J3" s="21"/>
      <c r="K3" s="21"/>
      <c r="L3" s="21"/>
      <c r="M3" s="21" t="s">
        <v>65</v>
      </c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55"/>
      <c r="AN3" s="18" t="s">
        <v>14</v>
      </c>
      <c r="AO3" s="17"/>
      <c r="AP3" s="31"/>
    </row>
    <row r="4" spans="1:43" s="9" customFormat="1" x14ac:dyDescent="0.2">
      <c r="A4" s="10" t="s">
        <v>0</v>
      </c>
      <c r="B4" s="11"/>
      <c r="C4" s="11"/>
      <c r="D4" s="60" t="s">
        <v>1</v>
      </c>
      <c r="E4" s="60"/>
      <c r="F4" s="61"/>
      <c r="G4" s="11"/>
      <c r="H4" s="60" t="s">
        <v>2</v>
      </c>
      <c r="I4" s="60"/>
      <c r="J4" s="61"/>
      <c r="K4" s="11"/>
      <c r="L4" s="60" t="s">
        <v>3</v>
      </c>
      <c r="M4" s="60"/>
      <c r="N4" s="61"/>
      <c r="O4" s="11"/>
      <c r="P4" s="60" t="s">
        <v>4</v>
      </c>
      <c r="Q4" s="60"/>
      <c r="R4" s="61"/>
      <c r="S4" s="11"/>
      <c r="T4" s="60" t="s">
        <v>25</v>
      </c>
      <c r="U4" s="60"/>
      <c r="V4" s="61"/>
      <c r="W4" s="11"/>
      <c r="X4" s="60" t="s">
        <v>10</v>
      </c>
      <c r="Y4" s="60"/>
      <c r="Z4" s="61"/>
      <c r="AA4" s="11"/>
      <c r="AB4" s="60" t="s">
        <v>26</v>
      </c>
      <c r="AC4" s="60"/>
      <c r="AD4" s="61"/>
      <c r="AE4" s="11"/>
      <c r="AF4" s="60" t="s">
        <v>6</v>
      </c>
      <c r="AG4" s="60"/>
      <c r="AH4" s="61"/>
      <c r="AI4" s="11"/>
      <c r="AJ4" s="60" t="s">
        <v>9</v>
      </c>
      <c r="AK4" s="60"/>
      <c r="AL4" s="61"/>
      <c r="AM4" s="56"/>
      <c r="AN4" s="62" t="s">
        <v>61</v>
      </c>
      <c r="AO4" s="62"/>
      <c r="AP4" s="63"/>
    </row>
    <row r="5" spans="1:43" s="54" customFormat="1" x14ac:dyDescent="0.2">
      <c r="A5" s="10"/>
      <c r="B5" s="10"/>
      <c r="C5" s="10"/>
      <c r="D5" s="22"/>
      <c r="E5" s="22"/>
      <c r="F5" s="22"/>
      <c r="G5" s="10"/>
      <c r="H5" s="22"/>
      <c r="I5" s="22"/>
      <c r="J5" s="22"/>
      <c r="K5" s="10"/>
      <c r="L5" s="22"/>
      <c r="M5" s="22"/>
      <c r="N5" s="22"/>
      <c r="O5" s="10"/>
      <c r="P5" s="22"/>
      <c r="Q5" s="22"/>
      <c r="R5" s="22"/>
      <c r="S5" s="10"/>
      <c r="T5" s="22"/>
      <c r="U5" s="22"/>
      <c r="V5" s="22"/>
      <c r="W5" s="10"/>
      <c r="X5" s="22"/>
      <c r="Y5" s="22"/>
      <c r="Z5" s="22"/>
      <c r="AA5" s="10"/>
      <c r="AB5" s="22"/>
      <c r="AC5" s="22"/>
      <c r="AD5" s="22"/>
      <c r="AE5" s="10"/>
      <c r="AF5" s="22"/>
      <c r="AG5" s="22"/>
      <c r="AH5" s="22"/>
      <c r="AI5" s="10"/>
      <c r="AJ5" s="22"/>
      <c r="AK5" s="22"/>
      <c r="AL5" s="22"/>
      <c r="AM5" s="39"/>
      <c r="AN5" s="19"/>
      <c r="AO5" s="19"/>
      <c r="AP5" s="32"/>
      <c r="AQ5" s="53"/>
    </row>
    <row r="6" spans="1:43" s="37" customFormat="1" ht="28.5" customHeight="1" x14ac:dyDescent="0.2">
      <c r="A6" s="13"/>
      <c r="B6" s="13"/>
      <c r="C6" s="34" t="s">
        <v>85</v>
      </c>
      <c r="D6" s="34" t="s">
        <v>79</v>
      </c>
      <c r="E6" s="24" t="s">
        <v>81</v>
      </c>
      <c r="F6" s="24" t="s">
        <v>82</v>
      </c>
      <c r="G6" s="34" t="s">
        <v>85</v>
      </c>
      <c r="H6" s="34" t="s">
        <v>79</v>
      </c>
      <c r="I6" s="24" t="s">
        <v>81</v>
      </c>
      <c r="J6" s="24" t="s">
        <v>82</v>
      </c>
      <c r="K6" s="34" t="s">
        <v>85</v>
      </c>
      <c r="L6" s="34" t="s">
        <v>79</v>
      </c>
      <c r="M6" s="24" t="s">
        <v>81</v>
      </c>
      <c r="N6" s="24" t="s">
        <v>82</v>
      </c>
      <c r="O6" s="34" t="s">
        <v>85</v>
      </c>
      <c r="P6" s="34" t="s">
        <v>79</v>
      </c>
      <c r="Q6" s="24" t="s">
        <v>81</v>
      </c>
      <c r="R6" s="24" t="s">
        <v>82</v>
      </c>
      <c r="S6" s="34" t="s">
        <v>85</v>
      </c>
      <c r="T6" s="34" t="s">
        <v>79</v>
      </c>
      <c r="U6" s="24" t="s">
        <v>81</v>
      </c>
      <c r="V6" s="24" t="s">
        <v>82</v>
      </c>
      <c r="W6" s="34" t="s">
        <v>85</v>
      </c>
      <c r="X6" s="34" t="s">
        <v>79</v>
      </c>
      <c r="Y6" s="24" t="s">
        <v>81</v>
      </c>
      <c r="Z6" s="24" t="s">
        <v>82</v>
      </c>
      <c r="AA6" s="34" t="s">
        <v>85</v>
      </c>
      <c r="AB6" s="34" t="s">
        <v>79</v>
      </c>
      <c r="AC6" s="24" t="s">
        <v>81</v>
      </c>
      <c r="AD6" s="24" t="s">
        <v>82</v>
      </c>
      <c r="AE6" s="34" t="s">
        <v>85</v>
      </c>
      <c r="AF6" s="34" t="s">
        <v>79</v>
      </c>
      <c r="AG6" s="24" t="s">
        <v>81</v>
      </c>
      <c r="AH6" s="24" t="s">
        <v>82</v>
      </c>
      <c r="AI6" s="34" t="s">
        <v>85</v>
      </c>
      <c r="AJ6" s="34" t="s">
        <v>79</v>
      </c>
      <c r="AK6" s="24" t="s">
        <v>81</v>
      </c>
      <c r="AL6" s="24" t="s">
        <v>82</v>
      </c>
      <c r="AM6" s="57" t="s">
        <v>85</v>
      </c>
      <c r="AN6" s="34" t="s">
        <v>79</v>
      </c>
      <c r="AO6" s="24" t="s">
        <v>81</v>
      </c>
      <c r="AP6" s="24" t="s">
        <v>82</v>
      </c>
    </row>
    <row r="7" spans="1:43" s="9" customFormat="1" x14ac:dyDescent="0.2">
      <c r="A7" s="10" t="s">
        <v>23</v>
      </c>
      <c r="B7" s="12" t="s">
        <v>31</v>
      </c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>
        <f>C7+G7+K7+O7+S7+W7+AA7+AE7</f>
        <v>0</v>
      </c>
      <c r="AJ7" s="23"/>
      <c r="AK7" s="23"/>
      <c r="AL7" s="23"/>
      <c r="AM7" s="39"/>
      <c r="AN7" s="39"/>
      <c r="AO7" s="39"/>
      <c r="AP7" s="40"/>
    </row>
    <row r="8" spans="1:43" s="9" customFormat="1" x14ac:dyDescent="0.2">
      <c r="A8" s="10" t="s">
        <v>29</v>
      </c>
      <c r="B8" s="10" t="s">
        <v>32</v>
      </c>
      <c r="C8" s="23">
        <v>2527200</v>
      </c>
      <c r="D8" s="23">
        <v>2424000</v>
      </c>
      <c r="E8" s="23">
        <v>2424000</v>
      </c>
      <c r="F8" s="23">
        <v>2525551</v>
      </c>
      <c r="G8" s="23">
        <v>442260</v>
      </c>
      <c r="H8" s="23">
        <v>472680</v>
      </c>
      <c r="I8" s="23">
        <v>472680</v>
      </c>
      <c r="J8" s="23">
        <v>462394</v>
      </c>
      <c r="K8" s="23">
        <f>447000+601290+1780000</f>
        <v>2828290</v>
      </c>
      <c r="L8" s="23">
        <f>447000+601290+1000000+780000</f>
        <v>2828290</v>
      </c>
      <c r="M8" s="23">
        <f>447000+601290+1000000+780000+783000</f>
        <v>3611290</v>
      </c>
      <c r="N8" s="23">
        <v>2291399</v>
      </c>
      <c r="O8" s="23"/>
      <c r="P8" s="23"/>
      <c r="Q8" s="23"/>
      <c r="R8" s="23"/>
      <c r="S8" s="23"/>
      <c r="T8" s="23"/>
      <c r="U8" s="23"/>
      <c r="V8" s="23"/>
      <c r="W8" s="23"/>
      <c r="X8" s="23"/>
      <c r="Y8" s="23">
        <v>0</v>
      </c>
      <c r="Z8" s="23"/>
      <c r="AA8" s="23"/>
      <c r="AB8" s="23"/>
      <c r="AC8" s="23"/>
      <c r="AD8" s="23"/>
      <c r="AE8" s="23"/>
      <c r="AF8" s="23"/>
      <c r="AG8" s="23"/>
      <c r="AH8" s="23"/>
      <c r="AI8" s="23">
        <f>C8+G8+K8+O8+S8+W8+AA8+AE8</f>
        <v>5797750</v>
      </c>
      <c r="AJ8" s="23">
        <f t="shared" ref="AJ8:AL14" si="0">D8+H8+L8+P8+T8+X8+AB8+AF8</f>
        <v>5724970</v>
      </c>
      <c r="AK8" s="23">
        <f t="shared" si="0"/>
        <v>6507970</v>
      </c>
      <c r="AL8" s="23">
        <f t="shared" si="0"/>
        <v>5279344</v>
      </c>
      <c r="AM8" s="39">
        <v>1</v>
      </c>
      <c r="AN8" s="39">
        <v>1</v>
      </c>
      <c r="AO8" s="39">
        <v>1</v>
      </c>
      <c r="AP8" s="40">
        <v>1</v>
      </c>
    </row>
    <row r="9" spans="1:43" s="9" customFormat="1" x14ac:dyDescent="0.2">
      <c r="A9" s="10" t="s">
        <v>30</v>
      </c>
      <c r="B9" s="10" t="s">
        <v>32</v>
      </c>
      <c r="C9" s="23"/>
      <c r="D9" s="23"/>
      <c r="E9" s="23"/>
      <c r="F9" s="23"/>
      <c r="G9" s="23"/>
      <c r="H9" s="23"/>
      <c r="I9" s="23"/>
      <c r="J9" s="23"/>
      <c r="K9" s="23">
        <v>1941000</v>
      </c>
      <c r="L9" s="23">
        <f>1528000+413000</f>
        <v>1941000</v>
      </c>
      <c r="M9" s="23">
        <f>1528000+413000</f>
        <v>1941000</v>
      </c>
      <c r="N9" s="23">
        <v>2760352</v>
      </c>
      <c r="O9" s="23"/>
      <c r="P9" s="23"/>
      <c r="Q9" s="23"/>
      <c r="R9" s="23"/>
      <c r="S9" s="23"/>
      <c r="T9" s="23"/>
      <c r="U9" s="23"/>
      <c r="V9" s="23"/>
      <c r="W9" s="23"/>
      <c r="X9" s="23"/>
      <c r="Y9" s="23">
        <v>18001130</v>
      </c>
      <c r="Z9" s="23">
        <f>753995+2000250</f>
        <v>2754245</v>
      </c>
      <c r="AA9" s="23"/>
      <c r="AB9" s="23"/>
      <c r="AC9" s="23"/>
      <c r="AD9" s="23"/>
      <c r="AE9" s="23"/>
      <c r="AF9" s="23"/>
      <c r="AG9" s="23"/>
      <c r="AH9" s="23"/>
      <c r="AI9" s="23">
        <f t="shared" ref="AI9:AI64" si="1">C9+G9+K9+O9+S9+W9+AA9+AE9</f>
        <v>1941000</v>
      </c>
      <c r="AJ9" s="23">
        <f t="shared" si="0"/>
        <v>1941000</v>
      </c>
      <c r="AK9" s="23">
        <f t="shared" si="0"/>
        <v>19942130</v>
      </c>
      <c r="AL9" s="23">
        <f t="shared" si="0"/>
        <v>5514597</v>
      </c>
      <c r="AM9" s="39"/>
      <c r="AN9" s="39"/>
      <c r="AO9" s="39"/>
      <c r="AP9" s="40"/>
    </row>
    <row r="10" spans="1:43" s="9" customFormat="1" x14ac:dyDescent="0.2">
      <c r="A10" s="10" t="s">
        <v>72</v>
      </c>
      <c r="B10" s="10" t="s">
        <v>32</v>
      </c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>
        <v>775850</v>
      </c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>
        <f t="shared" si="1"/>
        <v>0</v>
      </c>
      <c r="AJ10" s="23">
        <f t="shared" si="0"/>
        <v>0</v>
      </c>
      <c r="AK10" s="23">
        <f t="shared" si="0"/>
        <v>0</v>
      </c>
      <c r="AL10" s="23">
        <f t="shared" si="0"/>
        <v>775850</v>
      </c>
      <c r="AM10" s="39"/>
      <c r="AN10" s="39"/>
      <c r="AO10" s="39"/>
      <c r="AP10" s="40"/>
    </row>
    <row r="11" spans="1:43" s="9" customFormat="1" x14ac:dyDescent="0.2">
      <c r="A11" s="10" t="s">
        <v>88</v>
      </c>
      <c r="B11" s="10" t="s">
        <v>32</v>
      </c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>
        <v>173330</v>
      </c>
      <c r="N11" s="23">
        <v>173330</v>
      </c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>
        <f t="shared" si="1"/>
        <v>0</v>
      </c>
      <c r="AJ11" s="23">
        <f t="shared" si="0"/>
        <v>0</v>
      </c>
      <c r="AK11" s="23">
        <f t="shared" si="0"/>
        <v>173330</v>
      </c>
      <c r="AL11" s="23">
        <f t="shared" si="0"/>
        <v>173330</v>
      </c>
      <c r="AM11" s="39"/>
      <c r="AN11" s="39"/>
      <c r="AO11" s="39"/>
      <c r="AP11" s="40"/>
    </row>
    <row r="12" spans="1:43" s="9" customFormat="1" x14ac:dyDescent="0.2">
      <c r="A12" s="10" t="s">
        <v>64</v>
      </c>
      <c r="B12" s="10" t="s">
        <v>32</v>
      </c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>
        <v>94</v>
      </c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>
        <v>325000</v>
      </c>
      <c r="Z12" s="23">
        <v>225000</v>
      </c>
      <c r="AA12" s="23"/>
      <c r="AB12" s="23"/>
      <c r="AC12" s="23"/>
      <c r="AD12" s="23"/>
      <c r="AE12" s="23"/>
      <c r="AF12" s="23"/>
      <c r="AG12" s="23"/>
      <c r="AH12" s="23"/>
      <c r="AI12" s="23">
        <f t="shared" si="1"/>
        <v>0</v>
      </c>
      <c r="AJ12" s="23">
        <f t="shared" si="0"/>
        <v>0</v>
      </c>
      <c r="AK12" s="23">
        <f t="shared" si="0"/>
        <v>325000</v>
      </c>
      <c r="AL12" s="23">
        <f t="shared" si="0"/>
        <v>225094</v>
      </c>
      <c r="AM12" s="39"/>
      <c r="AN12" s="39"/>
      <c r="AO12" s="39"/>
      <c r="AP12" s="40"/>
    </row>
    <row r="13" spans="1:43" s="9" customFormat="1" x14ac:dyDescent="0.2">
      <c r="A13" s="10" t="s">
        <v>37</v>
      </c>
      <c r="B13" s="10" t="s">
        <v>32</v>
      </c>
      <c r="C13" s="23"/>
      <c r="D13" s="23"/>
      <c r="E13" s="23"/>
      <c r="F13" s="23"/>
      <c r="G13" s="23"/>
      <c r="H13" s="23"/>
      <c r="I13" s="23"/>
      <c r="J13" s="23"/>
      <c r="K13" s="23">
        <v>216000</v>
      </c>
      <c r="L13" s="23">
        <v>216000</v>
      </c>
      <c r="M13" s="23">
        <v>316200</v>
      </c>
      <c r="N13" s="23">
        <v>1307950</v>
      </c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>
        <f t="shared" si="1"/>
        <v>216000</v>
      </c>
      <c r="AJ13" s="23">
        <f t="shared" si="0"/>
        <v>216000</v>
      </c>
      <c r="AK13" s="23">
        <f t="shared" si="0"/>
        <v>316200</v>
      </c>
      <c r="AL13" s="23">
        <f t="shared" si="0"/>
        <v>1307950</v>
      </c>
      <c r="AM13" s="39"/>
      <c r="AN13" s="39"/>
      <c r="AO13" s="39"/>
      <c r="AP13" s="40"/>
    </row>
    <row r="14" spans="1:43" s="9" customFormat="1" x14ac:dyDescent="0.2">
      <c r="A14" s="10" t="s">
        <v>38</v>
      </c>
      <c r="B14" s="10" t="s">
        <v>32</v>
      </c>
      <c r="C14" s="23"/>
      <c r="D14" s="23"/>
      <c r="E14" s="23"/>
      <c r="F14" s="23"/>
      <c r="G14" s="23"/>
      <c r="H14" s="23"/>
      <c r="I14" s="23"/>
      <c r="J14" s="23"/>
      <c r="K14" s="23">
        <v>206000</v>
      </c>
      <c r="L14" s="23">
        <v>206000</v>
      </c>
      <c r="M14" s="23">
        <v>206000</v>
      </c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>
        <f t="shared" si="1"/>
        <v>206000</v>
      </c>
      <c r="AJ14" s="23">
        <f t="shared" si="0"/>
        <v>206000</v>
      </c>
      <c r="AK14" s="23">
        <f t="shared" si="0"/>
        <v>206000</v>
      </c>
      <c r="AL14" s="23">
        <f t="shared" si="0"/>
        <v>0</v>
      </c>
      <c r="AM14" s="39"/>
      <c r="AN14" s="39"/>
      <c r="AO14" s="39"/>
      <c r="AP14" s="40"/>
    </row>
    <row r="15" spans="1:43" s="9" customFormat="1" x14ac:dyDescent="0.2">
      <c r="A15" s="10" t="s">
        <v>66</v>
      </c>
      <c r="B15" s="10" t="s">
        <v>32</v>
      </c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>
        <f t="shared" si="1"/>
        <v>0</v>
      </c>
      <c r="AJ15" s="23"/>
      <c r="AK15" s="23">
        <f t="shared" ref="AK15:AK32" si="2">E15+I15+M15+Q15+U15+Y15+AC15+AG15</f>
        <v>0</v>
      </c>
      <c r="AL15" s="23">
        <f t="shared" ref="AL15:AL32" si="3">F15+J15+N15+R15+V15+Z15+AD15+AH15</f>
        <v>0</v>
      </c>
      <c r="AM15" s="39"/>
      <c r="AN15" s="39"/>
      <c r="AO15" s="39"/>
      <c r="AP15" s="40"/>
    </row>
    <row r="16" spans="1:43" s="9" customFormat="1" x14ac:dyDescent="0.2">
      <c r="A16" s="10" t="s">
        <v>18</v>
      </c>
      <c r="B16" s="10" t="s">
        <v>32</v>
      </c>
      <c r="C16" s="23"/>
      <c r="D16" s="23"/>
      <c r="E16" s="23">
        <v>183000</v>
      </c>
      <c r="F16" s="23">
        <v>182584</v>
      </c>
      <c r="G16" s="23"/>
      <c r="H16" s="23"/>
      <c r="I16" s="23"/>
      <c r="J16" s="23">
        <v>28757</v>
      </c>
      <c r="K16" s="23">
        <v>1446530</v>
      </c>
      <c r="L16" s="23">
        <v>1446530</v>
      </c>
      <c r="M16" s="23">
        <v>1446530</v>
      </c>
      <c r="N16" s="23">
        <v>612236</v>
      </c>
      <c r="O16" s="23"/>
      <c r="P16" s="23"/>
      <c r="Q16" s="23"/>
      <c r="R16" s="23"/>
      <c r="S16" s="23"/>
      <c r="T16" s="23"/>
      <c r="U16" s="23"/>
      <c r="V16" s="23"/>
      <c r="W16" s="23"/>
      <c r="X16" s="23">
        <v>0</v>
      </c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>
        <f t="shared" si="1"/>
        <v>1446530</v>
      </c>
      <c r="AJ16" s="23">
        <f>D16+H16+L16+P16+T16+X16+AB16+AF16</f>
        <v>1446530</v>
      </c>
      <c r="AK16" s="23">
        <f t="shared" si="2"/>
        <v>1629530</v>
      </c>
      <c r="AL16" s="23">
        <f t="shared" si="3"/>
        <v>823577</v>
      </c>
      <c r="AM16" s="39"/>
      <c r="AN16" s="39"/>
      <c r="AO16" s="39"/>
      <c r="AP16" s="40"/>
    </row>
    <row r="17" spans="1:42" s="9" customFormat="1" x14ac:dyDescent="0.2">
      <c r="A17" s="10" t="s">
        <v>5</v>
      </c>
      <c r="B17" s="10" t="s">
        <v>32</v>
      </c>
      <c r="C17" s="23"/>
      <c r="D17" s="23"/>
      <c r="E17" s="23"/>
      <c r="F17" s="23"/>
      <c r="G17" s="23"/>
      <c r="H17" s="23"/>
      <c r="I17" s="23"/>
      <c r="J17" s="23"/>
      <c r="K17" s="23">
        <v>3683000</v>
      </c>
      <c r="L17" s="23">
        <v>3683000</v>
      </c>
      <c r="M17" s="23">
        <f>3683000-783000</f>
        <v>2900000</v>
      </c>
      <c r="N17" s="23">
        <v>793485</v>
      </c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>
        <v>421802</v>
      </c>
      <c r="AA17" s="23"/>
      <c r="AB17" s="23"/>
      <c r="AC17" s="23"/>
      <c r="AD17" s="23"/>
      <c r="AE17" s="23"/>
      <c r="AF17" s="23"/>
      <c r="AG17" s="23"/>
      <c r="AH17" s="23"/>
      <c r="AI17" s="23">
        <f t="shared" si="1"/>
        <v>3683000</v>
      </c>
      <c r="AJ17" s="23">
        <f>D17+H17+L17+P17+T17+X17+AB17+AF17</f>
        <v>3683000</v>
      </c>
      <c r="AK17" s="23">
        <f t="shared" si="2"/>
        <v>2900000</v>
      </c>
      <c r="AL17" s="23">
        <f t="shared" si="3"/>
        <v>1215287</v>
      </c>
      <c r="AM17" s="39"/>
      <c r="AN17" s="39"/>
      <c r="AO17" s="39"/>
      <c r="AP17" s="40"/>
    </row>
    <row r="18" spans="1:42" s="9" customFormat="1" x14ac:dyDescent="0.2">
      <c r="A18" s="10" t="s">
        <v>22</v>
      </c>
      <c r="B18" s="10" t="s">
        <v>32</v>
      </c>
      <c r="C18" s="23"/>
      <c r="D18" s="23"/>
      <c r="E18" s="23"/>
      <c r="F18" s="23">
        <v>1555</v>
      </c>
      <c r="G18" s="23"/>
      <c r="H18" s="23"/>
      <c r="I18" s="23"/>
      <c r="J18" s="23">
        <v>0</v>
      </c>
      <c r="K18" s="23"/>
      <c r="L18" s="23">
        <v>0</v>
      </c>
      <c r="M18" s="23">
        <v>0</v>
      </c>
      <c r="N18" s="23">
        <v>737730</v>
      </c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>
        <v>219700000</v>
      </c>
      <c r="Z18" s="23">
        <v>49454955</v>
      </c>
      <c r="AA18" s="23"/>
      <c r="AB18" s="23"/>
      <c r="AC18" s="23"/>
      <c r="AD18" s="23"/>
      <c r="AE18" s="23"/>
      <c r="AF18" s="23"/>
      <c r="AG18" s="23"/>
      <c r="AH18" s="23"/>
      <c r="AI18" s="23">
        <f t="shared" si="1"/>
        <v>0</v>
      </c>
      <c r="AJ18" s="23">
        <f>D18+H18+L18+P18+T18+X18+AB18+AF18</f>
        <v>0</v>
      </c>
      <c r="AK18" s="23">
        <f t="shared" si="2"/>
        <v>219700000</v>
      </c>
      <c r="AL18" s="23">
        <f t="shared" si="3"/>
        <v>50194240</v>
      </c>
      <c r="AM18" s="39"/>
      <c r="AN18" s="39"/>
      <c r="AO18" s="39"/>
      <c r="AP18" s="40"/>
    </row>
    <row r="19" spans="1:42" s="9" customFormat="1" x14ac:dyDescent="0.2">
      <c r="A19" s="10" t="s">
        <v>7</v>
      </c>
      <c r="B19" s="10" t="s">
        <v>32</v>
      </c>
      <c r="C19" s="23"/>
      <c r="D19" s="23"/>
      <c r="E19" s="23"/>
      <c r="F19" s="23"/>
      <c r="G19" s="23"/>
      <c r="H19" s="23"/>
      <c r="I19" s="23"/>
      <c r="J19" s="23"/>
      <c r="K19" s="23">
        <v>1440000</v>
      </c>
      <c r="L19" s="23">
        <v>1440000</v>
      </c>
      <c r="M19" s="23">
        <v>1440000</v>
      </c>
      <c r="N19" s="23">
        <v>302154</v>
      </c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>
        <f t="shared" si="1"/>
        <v>1440000</v>
      </c>
      <c r="AJ19" s="23">
        <f>D19+H19+L19+P19+T19+X19+AB19+AF19</f>
        <v>1440000</v>
      </c>
      <c r="AK19" s="23">
        <f t="shared" si="2"/>
        <v>1440000</v>
      </c>
      <c r="AL19" s="23">
        <f t="shared" si="3"/>
        <v>302154</v>
      </c>
      <c r="AM19" s="39"/>
      <c r="AN19" s="39"/>
      <c r="AO19" s="39"/>
      <c r="AP19" s="40"/>
    </row>
    <row r="20" spans="1:42" s="9" customFormat="1" x14ac:dyDescent="0.2">
      <c r="A20" s="10" t="s">
        <v>73</v>
      </c>
      <c r="B20" s="10" t="s">
        <v>32</v>
      </c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>
        <v>1868170</v>
      </c>
      <c r="Z20" s="23">
        <v>1868170</v>
      </c>
      <c r="AA20" s="23"/>
      <c r="AB20" s="23"/>
      <c r="AC20" s="23"/>
      <c r="AD20" s="23"/>
      <c r="AE20" s="23"/>
      <c r="AF20" s="23"/>
      <c r="AG20" s="23"/>
      <c r="AH20" s="23"/>
      <c r="AI20" s="23">
        <f t="shared" si="1"/>
        <v>0</v>
      </c>
      <c r="AJ20" s="23"/>
      <c r="AK20" s="23">
        <f t="shared" si="2"/>
        <v>1868170</v>
      </c>
      <c r="AL20" s="23">
        <f t="shared" si="3"/>
        <v>1868170</v>
      </c>
      <c r="AM20" s="39"/>
      <c r="AN20" s="39"/>
      <c r="AO20" s="39"/>
      <c r="AP20" s="40"/>
    </row>
    <row r="21" spans="1:42" s="9" customFormat="1" x14ac:dyDescent="0.2">
      <c r="A21" s="10" t="s">
        <v>39</v>
      </c>
      <c r="B21" s="10" t="s">
        <v>32</v>
      </c>
      <c r="C21" s="23"/>
      <c r="D21" s="23">
        <v>0</v>
      </c>
      <c r="E21" s="23">
        <v>0</v>
      </c>
      <c r="F21" s="23"/>
      <c r="G21" s="23"/>
      <c r="H21" s="23">
        <v>0</v>
      </c>
      <c r="I21" s="23">
        <v>0</v>
      </c>
      <c r="J21" s="23"/>
      <c r="K21" s="23"/>
      <c r="L21" s="23">
        <v>0</v>
      </c>
      <c r="M21" s="23">
        <v>603008</v>
      </c>
      <c r="N21" s="23">
        <v>748294</v>
      </c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>
        <f t="shared" si="1"/>
        <v>0</v>
      </c>
      <c r="AJ21" s="23">
        <f>D21+H21+L21+P21+T21+X21+AB21+AF21</f>
        <v>0</v>
      </c>
      <c r="AK21" s="23">
        <f t="shared" si="2"/>
        <v>603008</v>
      </c>
      <c r="AL21" s="23">
        <f t="shared" si="3"/>
        <v>748294</v>
      </c>
      <c r="AM21" s="39"/>
      <c r="AN21" s="39"/>
      <c r="AO21" s="39"/>
      <c r="AP21" s="40"/>
    </row>
    <row r="22" spans="1:42" s="9" customFormat="1" x14ac:dyDescent="0.2">
      <c r="A22" s="10" t="s">
        <v>40</v>
      </c>
      <c r="B22" s="10" t="s">
        <v>32</v>
      </c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>
        <f>94552680+1000000+300000</f>
        <v>95852680</v>
      </c>
      <c r="T22" s="23">
        <f>77466398+1819347</f>
        <v>79285745</v>
      </c>
      <c r="U22" s="23">
        <f>82992949</f>
        <v>82992949</v>
      </c>
      <c r="V22" s="23">
        <f>85168761</f>
        <v>85168761</v>
      </c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>
        <f t="shared" si="1"/>
        <v>95852680</v>
      </c>
      <c r="AJ22" s="23">
        <f>D22+H22+L22+P22+T22+X22+AB22+AF22</f>
        <v>79285745</v>
      </c>
      <c r="AK22" s="23">
        <f t="shared" si="2"/>
        <v>82992949</v>
      </c>
      <c r="AL22" s="23">
        <f t="shared" si="3"/>
        <v>85168761</v>
      </c>
      <c r="AM22" s="39"/>
      <c r="AN22" s="39"/>
      <c r="AO22" s="39"/>
      <c r="AP22" s="40"/>
    </row>
    <row r="23" spans="1:42" s="9" customFormat="1" x14ac:dyDescent="0.2">
      <c r="A23" s="10" t="s">
        <v>74</v>
      </c>
      <c r="B23" s="10" t="s">
        <v>32</v>
      </c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>
        <v>4582</v>
      </c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>
        <f t="shared" si="1"/>
        <v>0</v>
      </c>
      <c r="AJ23" s="23"/>
      <c r="AK23" s="23">
        <f t="shared" si="2"/>
        <v>0</v>
      </c>
      <c r="AL23" s="23">
        <f t="shared" si="3"/>
        <v>4582</v>
      </c>
      <c r="AM23" s="39"/>
      <c r="AN23" s="39"/>
      <c r="AO23" s="39"/>
      <c r="AP23" s="40"/>
    </row>
    <row r="24" spans="1:42" s="9" customFormat="1" x14ac:dyDescent="0.2">
      <c r="A24" s="10" t="s">
        <v>75</v>
      </c>
      <c r="B24" s="10" t="s">
        <v>32</v>
      </c>
      <c r="C24" s="23"/>
      <c r="D24" s="23"/>
      <c r="E24" s="23"/>
      <c r="F24" s="23">
        <v>2898</v>
      </c>
      <c r="G24" s="23"/>
      <c r="H24" s="23"/>
      <c r="I24" s="23"/>
      <c r="J24" s="23"/>
      <c r="K24" s="23"/>
      <c r="L24" s="23"/>
      <c r="M24" s="23"/>
      <c r="N24" s="23">
        <v>38225</v>
      </c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>
        <f t="shared" si="1"/>
        <v>0</v>
      </c>
      <c r="AJ24" s="23"/>
      <c r="AK24" s="23">
        <f t="shared" si="2"/>
        <v>0</v>
      </c>
      <c r="AL24" s="23">
        <f t="shared" si="3"/>
        <v>41123</v>
      </c>
      <c r="AM24" s="39"/>
      <c r="AN24" s="39"/>
      <c r="AO24" s="39"/>
      <c r="AP24" s="40"/>
    </row>
    <row r="25" spans="1:42" s="9" customFormat="1" x14ac:dyDescent="0.2">
      <c r="A25" s="10" t="s">
        <v>76</v>
      </c>
      <c r="B25" s="10" t="s">
        <v>32</v>
      </c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>
        <v>34648</v>
      </c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>
        <f t="shared" si="1"/>
        <v>0</v>
      </c>
      <c r="AJ25" s="23"/>
      <c r="AK25" s="23">
        <f t="shared" si="2"/>
        <v>0</v>
      </c>
      <c r="AL25" s="23">
        <f t="shared" si="3"/>
        <v>34648</v>
      </c>
      <c r="AM25" s="39"/>
      <c r="AN25" s="39"/>
      <c r="AO25" s="39"/>
      <c r="AP25" s="40"/>
    </row>
    <row r="26" spans="1:42" s="9" customFormat="1" x14ac:dyDescent="0.2">
      <c r="A26" s="10" t="s">
        <v>83</v>
      </c>
      <c r="B26" s="10" t="s">
        <v>33</v>
      </c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>
        <v>3053340</v>
      </c>
      <c r="N26" s="23">
        <v>3307169</v>
      </c>
      <c r="O26" s="23"/>
      <c r="P26" s="23"/>
      <c r="Q26" s="23"/>
      <c r="R26" s="23"/>
      <c r="S26" s="23"/>
      <c r="T26" s="23"/>
      <c r="U26" s="23"/>
      <c r="V26" s="23"/>
      <c r="W26" s="23"/>
      <c r="X26" s="23"/>
      <c r="Y26" s="23">
        <f>3479756+79567299</f>
        <v>83047055</v>
      </c>
      <c r="Z26" s="23">
        <f>5203353+47773653</f>
        <v>52977006</v>
      </c>
      <c r="AA26" s="23"/>
      <c r="AB26" s="23"/>
      <c r="AC26" s="23">
        <v>0</v>
      </c>
      <c r="AD26" s="23">
        <v>0</v>
      </c>
      <c r="AE26" s="23"/>
      <c r="AF26" s="23"/>
      <c r="AG26" s="23"/>
      <c r="AH26" s="23"/>
      <c r="AI26" s="23">
        <f t="shared" si="1"/>
        <v>0</v>
      </c>
      <c r="AJ26" s="23"/>
      <c r="AK26" s="23">
        <f t="shared" si="2"/>
        <v>86100395</v>
      </c>
      <c r="AL26" s="23">
        <f t="shared" si="3"/>
        <v>56284175</v>
      </c>
      <c r="AM26" s="39"/>
      <c r="AN26" s="39"/>
      <c r="AO26" s="39"/>
      <c r="AP26" s="40"/>
    </row>
    <row r="27" spans="1:42" s="9" customFormat="1" x14ac:dyDescent="0.2">
      <c r="A27" s="10" t="s">
        <v>41</v>
      </c>
      <c r="B27" s="10" t="s">
        <v>33</v>
      </c>
      <c r="C27" s="23"/>
      <c r="D27" s="23"/>
      <c r="E27" s="23"/>
      <c r="F27" s="23"/>
      <c r="G27" s="23"/>
      <c r="H27" s="23">
        <v>0</v>
      </c>
      <c r="I27" s="23">
        <v>0</v>
      </c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>
        <f t="shared" si="1"/>
        <v>0</v>
      </c>
      <c r="AJ27" s="23">
        <f>D27+H27+L27+P27+T27+X27+AB27+AF27</f>
        <v>0</v>
      </c>
      <c r="AK27" s="23">
        <f t="shared" si="2"/>
        <v>0</v>
      </c>
      <c r="AL27" s="23">
        <f t="shared" si="3"/>
        <v>0</v>
      </c>
      <c r="AM27" s="39"/>
      <c r="AN27" s="39"/>
      <c r="AO27" s="39"/>
      <c r="AP27" s="40"/>
    </row>
    <row r="28" spans="1:42" s="9" customFormat="1" x14ac:dyDescent="0.2">
      <c r="A28" s="10" t="s">
        <v>60</v>
      </c>
      <c r="B28" s="10" t="s">
        <v>33</v>
      </c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>
        <f t="shared" si="1"/>
        <v>0</v>
      </c>
      <c r="AJ28" s="23"/>
      <c r="AK28" s="23">
        <f t="shared" si="2"/>
        <v>0</v>
      </c>
      <c r="AL28" s="23">
        <f t="shared" si="3"/>
        <v>0</v>
      </c>
      <c r="AM28" s="39"/>
      <c r="AN28" s="39"/>
      <c r="AO28" s="39"/>
      <c r="AP28" s="40"/>
    </row>
    <row r="29" spans="1:42" s="9" customFormat="1" x14ac:dyDescent="0.2">
      <c r="A29" s="10" t="s">
        <v>42</v>
      </c>
      <c r="B29" s="10" t="s">
        <v>33</v>
      </c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23"/>
      <c r="AF29" s="23"/>
      <c r="AG29" s="23"/>
      <c r="AH29" s="23"/>
      <c r="AI29" s="23">
        <f t="shared" si="1"/>
        <v>0</v>
      </c>
      <c r="AJ29" s="23">
        <f t="shared" ref="AJ29:AJ64" si="4">D29+H29+L29+P29+T29+X29+AB29+AF29</f>
        <v>0</v>
      </c>
      <c r="AK29" s="23">
        <f t="shared" si="2"/>
        <v>0</v>
      </c>
      <c r="AL29" s="23">
        <f t="shared" si="3"/>
        <v>0</v>
      </c>
      <c r="AM29" s="39"/>
      <c r="AN29" s="39"/>
      <c r="AO29" s="39"/>
      <c r="AP29" s="40"/>
    </row>
    <row r="30" spans="1:42" s="9" customFormat="1" x14ac:dyDescent="0.2">
      <c r="A30" s="10" t="s">
        <v>43</v>
      </c>
      <c r="B30" s="10" t="s">
        <v>32</v>
      </c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>
        <f t="shared" si="1"/>
        <v>0</v>
      </c>
      <c r="AJ30" s="23">
        <f t="shared" si="4"/>
        <v>0</v>
      </c>
      <c r="AK30" s="23">
        <f t="shared" si="2"/>
        <v>0</v>
      </c>
      <c r="AL30" s="23">
        <f t="shared" si="3"/>
        <v>0</v>
      </c>
      <c r="AM30" s="39"/>
      <c r="AN30" s="39"/>
      <c r="AO30" s="39"/>
      <c r="AP30" s="40"/>
    </row>
    <row r="31" spans="1:42" s="9" customFormat="1" x14ac:dyDescent="0.2">
      <c r="A31" s="10" t="s">
        <v>44</v>
      </c>
      <c r="B31" s="10" t="s">
        <v>32</v>
      </c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>
        <f t="shared" si="1"/>
        <v>0</v>
      </c>
      <c r="AJ31" s="23">
        <f t="shared" si="4"/>
        <v>0</v>
      </c>
      <c r="AK31" s="23">
        <f t="shared" si="2"/>
        <v>0</v>
      </c>
      <c r="AL31" s="23">
        <f t="shared" si="3"/>
        <v>0</v>
      </c>
      <c r="AM31" s="39"/>
      <c r="AN31" s="39"/>
      <c r="AO31" s="39"/>
      <c r="AP31" s="40"/>
    </row>
    <row r="32" spans="1:42" s="9" customFormat="1" x14ac:dyDescent="0.2">
      <c r="A32" s="10" t="s">
        <v>45</v>
      </c>
      <c r="B32" s="10" t="s">
        <v>32</v>
      </c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23"/>
      <c r="AF32" s="23"/>
      <c r="AG32" s="23"/>
      <c r="AH32" s="23"/>
      <c r="AI32" s="23">
        <f t="shared" si="1"/>
        <v>0</v>
      </c>
      <c r="AJ32" s="23">
        <f t="shared" si="4"/>
        <v>0</v>
      </c>
      <c r="AK32" s="23">
        <f t="shared" si="2"/>
        <v>0</v>
      </c>
      <c r="AL32" s="23">
        <f t="shared" si="3"/>
        <v>0</v>
      </c>
      <c r="AM32" s="39"/>
      <c r="AN32" s="39"/>
      <c r="AO32" s="39"/>
      <c r="AP32" s="40"/>
    </row>
    <row r="33" spans="1:42" s="9" customFormat="1" x14ac:dyDescent="0.2">
      <c r="A33" s="10" t="s">
        <v>46</v>
      </c>
      <c r="B33" s="10" t="s">
        <v>32</v>
      </c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23"/>
      <c r="AF33" s="23"/>
      <c r="AG33" s="23"/>
      <c r="AH33" s="23"/>
      <c r="AI33" s="23">
        <f t="shared" si="1"/>
        <v>0</v>
      </c>
      <c r="AJ33" s="23">
        <f t="shared" si="4"/>
        <v>0</v>
      </c>
      <c r="AK33" s="23">
        <f t="shared" ref="AK33:AK48" si="5">E33+I33+M33+Q33+U33+Y33+AC33+AG33</f>
        <v>0</v>
      </c>
      <c r="AL33" s="23">
        <v>0</v>
      </c>
      <c r="AM33" s="39"/>
      <c r="AN33" s="39"/>
      <c r="AO33" s="39"/>
      <c r="AP33" s="40"/>
    </row>
    <row r="34" spans="1:42" s="9" customFormat="1" x14ac:dyDescent="0.2">
      <c r="A34" s="10" t="s">
        <v>49</v>
      </c>
      <c r="B34" s="10" t="s">
        <v>33</v>
      </c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23"/>
      <c r="AF34" s="23"/>
      <c r="AG34" s="23"/>
      <c r="AH34" s="23"/>
      <c r="AI34" s="23">
        <f t="shared" si="1"/>
        <v>0</v>
      </c>
      <c r="AJ34" s="23">
        <f t="shared" si="4"/>
        <v>0</v>
      </c>
      <c r="AK34" s="23">
        <f t="shared" si="5"/>
        <v>0</v>
      </c>
      <c r="AL34" s="23">
        <f t="shared" ref="AL34:AL64" si="6">F34+J34+N34+R34+V34+Z34+AD34+AH34</f>
        <v>0</v>
      </c>
      <c r="AM34" s="39"/>
      <c r="AN34" s="39"/>
      <c r="AO34" s="39"/>
      <c r="AP34" s="40"/>
    </row>
    <row r="35" spans="1:42" s="9" customFormat="1" x14ac:dyDescent="0.2">
      <c r="A35" s="10" t="s">
        <v>80</v>
      </c>
      <c r="B35" s="10" t="s">
        <v>33</v>
      </c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>
        <v>0</v>
      </c>
      <c r="U35" s="23">
        <v>0</v>
      </c>
      <c r="V35" s="23"/>
      <c r="W35" s="23"/>
      <c r="X35" s="23"/>
      <c r="Y35" s="23"/>
      <c r="Z35" s="23"/>
      <c r="AA35" s="23"/>
      <c r="AB35" s="23"/>
      <c r="AC35" s="23"/>
      <c r="AD35" s="23"/>
      <c r="AE35" s="23"/>
      <c r="AF35" s="23"/>
      <c r="AG35" s="23"/>
      <c r="AH35" s="23"/>
      <c r="AI35" s="23">
        <f t="shared" si="1"/>
        <v>0</v>
      </c>
      <c r="AJ35" s="23">
        <f t="shared" si="4"/>
        <v>0</v>
      </c>
      <c r="AK35" s="23">
        <f t="shared" si="5"/>
        <v>0</v>
      </c>
      <c r="AL35" s="23">
        <f t="shared" si="6"/>
        <v>0</v>
      </c>
      <c r="AM35" s="39"/>
      <c r="AN35" s="39"/>
      <c r="AO35" s="39"/>
      <c r="AP35" s="40"/>
    </row>
    <row r="36" spans="1:42" s="9" customFormat="1" x14ac:dyDescent="0.2">
      <c r="A36" s="10" t="s">
        <v>47</v>
      </c>
      <c r="B36" s="10" t="s">
        <v>33</v>
      </c>
      <c r="C36" s="23"/>
      <c r="D36" s="23"/>
      <c r="E36" s="23"/>
      <c r="F36" s="23">
        <v>180260</v>
      </c>
      <c r="G36" s="23"/>
      <c r="H36" s="23"/>
      <c r="I36" s="23"/>
      <c r="J36" s="23"/>
      <c r="K36" s="23"/>
      <c r="L36" s="23"/>
      <c r="M36" s="23"/>
      <c r="N36" s="23">
        <v>838998</v>
      </c>
      <c r="O36" s="23">
        <v>8010000</v>
      </c>
      <c r="P36" s="23">
        <v>3973000</v>
      </c>
      <c r="Q36" s="23">
        <v>3973000</v>
      </c>
      <c r="R36" s="23">
        <v>3595514</v>
      </c>
      <c r="S36" s="23"/>
      <c r="T36" s="23"/>
      <c r="U36" s="23"/>
      <c r="V36" s="23">
        <v>375000</v>
      </c>
      <c r="W36" s="23"/>
      <c r="X36" s="23"/>
      <c r="Y36" s="23"/>
      <c r="Z36" s="23"/>
      <c r="AA36" s="23"/>
      <c r="AB36" s="23"/>
      <c r="AC36" s="23"/>
      <c r="AD36" s="23"/>
      <c r="AE36" s="23"/>
      <c r="AF36" s="23"/>
      <c r="AG36" s="23"/>
      <c r="AH36" s="23"/>
      <c r="AI36" s="23">
        <f t="shared" si="1"/>
        <v>8010000</v>
      </c>
      <c r="AJ36" s="23">
        <f t="shared" si="4"/>
        <v>3973000</v>
      </c>
      <c r="AK36" s="23">
        <f t="shared" si="5"/>
        <v>3973000</v>
      </c>
      <c r="AL36" s="23">
        <f t="shared" si="6"/>
        <v>4989772</v>
      </c>
      <c r="AM36" s="39"/>
      <c r="AN36" s="39"/>
      <c r="AO36" s="39"/>
      <c r="AP36" s="40"/>
    </row>
    <row r="37" spans="1:42" s="9" customFormat="1" x14ac:dyDescent="0.2">
      <c r="A37" s="10" t="s">
        <v>84</v>
      </c>
      <c r="B37" s="10" t="s">
        <v>33</v>
      </c>
      <c r="C37" s="23"/>
      <c r="D37" s="23"/>
      <c r="E37" s="23"/>
      <c r="F37" s="23"/>
      <c r="G37" s="23"/>
      <c r="H37" s="23"/>
      <c r="I37" s="23"/>
      <c r="J37" s="23"/>
      <c r="K37" s="23"/>
      <c r="L37" s="23">
        <v>0</v>
      </c>
      <c r="M37" s="23">
        <v>0</v>
      </c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>
        <v>1150000</v>
      </c>
      <c r="Z37" s="23">
        <v>1150000</v>
      </c>
      <c r="AA37" s="23"/>
      <c r="AB37" s="23"/>
      <c r="AC37" s="23"/>
      <c r="AD37" s="23"/>
      <c r="AE37" s="23"/>
      <c r="AF37" s="23"/>
      <c r="AG37" s="23"/>
      <c r="AH37" s="23"/>
      <c r="AI37" s="23">
        <f t="shared" si="1"/>
        <v>0</v>
      </c>
      <c r="AJ37" s="23">
        <f t="shared" si="4"/>
        <v>0</v>
      </c>
      <c r="AK37" s="23">
        <f t="shared" si="5"/>
        <v>1150000</v>
      </c>
      <c r="AL37" s="23">
        <f t="shared" si="6"/>
        <v>1150000</v>
      </c>
      <c r="AM37" s="39"/>
      <c r="AN37" s="39"/>
      <c r="AO37" s="39"/>
      <c r="AP37" s="40"/>
    </row>
    <row r="38" spans="1:42" s="9" customFormat="1" x14ac:dyDescent="0.2">
      <c r="A38" s="10" t="s">
        <v>48</v>
      </c>
      <c r="B38" s="10" t="s">
        <v>33</v>
      </c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>
        <f t="shared" si="1"/>
        <v>0</v>
      </c>
      <c r="AJ38" s="23">
        <f t="shared" si="4"/>
        <v>0</v>
      </c>
      <c r="AK38" s="23">
        <f t="shared" si="5"/>
        <v>0</v>
      </c>
      <c r="AL38" s="23">
        <f t="shared" si="6"/>
        <v>0</v>
      </c>
      <c r="AM38" s="39"/>
      <c r="AN38" s="39"/>
      <c r="AO38" s="39"/>
      <c r="AP38" s="40"/>
    </row>
    <row r="39" spans="1:42" s="9" customFormat="1" x14ac:dyDescent="0.2">
      <c r="A39" s="10" t="s">
        <v>69</v>
      </c>
      <c r="B39" s="10" t="s">
        <v>33</v>
      </c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>
        <v>0</v>
      </c>
      <c r="Q39" s="23">
        <v>0</v>
      </c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>
        <f t="shared" si="1"/>
        <v>0</v>
      </c>
      <c r="AJ39" s="23">
        <f t="shared" si="4"/>
        <v>0</v>
      </c>
      <c r="AK39" s="23">
        <f t="shared" si="5"/>
        <v>0</v>
      </c>
      <c r="AL39" s="23">
        <f t="shared" si="6"/>
        <v>0</v>
      </c>
      <c r="AM39" s="39"/>
      <c r="AN39" s="39"/>
      <c r="AO39" s="39"/>
      <c r="AP39" s="40"/>
    </row>
    <row r="40" spans="1:42" s="9" customFormat="1" x14ac:dyDescent="0.2">
      <c r="A40" s="10" t="s">
        <v>70</v>
      </c>
      <c r="B40" s="10" t="s">
        <v>33</v>
      </c>
      <c r="C40" s="23">
        <v>3187800</v>
      </c>
      <c r="D40" s="23">
        <v>2568000</v>
      </c>
      <c r="E40" s="23">
        <v>2888000</v>
      </c>
      <c r="F40" s="23">
        <v>2049112</v>
      </c>
      <c r="G40" s="23">
        <v>567865</v>
      </c>
      <c r="H40" s="23">
        <v>510760</v>
      </c>
      <c r="I40" s="23">
        <v>510760</v>
      </c>
      <c r="J40" s="23">
        <v>127435</v>
      </c>
      <c r="K40" s="23">
        <v>8258048</v>
      </c>
      <c r="L40" s="23">
        <v>5354828</v>
      </c>
      <c r="M40" s="23">
        <v>6214828</v>
      </c>
      <c r="N40" s="23">
        <v>2561599</v>
      </c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>
        <f t="shared" si="1"/>
        <v>12013713</v>
      </c>
      <c r="AJ40" s="23">
        <f t="shared" si="4"/>
        <v>8433588</v>
      </c>
      <c r="AK40" s="23">
        <f t="shared" si="5"/>
        <v>9613588</v>
      </c>
      <c r="AL40" s="23">
        <f t="shared" si="6"/>
        <v>4738146</v>
      </c>
      <c r="AM40" s="39">
        <v>1</v>
      </c>
      <c r="AN40" s="39">
        <v>2</v>
      </c>
      <c r="AO40" s="39">
        <v>2</v>
      </c>
      <c r="AP40" s="40">
        <v>1</v>
      </c>
    </row>
    <row r="41" spans="1:42" s="9" customFormat="1" x14ac:dyDescent="0.2">
      <c r="A41" s="10" t="s">
        <v>16</v>
      </c>
      <c r="B41" s="10" t="s">
        <v>32</v>
      </c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>
        <v>73200</v>
      </c>
      <c r="T41" s="23">
        <v>73200</v>
      </c>
      <c r="U41" s="23">
        <v>73200</v>
      </c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>
        <f t="shared" si="1"/>
        <v>73200</v>
      </c>
      <c r="AJ41" s="23">
        <f t="shared" si="4"/>
        <v>73200</v>
      </c>
      <c r="AK41" s="23">
        <f t="shared" si="5"/>
        <v>73200</v>
      </c>
      <c r="AL41" s="23">
        <f t="shared" si="6"/>
        <v>0</v>
      </c>
      <c r="AM41" s="39"/>
      <c r="AN41" s="39"/>
      <c r="AO41" s="39"/>
      <c r="AP41" s="40"/>
    </row>
    <row r="42" spans="1:42" s="9" customFormat="1" x14ac:dyDescent="0.2">
      <c r="A42" s="10" t="s">
        <v>78</v>
      </c>
      <c r="B42" s="10" t="s">
        <v>33</v>
      </c>
      <c r="C42" s="23"/>
      <c r="D42" s="23"/>
      <c r="E42" s="23"/>
      <c r="F42" s="23"/>
      <c r="G42" s="23"/>
      <c r="H42" s="23"/>
      <c r="I42" s="23"/>
      <c r="J42" s="23"/>
      <c r="K42" s="23"/>
      <c r="L42" s="23">
        <v>0</v>
      </c>
      <c r="M42" s="23">
        <v>0</v>
      </c>
      <c r="N42" s="23"/>
      <c r="O42" s="23"/>
      <c r="P42" s="23"/>
      <c r="Q42" s="23"/>
      <c r="R42" s="23"/>
      <c r="S42" s="23"/>
      <c r="T42" s="23"/>
      <c r="U42" s="23"/>
      <c r="V42" s="23">
        <v>200000</v>
      </c>
      <c r="W42" s="23"/>
      <c r="X42" s="23"/>
      <c r="Y42" s="23">
        <v>0</v>
      </c>
      <c r="Z42" s="23">
        <v>280000</v>
      </c>
      <c r="AA42" s="23"/>
      <c r="AB42" s="23"/>
      <c r="AC42" s="23"/>
      <c r="AD42" s="23"/>
      <c r="AE42" s="23"/>
      <c r="AF42" s="23"/>
      <c r="AG42" s="23"/>
      <c r="AH42" s="23"/>
      <c r="AI42" s="23">
        <f t="shared" si="1"/>
        <v>0</v>
      </c>
      <c r="AJ42" s="23">
        <f t="shared" si="4"/>
        <v>0</v>
      </c>
      <c r="AK42" s="23">
        <f t="shared" si="5"/>
        <v>0</v>
      </c>
      <c r="AL42" s="23">
        <f t="shared" si="6"/>
        <v>480000</v>
      </c>
      <c r="AM42" s="39"/>
      <c r="AN42" s="39"/>
      <c r="AO42" s="39"/>
      <c r="AP42" s="40"/>
    </row>
    <row r="43" spans="1:42" s="9" customFormat="1" x14ac:dyDescent="0.2">
      <c r="A43" s="10" t="s">
        <v>17</v>
      </c>
      <c r="B43" s="10" t="s">
        <v>33</v>
      </c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>
        <v>2397000</v>
      </c>
      <c r="T43" s="23">
        <v>2397000</v>
      </c>
      <c r="U43" s="23">
        <v>2397000</v>
      </c>
      <c r="V43" s="23">
        <v>2400000</v>
      </c>
      <c r="W43" s="23"/>
      <c r="X43" s="23"/>
      <c r="Y43" s="23">
        <f>8000000</f>
        <v>8000000</v>
      </c>
      <c r="Z43" s="23">
        <v>8000000</v>
      </c>
      <c r="AA43" s="23"/>
      <c r="AB43" s="23"/>
      <c r="AC43" s="23"/>
      <c r="AD43" s="23"/>
      <c r="AE43" s="23"/>
      <c r="AF43" s="23"/>
      <c r="AG43" s="23"/>
      <c r="AH43" s="23"/>
      <c r="AI43" s="23">
        <f t="shared" si="1"/>
        <v>2397000</v>
      </c>
      <c r="AJ43" s="23">
        <f t="shared" si="4"/>
        <v>2397000</v>
      </c>
      <c r="AK43" s="23">
        <f t="shared" si="5"/>
        <v>10397000</v>
      </c>
      <c r="AL43" s="23">
        <f t="shared" si="6"/>
        <v>10400000</v>
      </c>
      <c r="AM43" s="39"/>
      <c r="AN43" s="39"/>
      <c r="AO43" s="39"/>
      <c r="AP43" s="40"/>
    </row>
    <row r="44" spans="1:42" s="9" customFormat="1" x14ac:dyDescent="0.2">
      <c r="A44" s="10" t="s">
        <v>51</v>
      </c>
      <c r="B44" s="10" t="s">
        <v>32</v>
      </c>
      <c r="C44" s="23"/>
      <c r="D44" s="23"/>
      <c r="E44" s="23"/>
      <c r="F44" s="23"/>
      <c r="G44" s="23"/>
      <c r="H44" s="23"/>
      <c r="I44" s="23"/>
      <c r="J44" s="23"/>
      <c r="K44" s="23">
        <v>100000</v>
      </c>
      <c r="L44" s="23">
        <v>100000</v>
      </c>
      <c r="M44" s="23">
        <v>100000</v>
      </c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>
        <f t="shared" si="1"/>
        <v>100000</v>
      </c>
      <c r="AJ44" s="23">
        <f t="shared" si="4"/>
        <v>100000</v>
      </c>
      <c r="AK44" s="23">
        <f t="shared" si="5"/>
        <v>100000</v>
      </c>
      <c r="AL44" s="23">
        <f t="shared" si="6"/>
        <v>0</v>
      </c>
      <c r="AM44" s="39"/>
      <c r="AN44" s="39"/>
      <c r="AO44" s="39"/>
      <c r="AP44" s="40"/>
    </row>
    <row r="45" spans="1:42" s="37" customFormat="1" x14ac:dyDescent="0.2">
      <c r="A45" s="13" t="s">
        <v>52</v>
      </c>
      <c r="B45" s="14" t="s">
        <v>63</v>
      </c>
      <c r="C45" s="59"/>
      <c r="D45" s="24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>
        <v>0</v>
      </c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3">
        <f t="shared" si="1"/>
        <v>0</v>
      </c>
      <c r="AJ45" s="24">
        <f t="shared" si="4"/>
        <v>0</v>
      </c>
      <c r="AK45" s="24">
        <f t="shared" si="5"/>
        <v>0</v>
      </c>
      <c r="AL45" s="24">
        <f t="shared" si="6"/>
        <v>0</v>
      </c>
      <c r="AM45" s="41"/>
      <c r="AN45" s="41"/>
      <c r="AO45" s="41"/>
      <c r="AP45" s="42"/>
    </row>
    <row r="46" spans="1:42" s="9" customFormat="1" ht="14.25" customHeight="1" x14ac:dyDescent="0.2">
      <c r="A46" s="10" t="s">
        <v>54</v>
      </c>
      <c r="B46" s="10" t="s">
        <v>32</v>
      </c>
      <c r="C46" s="23">
        <v>100000</v>
      </c>
      <c r="D46" s="23">
        <v>285000</v>
      </c>
      <c r="E46" s="23">
        <v>285000</v>
      </c>
      <c r="F46" s="23"/>
      <c r="G46" s="23">
        <v>19750</v>
      </c>
      <c r="H46" s="23">
        <v>37788</v>
      </c>
      <c r="I46" s="23">
        <v>37788</v>
      </c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>
        <f t="shared" si="1"/>
        <v>119750</v>
      </c>
      <c r="AJ46" s="23">
        <f t="shared" si="4"/>
        <v>322788</v>
      </c>
      <c r="AK46" s="23">
        <f t="shared" si="5"/>
        <v>322788</v>
      </c>
      <c r="AL46" s="23">
        <f t="shared" si="6"/>
        <v>0</v>
      </c>
      <c r="AM46" s="39">
        <v>1</v>
      </c>
      <c r="AN46" s="39">
        <v>4</v>
      </c>
      <c r="AO46" s="39">
        <v>4</v>
      </c>
      <c r="AP46" s="40">
        <v>0</v>
      </c>
    </row>
    <row r="47" spans="1:42" s="9" customFormat="1" x14ac:dyDescent="0.2">
      <c r="A47" s="10" t="s">
        <v>53</v>
      </c>
      <c r="B47" s="10" t="s">
        <v>32</v>
      </c>
      <c r="C47" s="23">
        <v>3913440</v>
      </c>
      <c r="D47" s="23">
        <v>4944000</v>
      </c>
      <c r="E47" s="23">
        <v>4944000</v>
      </c>
      <c r="F47" s="23">
        <v>2119780</v>
      </c>
      <c r="G47" s="23">
        <v>381560</v>
      </c>
      <c r="H47" s="23">
        <v>482040</v>
      </c>
      <c r="I47" s="23">
        <v>482040</v>
      </c>
      <c r="J47" s="23">
        <v>201191</v>
      </c>
      <c r="K47" s="23"/>
      <c r="L47" s="23"/>
      <c r="M47" s="23"/>
      <c r="N47" s="23">
        <v>105358</v>
      </c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>
        <v>0</v>
      </c>
      <c r="Z47" s="23">
        <v>83820</v>
      </c>
      <c r="AA47" s="23"/>
      <c r="AB47" s="23"/>
      <c r="AC47" s="23"/>
      <c r="AD47" s="23"/>
      <c r="AE47" s="23"/>
      <c r="AF47" s="23"/>
      <c r="AG47" s="23"/>
      <c r="AH47" s="23"/>
      <c r="AI47" s="23">
        <f t="shared" si="1"/>
        <v>4295000</v>
      </c>
      <c r="AJ47" s="23">
        <f t="shared" si="4"/>
        <v>5426040</v>
      </c>
      <c r="AK47" s="23">
        <f t="shared" si="5"/>
        <v>5426040</v>
      </c>
      <c r="AL47" s="23">
        <f t="shared" si="6"/>
        <v>2510149</v>
      </c>
      <c r="AM47" s="39">
        <v>4</v>
      </c>
      <c r="AN47" s="39">
        <v>7</v>
      </c>
      <c r="AO47" s="39">
        <v>7</v>
      </c>
      <c r="AP47" s="40">
        <v>2</v>
      </c>
    </row>
    <row r="48" spans="1:42" s="9" customFormat="1" x14ac:dyDescent="0.2">
      <c r="A48" s="10" t="s">
        <v>55</v>
      </c>
      <c r="B48" s="10" t="s">
        <v>33</v>
      </c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>
        <v>400000</v>
      </c>
      <c r="X48" s="23">
        <v>400000</v>
      </c>
      <c r="Y48" s="23">
        <v>400000</v>
      </c>
      <c r="Z48" s="23">
        <v>0</v>
      </c>
      <c r="AA48" s="23"/>
      <c r="AB48" s="23"/>
      <c r="AC48" s="23"/>
      <c r="AD48" s="23"/>
      <c r="AE48" s="23"/>
      <c r="AF48" s="23"/>
      <c r="AG48" s="23"/>
      <c r="AH48" s="23"/>
      <c r="AI48" s="23">
        <f t="shared" si="1"/>
        <v>400000</v>
      </c>
      <c r="AJ48" s="23">
        <f t="shared" si="4"/>
        <v>400000</v>
      </c>
      <c r="AK48" s="23">
        <f t="shared" si="5"/>
        <v>400000</v>
      </c>
      <c r="AL48" s="23">
        <f t="shared" si="6"/>
        <v>0</v>
      </c>
      <c r="AM48" s="39"/>
      <c r="AN48" s="39"/>
      <c r="AO48" s="39"/>
      <c r="AP48" s="40"/>
    </row>
    <row r="49" spans="1:43" s="9" customFormat="1" x14ac:dyDescent="0.2">
      <c r="A49" s="10" t="s">
        <v>19</v>
      </c>
      <c r="B49" s="10" t="s">
        <v>32</v>
      </c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/>
      <c r="T49" s="23"/>
      <c r="U49" s="23"/>
      <c r="V49" s="23"/>
      <c r="W49" s="23"/>
      <c r="X49" s="23"/>
      <c r="Y49" s="23" t="s">
        <v>71</v>
      </c>
      <c r="Z49" s="23"/>
      <c r="AA49" s="23"/>
      <c r="AB49" s="23"/>
      <c r="AC49" s="23"/>
      <c r="AD49" s="23"/>
      <c r="AE49" s="23"/>
      <c r="AF49" s="23"/>
      <c r="AG49" s="23"/>
      <c r="AH49" s="23"/>
      <c r="AI49" s="23">
        <f t="shared" si="1"/>
        <v>0</v>
      </c>
      <c r="AJ49" s="23">
        <f t="shared" si="4"/>
        <v>0</v>
      </c>
      <c r="AK49" s="23">
        <v>0</v>
      </c>
      <c r="AL49" s="23">
        <f t="shared" si="6"/>
        <v>0</v>
      </c>
      <c r="AM49" s="39"/>
      <c r="AN49" s="39"/>
      <c r="AO49" s="39"/>
      <c r="AP49" s="40"/>
    </row>
    <row r="50" spans="1:43" s="9" customFormat="1" x14ac:dyDescent="0.2">
      <c r="A50" s="10" t="s">
        <v>20</v>
      </c>
      <c r="B50" s="10" t="s">
        <v>32</v>
      </c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>
        <f t="shared" si="1"/>
        <v>0</v>
      </c>
      <c r="AJ50" s="23">
        <f t="shared" si="4"/>
        <v>0</v>
      </c>
      <c r="AK50" s="23">
        <f t="shared" ref="AK50:AK64" si="7">E50+I50+M50+Q50+U50+Y50+AC50+AG50</f>
        <v>0</v>
      </c>
      <c r="AL50" s="23">
        <f t="shared" si="6"/>
        <v>0</v>
      </c>
      <c r="AM50" s="39"/>
      <c r="AN50" s="39"/>
      <c r="AO50" s="39"/>
      <c r="AP50" s="40"/>
    </row>
    <row r="51" spans="1:43" s="9" customFormat="1" x14ac:dyDescent="0.2">
      <c r="A51" s="10" t="s">
        <v>15</v>
      </c>
      <c r="B51" s="10" t="s">
        <v>32</v>
      </c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>
        <f t="shared" si="1"/>
        <v>0</v>
      </c>
      <c r="AJ51" s="23">
        <f t="shared" si="4"/>
        <v>0</v>
      </c>
      <c r="AK51" s="23">
        <f t="shared" si="7"/>
        <v>0</v>
      </c>
      <c r="AL51" s="23">
        <f t="shared" si="6"/>
        <v>0</v>
      </c>
      <c r="AM51" s="39"/>
      <c r="AN51" s="39"/>
      <c r="AO51" s="39"/>
      <c r="AP51" s="40"/>
    </row>
    <row r="52" spans="1:43" s="9" customFormat="1" x14ac:dyDescent="0.2">
      <c r="A52" s="10" t="s">
        <v>67</v>
      </c>
      <c r="B52" s="10" t="s">
        <v>33</v>
      </c>
      <c r="C52" s="23"/>
      <c r="D52" s="23"/>
      <c r="E52" s="23">
        <v>0</v>
      </c>
      <c r="F52" s="23"/>
      <c r="G52" s="23"/>
      <c r="H52" s="23"/>
      <c r="I52" s="23"/>
      <c r="J52" s="23"/>
      <c r="K52" s="23">
        <v>1905000</v>
      </c>
      <c r="L52" s="23">
        <f>1500000+405000</f>
        <v>1905000</v>
      </c>
      <c r="M52" s="23">
        <v>4492065</v>
      </c>
      <c r="N52" s="23">
        <v>4315829</v>
      </c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>
        <f t="shared" si="1"/>
        <v>1905000</v>
      </c>
      <c r="AJ52" s="23">
        <f t="shared" si="4"/>
        <v>1905000</v>
      </c>
      <c r="AK52" s="23">
        <f t="shared" si="7"/>
        <v>4492065</v>
      </c>
      <c r="AL52" s="23">
        <f t="shared" si="6"/>
        <v>4315829</v>
      </c>
      <c r="AM52" s="39"/>
      <c r="AN52" s="39"/>
      <c r="AO52" s="39"/>
      <c r="AP52" s="40"/>
    </row>
    <row r="53" spans="1:43" s="9" customFormat="1" ht="15" customHeight="1" x14ac:dyDescent="0.2">
      <c r="A53" s="10" t="s">
        <v>34</v>
      </c>
      <c r="B53" s="10" t="s">
        <v>33</v>
      </c>
      <c r="C53" s="23">
        <f>2063600+1543000</f>
        <v>3606600</v>
      </c>
      <c r="D53" s="23">
        <f>800000+1543000+720000</f>
        <v>3063000</v>
      </c>
      <c r="E53" s="23">
        <f>-591827+189294+186827+4641354+3371242</f>
        <v>7796890</v>
      </c>
      <c r="F53" s="23">
        <f>283678+71250+3590550+1237406</f>
        <v>5182884</v>
      </c>
      <c r="G53" s="23">
        <f>(C53*19.5%)+128000+156000</f>
        <v>987287</v>
      </c>
      <c r="H53" s="23">
        <v>766965</v>
      </c>
      <c r="I53" s="23">
        <f>766965+208702</f>
        <v>975667</v>
      </c>
      <c r="J53" s="23">
        <v>964840</v>
      </c>
      <c r="K53" s="23">
        <f>2310000+2849000+3310000+1119000+2491000+3000000</f>
        <v>15079000</v>
      </c>
      <c r="L53" s="23">
        <f>2310000+2849000+3310000+1119000+2491000+3000000</f>
        <v>15079000</v>
      </c>
      <c r="M53" s="23">
        <v>46157461</v>
      </c>
      <c r="N53" s="23">
        <v>35705378</v>
      </c>
      <c r="O53" s="23"/>
      <c r="P53" s="23"/>
      <c r="Q53" s="23"/>
      <c r="R53" s="23"/>
      <c r="S53" s="23"/>
      <c r="T53" s="23">
        <f>1000000+300000</f>
        <v>1300000</v>
      </c>
      <c r="U53" s="23">
        <v>4001739</v>
      </c>
      <c r="V53" s="23">
        <v>1150000</v>
      </c>
      <c r="W53" s="23">
        <v>2704490</v>
      </c>
      <c r="X53" s="23">
        <f>1170000+1600490+432132</f>
        <v>3202622</v>
      </c>
      <c r="Y53" s="23">
        <v>975234</v>
      </c>
      <c r="Z53" s="23">
        <f>123420</f>
        <v>123420</v>
      </c>
      <c r="AA53" s="23"/>
      <c r="AB53" s="23"/>
      <c r="AC53" s="23">
        <v>0</v>
      </c>
      <c r="AD53" s="23"/>
      <c r="AE53" s="23">
        <v>1205373</v>
      </c>
      <c r="AF53" s="23">
        <v>1205281</v>
      </c>
      <c r="AG53" s="23">
        <v>150526</v>
      </c>
      <c r="AH53" s="23"/>
      <c r="AI53" s="23">
        <f t="shared" si="1"/>
        <v>23582750</v>
      </c>
      <c r="AJ53" s="23">
        <f t="shared" si="4"/>
        <v>24616868</v>
      </c>
      <c r="AK53" s="23">
        <f t="shared" si="7"/>
        <v>60057517</v>
      </c>
      <c r="AL53" s="23">
        <f t="shared" si="6"/>
        <v>43126522</v>
      </c>
      <c r="AM53" s="39">
        <v>8</v>
      </c>
      <c r="AN53" s="39">
        <v>8</v>
      </c>
      <c r="AO53" s="39">
        <v>8</v>
      </c>
      <c r="AP53" s="40">
        <v>8.25</v>
      </c>
      <c r="AQ53" s="6"/>
    </row>
    <row r="54" spans="1:43" s="9" customFormat="1" x14ac:dyDescent="0.2">
      <c r="A54" s="10"/>
      <c r="B54" s="10" t="s">
        <v>32</v>
      </c>
      <c r="C54" s="23">
        <f>14044612-1543000</f>
        <v>12501612</v>
      </c>
      <c r="D54" s="23">
        <f>3785340+6074160</f>
        <v>9859500</v>
      </c>
      <c r="E54" s="23">
        <v>9789934</v>
      </c>
      <c r="F54" s="23">
        <v>8990436</v>
      </c>
      <c r="G54" s="23">
        <f>(C54*19.5%)-141000</f>
        <v>2296814.34</v>
      </c>
      <c r="H54" s="23">
        <v>1895923</v>
      </c>
      <c r="I54" s="23">
        <v>1895923</v>
      </c>
      <c r="J54" s="23">
        <v>1673650</v>
      </c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>
        <f t="shared" si="1"/>
        <v>14798426.34</v>
      </c>
      <c r="AJ54" s="23">
        <f t="shared" si="4"/>
        <v>11755423</v>
      </c>
      <c r="AK54" s="23">
        <f t="shared" si="7"/>
        <v>11685857</v>
      </c>
      <c r="AL54" s="23">
        <f t="shared" si="6"/>
        <v>10664086</v>
      </c>
      <c r="AM54" s="39">
        <v>7</v>
      </c>
      <c r="AN54" s="39">
        <v>7</v>
      </c>
      <c r="AO54" s="39">
        <v>7</v>
      </c>
      <c r="AP54" s="40">
        <v>7</v>
      </c>
    </row>
    <row r="55" spans="1:43" s="9" customFormat="1" x14ac:dyDescent="0.2">
      <c r="A55" s="10" t="s">
        <v>77</v>
      </c>
      <c r="B55" s="10" t="s">
        <v>32</v>
      </c>
      <c r="C55" s="23">
        <v>3224000</v>
      </c>
      <c r="D55" s="23">
        <v>3074000</v>
      </c>
      <c r="E55" s="23">
        <v>3074000</v>
      </c>
      <c r="F55" s="23">
        <v>2862459</v>
      </c>
      <c r="G55" s="23">
        <v>660680</v>
      </c>
      <c r="H55" s="23">
        <v>631430</v>
      </c>
      <c r="I55" s="23">
        <v>631430</v>
      </c>
      <c r="J55" s="23">
        <v>147403</v>
      </c>
      <c r="K55" s="23">
        <f>2832000+765000</f>
        <v>3597000</v>
      </c>
      <c r="L55" s="23">
        <f>2832000+765000</f>
        <v>3597000</v>
      </c>
      <c r="M55" s="23">
        <f>2832000+765000</f>
        <v>3597000</v>
      </c>
      <c r="N55" s="23">
        <v>1029884</v>
      </c>
      <c r="O55" s="23"/>
      <c r="P55" s="23"/>
      <c r="Q55" s="23"/>
      <c r="R55" s="23"/>
      <c r="S55" s="23"/>
      <c r="T55" s="23"/>
      <c r="U55" s="23"/>
      <c r="V55" s="23"/>
      <c r="W55" s="23"/>
      <c r="X55" s="23">
        <v>0</v>
      </c>
      <c r="Y55" s="23">
        <v>0</v>
      </c>
      <c r="Z55" s="23"/>
      <c r="AA55" s="23"/>
      <c r="AB55" s="23"/>
      <c r="AC55" s="23"/>
      <c r="AD55" s="23"/>
      <c r="AE55" s="23"/>
      <c r="AF55" s="23"/>
      <c r="AG55" s="23"/>
      <c r="AH55" s="23"/>
      <c r="AI55" s="23">
        <f t="shared" si="1"/>
        <v>7481680</v>
      </c>
      <c r="AJ55" s="23">
        <f t="shared" si="4"/>
        <v>7302430</v>
      </c>
      <c r="AK55" s="23">
        <f t="shared" si="7"/>
        <v>7302430</v>
      </c>
      <c r="AL55" s="23">
        <f t="shared" si="6"/>
        <v>4039746</v>
      </c>
      <c r="AM55" s="39"/>
      <c r="AN55" s="39">
        <v>0</v>
      </c>
      <c r="AO55" s="39"/>
      <c r="AP55" s="40"/>
    </row>
    <row r="56" spans="1:43" s="9" customFormat="1" x14ac:dyDescent="0.2">
      <c r="A56" s="10" t="s">
        <v>68</v>
      </c>
      <c r="B56" s="10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>
        <v>11088668</v>
      </c>
      <c r="N56" s="23">
        <f>6470445+4558554</f>
        <v>11028999</v>
      </c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>
        <f t="shared" si="1"/>
        <v>0</v>
      </c>
      <c r="AJ56" s="23">
        <f t="shared" si="4"/>
        <v>0</v>
      </c>
      <c r="AK56" s="23">
        <f t="shared" si="7"/>
        <v>11088668</v>
      </c>
      <c r="AL56" s="23">
        <f t="shared" si="6"/>
        <v>11028999</v>
      </c>
      <c r="AM56" s="39">
        <v>2</v>
      </c>
      <c r="AN56" s="39">
        <v>2</v>
      </c>
      <c r="AO56" s="39">
        <v>2</v>
      </c>
      <c r="AP56" s="40">
        <v>2</v>
      </c>
    </row>
    <row r="57" spans="1:43" s="9" customFormat="1" x14ac:dyDescent="0.2">
      <c r="A57" s="10" t="s">
        <v>62</v>
      </c>
      <c r="B57" s="10" t="s">
        <v>32</v>
      </c>
      <c r="C57" s="23"/>
      <c r="D57" s="23"/>
      <c r="E57" s="23"/>
      <c r="F57" s="23"/>
      <c r="G57" s="23"/>
      <c r="H57" s="23"/>
      <c r="I57" s="23"/>
      <c r="J57" s="23"/>
      <c r="K57" s="23">
        <v>1485</v>
      </c>
      <c r="L57" s="23">
        <v>1485</v>
      </c>
      <c r="M57" s="23">
        <v>1485</v>
      </c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>
        <f t="shared" si="1"/>
        <v>1485</v>
      </c>
      <c r="AJ57" s="23">
        <f t="shared" si="4"/>
        <v>1485</v>
      </c>
      <c r="AK57" s="23">
        <f t="shared" si="7"/>
        <v>1485</v>
      </c>
      <c r="AL57" s="23">
        <f t="shared" si="6"/>
        <v>0</v>
      </c>
      <c r="AM57" s="39"/>
      <c r="AN57" s="39"/>
      <c r="AO57" s="39"/>
      <c r="AP57" s="40"/>
    </row>
    <row r="58" spans="1:43" s="9" customFormat="1" x14ac:dyDescent="0.2">
      <c r="A58" s="10" t="s">
        <v>57</v>
      </c>
      <c r="B58" s="10" t="s">
        <v>32</v>
      </c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>
        <f t="shared" si="1"/>
        <v>0</v>
      </c>
      <c r="AJ58" s="23">
        <f t="shared" si="4"/>
        <v>0</v>
      </c>
      <c r="AK58" s="23">
        <f t="shared" si="7"/>
        <v>0</v>
      </c>
      <c r="AL58" s="23">
        <f t="shared" si="6"/>
        <v>0</v>
      </c>
      <c r="AM58" s="39"/>
      <c r="AN58" s="39"/>
      <c r="AO58" s="39"/>
      <c r="AP58" s="40"/>
    </row>
    <row r="59" spans="1:43" s="9" customFormat="1" x14ac:dyDescent="0.2">
      <c r="A59" s="10" t="s">
        <v>56</v>
      </c>
      <c r="B59" s="10" t="s">
        <v>32</v>
      </c>
      <c r="C59" s="23">
        <v>384000</v>
      </c>
      <c r="D59" s="23">
        <v>384000</v>
      </c>
      <c r="E59" s="23">
        <v>384000</v>
      </c>
      <c r="F59" s="23">
        <v>384000</v>
      </c>
      <c r="G59" s="23">
        <v>74880</v>
      </c>
      <c r="H59" s="23">
        <v>74880</v>
      </c>
      <c r="I59" s="23">
        <v>74880</v>
      </c>
      <c r="J59" s="23">
        <v>64512</v>
      </c>
      <c r="K59" s="23">
        <f>25000+20000+350000+167940+127000+100000</f>
        <v>789940</v>
      </c>
      <c r="L59" s="23">
        <v>789940</v>
      </c>
      <c r="M59" s="23">
        <v>789940</v>
      </c>
      <c r="N59" s="23">
        <v>169062</v>
      </c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>
        <f t="shared" si="1"/>
        <v>1248820</v>
      </c>
      <c r="AJ59" s="23">
        <f t="shared" si="4"/>
        <v>1248820</v>
      </c>
      <c r="AK59" s="23">
        <f t="shared" si="7"/>
        <v>1248820</v>
      </c>
      <c r="AL59" s="23">
        <f t="shared" si="6"/>
        <v>617574</v>
      </c>
      <c r="AM59" s="39">
        <v>1</v>
      </c>
      <c r="AN59" s="39">
        <v>1</v>
      </c>
      <c r="AO59" s="39">
        <v>1</v>
      </c>
      <c r="AP59" s="40">
        <v>1</v>
      </c>
    </row>
    <row r="60" spans="1:43" s="9" customFormat="1" x14ac:dyDescent="0.2">
      <c r="A60" s="10" t="s">
        <v>21</v>
      </c>
      <c r="B60" s="10"/>
      <c r="C60" s="23">
        <f t="shared" ref="C60:AH60" si="8">SUM(C8:C59)</f>
        <v>29444652</v>
      </c>
      <c r="D60" s="23">
        <f t="shared" si="8"/>
        <v>26601500</v>
      </c>
      <c r="E60" s="23">
        <f t="shared" si="8"/>
        <v>31768824</v>
      </c>
      <c r="F60" s="23">
        <f t="shared" si="8"/>
        <v>24481519</v>
      </c>
      <c r="G60" s="23">
        <f t="shared" si="8"/>
        <v>5431096.3399999999</v>
      </c>
      <c r="H60" s="23">
        <f t="shared" si="8"/>
        <v>4872466</v>
      </c>
      <c r="I60" s="23">
        <f t="shared" si="8"/>
        <v>5081168</v>
      </c>
      <c r="J60" s="23">
        <f t="shared" si="8"/>
        <v>3670182</v>
      </c>
      <c r="K60" s="23">
        <f t="shared" si="8"/>
        <v>41491293</v>
      </c>
      <c r="L60" s="23">
        <f t="shared" si="8"/>
        <v>38588073</v>
      </c>
      <c r="M60" s="23">
        <f t="shared" si="8"/>
        <v>88132145</v>
      </c>
      <c r="N60" s="23">
        <f t="shared" si="8"/>
        <v>69642605</v>
      </c>
      <c r="O60" s="23">
        <f t="shared" si="8"/>
        <v>8010000</v>
      </c>
      <c r="P60" s="23">
        <f t="shared" si="8"/>
        <v>3973000</v>
      </c>
      <c r="Q60" s="23">
        <f t="shared" si="8"/>
        <v>3973000</v>
      </c>
      <c r="R60" s="23">
        <f t="shared" si="8"/>
        <v>3595514</v>
      </c>
      <c r="S60" s="23">
        <f t="shared" si="8"/>
        <v>98322880</v>
      </c>
      <c r="T60" s="23">
        <f t="shared" si="8"/>
        <v>83055945</v>
      </c>
      <c r="U60" s="23">
        <f t="shared" si="8"/>
        <v>89464888</v>
      </c>
      <c r="V60" s="23">
        <f t="shared" si="8"/>
        <v>89293761</v>
      </c>
      <c r="W60" s="23">
        <f t="shared" si="8"/>
        <v>3104490</v>
      </c>
      <c r="X60" s="23">
        <f t="shared" si="8"/>
        <v>3602622</v>
      </c>
      <c r="Y60" s="23">
        <f>SUM(Y8:Y59)</f>
        <v>333466589</v>
      </c>
      <c r="Z60" s="23">
        <f t="shared" si="8"/>
        <v>117338418</v>
      </c>
      <c r="AA60" s="23">
        <f t="shared" si="8"/>
        <v>0</v>
      </c>
      <c r="AB60" s="23">
        <f t="shared" si="8"/>
        <v>0</v>
      </c>
      <c r="AC60" s="23">
        <f t="shared" si="8"/>
        <v>0</v>
      </c>
      <c r="AD60" s="23">
        <f t="shared" si="8"/>
        <v>0</v>
      </c>
      <c r="AE60" s="23">
        <f t="shared" si="8"/>
        <v>1205373</v>
      </c>
      <c r="AF60" s="23">
        <f t="shared" si="8"/>
        <v>1205281</v>
      </c>
      <c r="AG60" s="23">
        <f t="shared" si="8"/>
        <v>150526</v>
      </c>
      <c r="AH60" s="23">
        <f t="shared" si="8"/>
        <v>0</v>
      </c>
      <c r="AI60" s="23">
        <f t="shared" si="1"/>
        <v>187009784.34</v>
      </c>
      <c r="AJ60" s="23">
        <f t="shared" si="4"/>
        <v>161898887</v>
      </c>
      <c r="AK60" s="23">
        <f t="shared" si="7"/>
        <v>552037140</v>
      </c>
      <c r="AL60" s="23">
        <f t="shared" si="6"/>
        <v>308021999</v>
      </c>
      <c r="AM60" s="39">
        <f>SUM(AM7:AM59)</f>
        <v>25</v>
      </c>
      <c r="AN60" s="39">
        <f>SUM(AN7:AN59)</f>
        <v>32</v>
      </c>
      <c r="AO60" s="39">
        <f>SUM(AO7:AO59)</f>
        <v>32</v>
      </c>
      <c r="AP60" s="40">
        <f>SUM(AP7:AP59)</f>
        <v>22.25</v>
      </c>
      <c r="AQ60" s="38"/>
    </row>
    <row r="61" spans="1:43" s="9" customFormat="1" x14ac:dyDescent="0.2">
      <c r="A61" s="10" t="s">
        <v>50</v>
      </c>
      <c r="B61" s="10" t="s">
        <v>32</v>
      </c>
      <c r="C61" s="23">
        <f>4842144+50000</f>
        <v>4892144</v>
      </c>
      <c r="D61" s="23">
        <v>3784315</v>
      </c>
      <c r="E61" s="23">
        <v>4616881</v>
      </c>
      <c r="F61" s="23">
        <v>4961443</v>
      </c>
      <c r="G61" s="23">
        <v>866415</v>
      </c>
      <c r="H61" s="23">
        <v>748232</v>
      </c>
      <c r="I61" s="23">
        <v>748232</v>
      </c>
      <c r="J61" s="23">
        <v>903585</v>
      </c>
      <c r="K61" s="23">
        <f>320000+1040000+380000</f>
        <v>1740000</v>
      </c>
      <c r="L61" s="23">
        <f>320000+1040000+380000</f>
        <v>1740000</v>
      </c>
      <c r="M61" s="23">
        <v>1762000</v>
      </c>
      <c r="N61" s="23">
        <v>1073502</v>
      </c>
      <c r="O61" s="23"/>
      <c r="P61" s="23"/>
      <c r="Q61" s="23"/>
      <c r="R61" s="23"/>
      <c r="S61" s="23"/>
      <c r="T61" s="23"/>
      <c r="U61" s="23"/>
      <c r="V61" s="23"/>
      <c r="W61" s="23">
        <v>175000</v>
      </c>
      <c r="X61" s="23">
        <v>175000</v>
      </c>
      <c r="Y61" s="23">
        <v>3175000</v>
      </c>
      <c r="Z61" s="23">
        <v>1511135</v>
      </c>
      <c r="AA61" s="23"/>
      <c r="AB61" s="23"/>
      <c r="AC61" s="23"/>
      <c r="AD61" s="23"/>
      <c r="AE61" s="23"/>
      <c r="AF61" s="23"/>
      <c r="AG61" s="23">
        <v>0</v>
      </c>
      <c r="AH61" s="23"/>
      <c r="AI61" s="23">
        <f t="shared" si="1"/>
        <v>7673559</v>
      </c>
      <c r="AJ61" s="23">
        <f t="shared" si="4"/>
        <v>6447547</v>
      </c>
      <c r="AK61" s="23">
        <f t="shared" si="7"/>
        <v>10302113</v>
      </c>
      <c r="AL61" s="23">
        <f t="shared" si="6"/>
        <v>8449665</v>
      </c>
      <c r="AM61" s="39">
        <v>1</v>
      </c>
      <c r="AN61" s="39">
        <v>1</v>
      </c>
      <c r="AO61" s="39">
        <v>1</v>
      </c>
      <c r="AP61" s="40">
        <v>1</v>
      </c>
    </row>
    <row r="62" spans="1:43" x14ac:dyDescent="0.2">
      <c r="A62" s="10" t="s">
        <v>11</v>
      </c>
      <c r="B62" s="10"/>
      <c r="C62" s="23">
        <f t="shared" ref="C62:AH62" si="9">SUM(C61)</f>
        <v>4892144</v>
      </c>
      <c r="D62" s="23">
        <f t="shared" si="9"/>
        <v>3784315</v>
      </c>
      <c r="E62" s="23">
        <f t="shared" si="9"/>
        <v>4616881</v>
      </c>
      <c r="F62" s="23">
        <f t="shared" si="9"/>
        <v>4961443</v>
      </c>
      <c r="G62" s="23">
        <f t="shared" si="9"/>
        <v>866415</v>
      </c>
      <c r="H62" s="23">
        <f t="shared" si="9"/>
        <v>748232</v>
      </c>
      <c r="I62" s="23">
        <f t="shared" si="9"/>
        <v>748232</v>
      </c>
      <c r="J62" s="23">
        <f>SUM(J61)</f>
        <v>903585</v>
      </c>
      <c r="K62" s="23">
        <f>SUM(K61)</f>
        <v>1740000</v>
      </c>
      <c r="L62" s="23">
        <f t="shared" si="9"/>
        <v>1740000</v>
      </c>
      <c r="M62" s="23">
        <f t="shared" si="9"/>
        <v>1762000</v>
      </c>
      <c r="N62" s="23">
        <f t="shared" si="9"/>
        <v>1073502</v>
      </c>
      <c r="O62" s="23">
        <f t="shared" si="9"/>
        <v>0</v>
      </c>
      <c r="P62" s="23">
        <f t="shared" si="9"/>
        <v>0</v>
      </c>
      <c r="Q62" s="23">
        <f t="shared" si="9"/>
        <v>0</v>
      </c>
      <c r="R62" s="23">
        <f t="shared" si="9"/>
        <v>0</v>
      </c>
      <c r="S62" s="23">
        <f t="shared" si="9"/>
        <v>0</v>
      </c>
      <c r="T62" s="23">
        <f t="shared" si="9"/>
        <v>0</v>
      </c>
      <c r="U62" s="23">
        <f t="shared" si="9"/>
        <v>0</v>
      </c>
      <c r="V62" s="23">
        <f t="shared" si="9"/>
        <v>0</v>
      </c>
      <c r="W62" s="23">
        <f t="shared" si="9"/>
        <v>175000</v>
      </c>
      <c r="X62" s="23">
        <f>SUM(X61)</f>
        <v>175000</v>
      </c>
      <c r="Y62" s="23">
        <f t="shared" si="9"/>
        <v>3175000</v>
      </c>
      <c r="Z62" s="23">
        <f t="shared" si="9"/>
        <v>1511135</v>
      </c>
      <c r="AA62" s="23">
        <f t="shared" si="9"/>
        <v>0</v>
      </c>
      <c r="AB62" s="23">
        <f t="shared" si="9"/>
        <v>0</v>
      </c>
      <c r="AC62" s="23">
        <f t="shared" si="9"/>
        <v>0</v>
      </c>
      <c r="AD62" s="23">
        <f t="shared" si="9"/>
        <v>0</v>
      </c>
      <c r="AE62" s="23">
        <f t="shared" si="9"/>
        <v>0</v>
      </c>
      <c r="AF62" s="23">
        <f t="shared" si="9"/>
        <v>0</v>
      </c>
      <c r="AG62" s="23">
        <f t="shared" si="9"/>
        <v>0</v>
      </c>
      <c r="AH62" s="23">
        <f t="shared" si="9"/>
        <v>0</v>
      </c>
      <c r="AI62" s="23">
        <f t="shared" si="1"/>
        <v>7673559</v>
      </c>
      <c r="AJ62" s="23">
        <f t="shared" si="4"/>
        <v>6447547</v>
      </c>
      <c r="AK62" s="23">
        <f t="shared" si="7"/>
        <v>10302113</v>
      </c>
      <c r="AL62" s="23">
        <f t="shared" si="6"/>
        <v>8449665</v>
      </c>
      <c r="AM62" s="39">
        <f>SUM(AM61)</f>
        <v>1</v>
      </c>
      <c r="AN62" s="39">
        <f>SUM(AN61)</f>
        <v>1</v>
      </c>
      <c r="AO62" s="39">
        <f>SUM(AO61)</f>
        <v>1</v>
      </c>
      <c r="AP62" s="39">
        <f>SUM(AP61)</f>
        <v>1</v>
      </c>
    </row>
    <row r="63" spans="1:43" x14ac:dyDescent="0.2">
      <c r="A63" s="10" t="s">
        <v>12</v>
      </c>
      <c r="B63" s="10" t="s">
        <v>32</v>
      </c>
      <c r="C63" s="23"/>
      <c r="D63" s="23">
        <v>0</v>
      </c>
      <c r="E63" s="23"/>
      <c r="F63" s="23"/>
      <c r="G63" s="23"/>
      <c r="H63" s="23">
        <v>0</v>
      </c>
      <c r="I63" s="23">
        <v>0</v>
      </c>
      <c r="J63" s="23">
        <v>0</v>
      </c>
      <c r="K63" s="23"/>
      <c r="L63" s="23">
        <v>0</v>
      </c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>
        <f t="shared" si="1"/>
        <v>0</v>
      </c>
      <c r="AJ63" s="23">
        <f t="shared" si="4"/>
        <v>0</v>
      </c>
      <c r="AK63" s="23">
        <f t="shared" si="7"/>
        <v>0</v>
      </c>
      <c r="AL63" s="23">
        <f t="shared" si="6"/>
        <v>0</v>
      </c>
      <c r="AM63" s="39"/>
      <c r="AN63" s="39"/>
      <c r="AO63" s="39"/>
      <c r="AP63" s="40"/>
    </row>
    <row r="64" spans="1:43" x14ac:dyDescent="0.2">
      <c r="A64" s="10" t="s">
        <v>13</v>
      </c>
      <c r="B64" s="10"/>
      <c r="C64" s="23">
        <f t="shared" ref="C64:AH64" si="10">SUM(C63)</f>
        <v>0</v>
      </c>
      <c r="D64" s="23">
        <f t="shared" si="10"/>
        <v>0</v>
      </c>
      <c r="E64" s="23">
        <f t="shared" si="10"/>
        <v>0</v>
      </c>
      <c r="F64" s="23">
        <f t="shared" si="10"/>
        <v>0</v>
      </c>
      <c r="G64" s="23">
        <f t="shared" si="10"/>
        <v>0</v>
      </c>
      <c r="H64" s="23">
        <f t="shared" si="10"/>
        <v>0</v>
      </c>
      <c r="I64" s="23">
        <f t="shared" si="10"/>
        <v>0</v>
      </c>
      <c r="J64" s="23">
        <f t="shared" si="10"/>
        <v>0</v>
      </c>
      <c r="K64" s="23">
        <f t="shared" si="10"/>
        <v>0</v>
      </c>
      <c r="L64" s="23">
        <f t="shared" si="10"/>
        <v>0</v>
      </c>
      <c r="M64" s="23">
        <f t="shared" si="10"/>
        <v>0</v>
      </c>
      <c r="N64" s="23">
        <f t="shared" si="10"/>
        <v>0</v>
      </c>
      <c r="O64" s="23">
        <f t="shared" si="10"/>
        <v>0</v>
      </c>
      <c r="P64" s="23">
        <f t="shared" si="10"/>
        <v>0</v>
      </c>
      <c r="Q64" s="23">
        <f t="shared" si="10"/>
        <v>0</v>
      </c>
      <c r="R64" s="23">
        <f t="shared" si="10"/>
        <v>0</v>
      </c>
      <c r="S64" s="23">
        <f t="shared" si="10"/>
        <v>0</v>
      </c>
      <c r="T64" s="23">
        <f t="shared" si="10"/>
        <v>0</v>
      </c>
      <c r="U64" s="23">
        <f t="shared" si="10"/>
        <v>0</v>
      </c>
      <c r="V64" s="23">
        <f t="shared" si="10"/>
        <v>0</v>
      </c>
      <c r="W64" s="23">
        <f t="shared" si="10"/>
        <v>0</v>
      </c>
      <c r="X64" s="23">
        <f t="shared" si="10"/>
        <v>0</v>
      </c>
      <c r="Y64" s="23">
        <f t="shared" si="10"/>
        <v>0</v>
      </c>
      <c r="Z64" s="23">
        <f t="shared" si="10"/>
        <v>0</v>
      </c>
      <c r="AA64" s="23">
        <f t="shared" si="10"/>
        <v>0</v>
      </c>
      <c r="AB64" s="23">
        <f t="shared" si="10"/>
        <v>0</v>
      </c>
      <c r="AC64" s="23">
        <f t="shared" si="10"/>
        <v>0</v>
      </c>
      <c r="AD64" s="23">
        <f t="shared" si="10"/>
        <v>0</v>
      </c>
      <c r="AE64" s="23">
        <f t="shared" si="10"/>
        <v>0</v>
      </c>
      <c r="AF64" s="23">
        <f t="shared" si="10"/>
        <v>0</v>
      </c>
      <c r="AG64" s="23">
        <f t="shared" si="10"/>
        <v>0</v>
      </c>
      <c r="AH64" s="23">
        <f t="shared" si="10"/>
        <v>0</v>
      </c>
      <c r="AI64" s="23">
        <f t="shared" si="1"/>
        <v>0</v>
      </c>
      <c r="AJ64" s="23">
        <f t="shared" si="4"/>
        <v>0</v>
      </c>
      <c r="AK64" s="23">
        <f t="shared" si="7"/>
        <v>0</v>
      </c>
      <c r="AL64" s="23">
        <f t="shared" si="6"/>
        <v>0</v>
      </c>
      <c r="AM64" s="39"/>
      <c r="AN64" s="39"/>
      <c r="AO64" s="39"/>
      <c r="AP64" s="40"/>
      <c r="AQ64" s="3"/>
    </row>
    <row r="65" spans="1:45" s="8" customFormat="1" x14ac:dyDescent="0.2">
      <c r="A65" s="7" t="s">
        <v>24</v>
      </c>
      <c r="B65" s="7"/>
      <c r="C65" s="25">
        <f t="shared" ref="C65:AP65" si="11">C60+C62+C64</f>
        <v>34336796</v>
      </c>
      <c r="D65" s="25">
        <f t="shared" si="11"/>
        <v>30385815</v>
      </c>
      <c r="E65" s="25">
        <f>E60+E62+E64</f>
        <v>36385705</v>
      </c>
      <c r="F65" s="25">
        <f t="shared" si="11"/>
        <v>29442962</v>
      </c>
      <c r="G65" s="25">
        <f t="shared" si="11"/>
        <v>6297511.3399999999</v>
      </c>
      <c r="H65" s="25">
        <f t="shared" si="11"/>
        <v>5620698</v>
      </c>
      <c r="I65" s="25">
        <f t="shared" si="11"/>
        <v>5829400</v>
      </c>
      <c r="J65" s="25">
        <f t="shared" si="11"/>
        <v>4573767</v>
      </c>
      <c r="K65" s="25">
        <f t="shared" si="11"/>
        <v>43231293</v>
      </c>
      <c r="L65" s="25">
        <f t="shared" si="11"/>
        <v>40328073</v>
      </c>
      <c r="M65" s="25">
        <f t="shared" si="11"/>
        <v>89894145</v>
      </c>
      <c r="N65" s="25">
        <f t="shared" si="11"/>
        <v>70716107</v>
      </c>
      <c r="O65" s="25">
        <f t="shared" si="11"/>
        <v>8010000</v>
      </c>
      <c r="P65" s="25">
        <f t="shared" si="11"/>
        <v>3973000</v>
      </c>
      <c r="Q65" s="25">
        <f t="shared" si="11"/>
        <v>3973000</v>
      </c>
      <c r="R65" s="25">
        <f t="shared" si="11"/>
        <v>3595514</v>
      </c>
      <c r="S65" s="25">
        <f t="shared" si="11"/>
        <v>98322880</v>
      </c>
      <c r="T65" s="25">
        <f t="shared" si="11"/>
        <v>83055945</v>
      </c>
      <c r="U65" s="25">
        <f t="shared" si="11"/>
        <v>89464888</v>
      </c>
      <c r="V65" s="25">
        <f t="shared" si="11"/>
        <v>89293761</v>
      </c>
      <c r="W65" s="25">
        <f t="shared" si="11"/>
        <v>3279490</v>
      </c>
      <c r="X65" s="25">
        <f t="shared" si="11"/>
        <v>3777622</v>
      </c>
      <c r="Y65" s="25">
        <f t="shared" si="11"/>
        <v>336641589</v>
      </c>
      <c r="Z65" s="25">
        <f t="shared" si="11"/>
        <v>118849553</v>
      </c>
      <c r="AA65" s="25">
        <f t="shared" si="11"/>
        <v>0</v>
      </c>
      <c r="AB65" s="25">
        <f t="shared" si="11"/>
        <v>0</v>
      </c>
      <c r="AC65" s="25">
        <f t="shared" si="11"/>
        <v>0</v>
      </c>
      <c r="AD65" s="25">
        <f t="shared" si="11"/>
        <v>0</v>
      </c>
      <c r="AE65" s="25">
        <f t="shared" si="11"/>
        <v>1205373</v>
      </c>
      <c r="AF65" s="25">
        <f t="shared" si="11"/>
        <v>1205281</v>
      </c>
      <c r="AG65" s="25">
        <f t="shared" si="11"/>
        <v>150526</v>
      </c>
      <c r="AH65" s="25">
        <f t="shared" si="11"/>
        <v>0</v>
      </c>
      <c r="AI65" s="25">
        <f t="shared" si="11"/>
        <v>194683343.34</v>
      </c>
      <c r="AJ65" s="25">
        <f t="shared" si="11"/>
        <v>168346434</v>
      </c>
      <c r="AK65" s="25">
        <f>AK60+AK62+AK64</f>
        <v>562339253</v>
      </c>
      <c r="AL65" s="25">
        <f>AL60+AL62+AL64</f>
        <v>316471664</v>
      </c>
      <c r="AM65" s="43">
        <f>AM60+AM62+AM64</f>
        <v>26</v>
      </c>
      <c r="AN65" s="43">
        <f>AN60+AN62+AN64</f>
        <v>33</v>
      </c>
      <c r="AO65" s="43">
        <f>AO60+AO62+AO64</f>
        <v>33</v>
      </c>
      <c r="AP65" s="44">
        <f t="shared" si="11"/>
        <v>23.25</v>
      </c>
      <c r="AS65" s="35"/>
    </row>
    <row r="66" spans="1:45" s="2" customFormat="1" x14ac:dyDescent="0.2">
      <c r="A66" s="15" t="s">
        <v>58</v>
      </c>
      <c r="B66" s="7"/>
      <c r="C66" s="25"/>
      <c r="D66" s="26"/>
      <c r="E66" s="26"/>
      <c r="F66" s="26"/>
      <c r="G66" s="26"/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23"/>
      <c r="S66" s="23"/>
      <c r="T66" s="26"/>
      <c r="U66" s="26"/>
      <c r="V66" s="23"/>
      <c r="W66" s="23"/>
      <c r="X66" s="26"/>
      <c r="Y66" s="26"/>
      <c r="Z66" s="23"/>
      <c r="AA66" s="23"/>
      <c r="AB66" s="26"/>
      <c r="AC66" s="26"/>
      <c r="AD66" s="26"/>
      <c r="AE66" s="26"/>
      <c r="AF66" s="26"/>
      <c r="AG66" s="26"/>
      <c r="AH66" s="26"/>
      <c r="AI66" s="26"/>
      <c r="AJ66" s="27">
        <f t="shared" ref="AJ66:AL67" si="12">D66+H66+L66+P66+T66+X66+AB66+AF66</f>
        <v>0</v>
      </c>
      <c r="AK66" s="27">
        <f t="shared" si="12"/>
        <v>0</v>
      </c>
      <c r="AL66" s="28">
        <f t="shared" si="12"/>
        <v>0</v>
      </c>
      <c r="AM66" s="58"/>
      <c r="AN66" s="45"/>
      <c r="AO66" s="45"/>
      <c r="AP66" s="46"/>
      <c r="AQ66" s="36"/>
      <c r="AR66" s="36"/>
    </row>
    <row r="67" spans="1:45" s="5" customFormat="1" x14ac:dyDescent="0.2">
      <c r="A67" s="15" t="s">
        <v>8</v>
      </c>
      <c r="B67" s="10" t="s">
        <v>32</v>
      </c>
      <c r="C67" s="23">
        <v>32098981</v>
      </c>
      <c r="D67" s="27">
        <v>29312519</v>
      </c>
      <c r="E67" s="27">
        <v>33507679</v>
      </c>
      <c r="F67" s="27">
        <v>28381283</v>
      </c>
      <c r="G67" s="27">
        <v>5380083</v>
      </c>
      <c r="H67" s="27">
        <v>5771088</v>
      </c>
      <c r="I67" s="27">
        <v>7125869</v>
      </c>
      <c r="J67" s="27">
        <v>5370704</v>
      </c>
      <c r="K67" s="27">
        <v>445936</v>
      </c>
      <c r="L67" s="27">
        <v>1376077</v>
      </c>
      <c r="M67" s="27">
        <v>1727303</v>
      </c>
      <c r="N67" s="27">
        <v>614584</v>
      </c>
      <c r="O67" s="27"/>
      <c r="P67" s="27"/>
      <c r="Q67" s="27"/>
      <c r="R67" s="27"/>
      <c r="S67" s="27"/>
      <c r="T67" s="27"/>
      <c r="U67" s="27">
        <v>0</v>
      </c>
      <c r="V67" s="27"/>
      <c r="W67" s="27"/>
      <c r="X67" s="27">
        <v>0</v>
      </c>
      <c r="Y67" s="27">
        <v>0</v>
      </c>
      <c r="Z67" s="27">
        <v>0</v>
      </c>
      <c r="AA67" s="27"/>
      <c r="AB67" s="27"/>
      <c r="AC67" s="27"/>
      <c r="AD67" s="27"/>
      <c r="AE67" s="27"/>
      <c r="AF67" s="27">
        <v>0</v>
      </c>
      <c r="AG67" s="27">
        <v>0</v>
      </c>
      <c r="AH67" s="27"/>
      <c r="AI67" s="27">
        <f>C67+G67+K67+O67+S67+W67+AA67+AE67</f>
        <v>37925000</v>
      </c>
      <c r="AJ67" s="27">
        <f t="shared" si="12"/>
        <v>36459684</v>
      </c>
      <c r="AK67" s="27">
        <f t="shared" si="12"/>
        <v>42360851</v>
      </c>
      <c r="AL67" s="27">
        <f t="shared" si="12"/>
        <v>34366571</v>
      </c>
      <c r="AM67" s="45">
        <v>6.5</v>
      </c>
      <c r="AN67" s="45">
        <v>6</v>
      </c>
      <c r="AO67" s="45">
        <v>6</v>
      </c>
      <c r="AP67" s="46">
        <v>6</v>
      </c>
    </row>
    <row r="68" spans="1:45" s="5" customFormat="1" x14ac:dyDescent="0.2">
      <c r="A68" s="15" t="s">
        <v>87</v>
      </c>
      <c r="B68" s="10" t="s">
        <v>32</v>
      </c>
      <c r="C68" s="23"/>
      <c r="D68" s="27"/>
      <c r="E68" s="27">
        <v>1429295</v>
      </c>
      <c r="F68" s="27">
        <v>1429295</v>
      </c>
      <c r="G68" s="27"/>
      <c r="H68" s="27"/>
      <c r="I68" s="27">
        <v>272763</v>
      </c>
      <c r="J68" s="27">
        <v>272764</v>
      </c>
      <c r="K68" s="27"/>
      <c r="L68" s="27"/>
      <c r="M68" s="27">
        <v>182151</v>
      </c>
      <c r="N68" s="27">
        <v>190951</v>
      </c>
      <c r="O68" s="27"/>
      <c r="P68" s="27"/>
      <c r="Q68" s="27"/>
      <c r="R68" s="27"/>
      <c r="S68" s="27"/>
      <c r="T68" s="27"/>
      <c r="U68" s="27"/>
      <c r="V68" s="27"/>
      <c r="W68" s="27"/>
      <c r="X68" s="27"/>
      <c r="Y68" s="27"/>
      <c r="Z68" s="27"/>
      <c r="AA68" s="27"/>
      <c r="AB68" s="27"/>
      <c r="AC68" s="27"/>
      <c r="AD68" s="27"/>
      <c r="AE68" s="27"/>
      <c r="AF68" s="27"/>
      <c r="AG68" s="27"/>
      <c r="AH68" s="27"/>
      <c r="AI68" s="27"/>
      <c r="AJ68" s="27"/>
      <c r="AK68" s="27">
        <f>E68+I68+M68+Q68+U68+Y68+AC68+AG68</f>
        <v>1884209</v>
      </c>
      <c r="AL68" s="27">
        <f>F68+J68+N68+R68+V68+Z68+AD68+AH68</f>
        <v>1893010</v>
      </c>
      <c r="AM68" s="45"/>
      <c r="AN68" s="45"/>
      <c r="AO68" s="45"/>
      <c r="AP68" s="46"/>
    </row>
    <row r="69" spans="1:45" s="8" customFormat="1" x14ac:dyDescent="0.2">
      <c r="A69" s="7" t="s">
        <v>35</v>
      </c>
      <c r="B69" s="7"/>
      <c r="C69" s="26">
        <f>SUM(C67:C68)</f>
        <v>32098981</v>
      </c>
      <c r="D69" s="26">
        <f>SUM(D67:D68)</f>
        <v>29312519</v>
      </c>
      <c r="E69" s="26">
        <f t="shared" ref="E69:AH69" si="13">SUM(E67:E68)</f>
        <v>34936974</v>
      </c>
      <c r="F69" s="26">
        <f t="shared" si="13"/>
        <v>29810578</v>
      </c>
      <c r="G69" s="26">
        <f t="shared" si="13"/>
        <v>5380083</v>
      </c>
      <c r="H69" s="26">
        <f t="shared" si="13"/>
        <v>5771088</v>
      </c>
      <c r="I69" s="26">
        <f t="shared" si="13"/>
        <v>7398632</v>
      </c>
      <c r="J69" s="26">
        <f t="shared" si="13"/>
        <v>5643468</v>
      </c>
      <c r="K69" s="26">
        <f t="shared" si="13"/>
        <v>445936</v>
      </c>
      <c r="L69" s="26">
        <f t="shared" si="13"/>
        <v>1376077</v>
      </c>
      <c r="M69" s="26">
        <f t="shared" si="13"/>
        <v>1909454</v>
      </c>
      <c r="N69" s="26">
        <f t="shared" si="13"/>
        <v>805535</v>
      </c>
      <c r="O69" s="26">
        <f t="shared" si="13"/>
        <v>0</v>
      </c>
      <c r="P69" s="26">
        <f t="shared" si="13"/>
        <v>0</v>
      </c>
      <c r="Q69" s="26">
        <f t="shared" si="13"/>
        <v>0</v>
      </c>
      <c r="R69" s="26">
        <f t="shared" si="13"/>
        <v>0</v>
      </c>
      <c r="S69" s="26">
        <f t="shared" si="13"/>
        <v>0</v>
      </c>
      <c r="T69" s="26">
        <f t="shared" si="13"/>
        <v>0</v>
      </c>
      <c r="U69" s="26">
        <f t="shared" si="13"/>
        <v>0</v>
      </c>
      <c r="V69" s="26">
        <f t="shared" si="13"/>
        <v>0</v>
      </c>
      <c r="W69" s="26">
        <f t="shared" si="13"/>
        <v>0</v>
      </c>
      <c r="X69" s="26">
        <f t="shared" si="13"/>
        <v>0</v>
      </c>
      <c r="Y69" s="26">
        <f t="shared" si="13"/>
        <v>0</v>
      </c>
      <c r="Z69" s="26">
        <f t="shared" si="13"/>
        <v>0</v>
      </c>
      <c r="AA69" s="26">
        <f t="shared" si="13"/>
        <v>0</v>
      </c>
      <c r="AB69" s="26">
        <f t="shared" si="13"/>
        <v>0</v>
      </c>
      <c r="AC69" s="26">
        <f t="shared" si="13"/>
        <v>0</v>
      </c>
      <c r="AD69" s="26">
        <f t="shared" si="13"/>
        <v>0</v>
      </c>
      <c r="AE69" s="26">
        <f t="shared" si="13"/>
        <v>0</v>
      </c>
      <c r="AF69" s="26">
        <f t="shared" si="13"/>
        <v>0</v>
      </c>
      <c r="AG69" s="26">
        <f t="shared" si="13"/>
        <v>0</v>
      </c>
      <c r="AH69" s="26">
        <f t="shared" si="13"/>
        <v>0</v>
      </c>
      <c r="AI69" s="28">
        <f>C69+G69+K69+O69+S69+W69+AA69+AE69</f>
        <v>37925000</v>
      </c>
      <c r="AJ69" s="28">
        <f>D69+H69+L69+P69+T69+X69+AB69+AF69</f>
        <v>36459684</v>
      </c>
      <c r="AK69" s="28">
        <f>E69+I69+M69+Q69+U69+Y69+AC69+AG69</f>
        <v>44245060</v>
      </c>
      <c r="AL69" s="28">
        <f>F69+J69+N69+R69+V69+Z69+AD69+AH69</f>
        <v>36259581</v>
      </c>
      <c r="AM69" s="47">
        <f>SUM(AM66:AM67)</f>
        <v>6.5</v>
      </c>
      <c r="AN69" s="47">
        <f>SUM(AN66:AN67)</f>
        <v>6</v>
      </c>
      <c r="AO69" s="47">
        <f>SUM(AO66:AO67)</f>
        <v>6</v>
      </c>
      <c r="AP69" s="48">
        <f>SUM(AP66:AP67)</f>
        <v>6</v>
      </c>
    </row>
    <row r="70" spans="1:45" s="1" customFormat="1" x14ac:dyDescent="0.2">
      <c r="A70" s="16" t="s">
        <v>59</v>
      </c>
      <c r="B70" s="16"/>
      <c r="C70" s="29">
        <f>C65+C69</f>
        <v>66435777</v>
      </c>
      <c r="D70" s="29">
        <f>D65+D69</f>
        <v>59698334</v>
      </c>
      <c r="E70" s="29">
        <f t="shared" ref="E70:AP70" si="14">E65+E69</f>
        <v>71322679</v>
      </c>
      <c r="F70" s="29">
        <f t="shared" si="14"/>
        <v>59253540</v>
      </c>
      <c r="G70" s="29">
        <f t="shared" si="14"/>
        <v>11677594.34</v>
      </c>
      <c r="H70" s="29">
        <f t="shared" si="14"/>
        <v>11391786</v>
      </c>
      <c r="I70" s="29">
        <f t="shared" si="14"/>
        <v>13228032</v>
      </c>
      <c r="J70" s="29">
        <f t="shared" si="14"/>
        <v>10217235</v>
      </c>
      <c r="K70" s="29">
        <f t="shared" si="14"/>
        <v>43677229</v>
      </c>
      <c r="L70" s="29">
        <f t="shared" si="14"/>
        <v>41704150</v>
      </c>
      <c r="M70" s="29">
        <f t="shared" si="14"/>
        <v>91803599</v>
      </c>
      <c r="N70" s="29">
        <f t="shared" si="14"/>
        <v>71521642</v>
      </c>
      <c r="O70" s="29">
        <f t="shared" si="14"/>
        <v>8010000</v>
      </c>
      <c r="P70" s="29">
        <f t="shared" si="14"/>
        <v>3973000</v>
      </c>
      <c r="Q70" s="29">
        <f t="shared" si="14"/>
        <v>3973000</v>
      </c>
      <c r="R70" s="29">
        <f t="shared" si="14"/>
        <v>3595514</v>
      </c>
      <c r="S70" s="29">
        <f t="shared" si="14"/>
        <v>98322880</v>
      </c>
      <c r="T70" s="29">
        <f t="shared" si="14"/>
        <v>83055945</v>
      </c>
      <c r="U70" s="29">
        <f t="shared" si="14"/>
        <v>89464888</v>
      </c>
      <c r="V70" s="29">
        <f t="shared" si="14"/>
        <v>89293761</v>
      </c>
      <c r="W70" s="29">
        <f t="shared" si="14"/>
        <v>3279490</v>
      </c>
      <c r="X70" s="29">
        <f t="shared" si="14"/>
        <v>3777622</v>
      </c>
      <c r="Y70" s="29">
        <f t="shared" si="14"/>
        <v>336641589</v>
      </c>
      <c r="Z70" s="29">
        <f t="shared" si="14"/>
        <v>118849553</v>
      </c>
      <c r="AA70" s="29">
        <f t="shared" si="14"/>
        <v>0</v>
      </c>
      <c r="AB70" s="29">
        <f t="shared" si="14"/>
        <v>0</v>
      </c>
      <c r="AC70" s="29">
        <f t="shared" si="14"/>
        <v>0</v>
      </c>
      <c r="AD70" s="29">
        <f t="shared" si="14"/>
        <v>0</v>
      </c>
      <c r="AE70" s="29">
        <f t="shared" si="14"/>
        <v>1205373</v>
      </c>
      <c r="AF70" s="29">
        <f t="shared" si="14"/>
        <v>1205281</v>
      </c>
      <c r="AG70" s="29">
        <f t="shared" si="14"/>
        <v>150526</v>
      </c>
      <c r="AH70" s="29">
        <f t="shared" si="14"/>
        <v>0</v>
      </c>
      <c r="AI70" s="29">
        <f>AI65+AI69</f>
        <v>232608343.34</v>
      </c>
      <c r="AJ70" s="29">
        <f>AJ65+AJ69</f>
        <v>204806118</v>
      </c>
      <c r="AK70" s="29">
        <f t="shared" si="14"/>
        <v>606584313</v>
      </c>
      <c r="AL70" s="29">
        <f t="shared" si="14"/>
        <v>352731245</v>
      </c>
      <c r="AM70" s="49">
        <f t="shared" si="14"/>
        <v>32.5</v>
      </c>
      <c r="AN70" s="49">
        <f t="shared" si="14"/>
        <v>39</v>
      </c>
      <c r="AO70" s="49">
        <f t="shared" si="14"/>
        <v>39</v>
      </c>
      <c r="AP70" s="50">
        <f t="shared" si="14"/>
        <v>29.25</v>
      </c>
    </row>
    <row r="71" spans="1:45" x14ac:dyDescent="0.2">
      <c r="A71" s="15" t="s">
        <v>28</v>
      </c>
      <c r="B71" s="15"/>
      <c r="C71" s="27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8"/>
      <c r="AM71" s="58"/>
      <c r="AN71" s="39"/>
      <c r="AO71" s="39"/>
      <c r="AP71" s="40"/>
    </row>
    <row r="72" spans="1:45" x14ac:dyDescent="0.2">
      <c r="A72" s="15" t="s">
        <v>36</v>
      </c>
      <c r="B72" s="15"/>
      <c r="C72" s="27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8"/>
      <c r="AM72" s="58"/>
      <c r="AN72" s="39"/>
      <c r="AO72" s="39"/>
      <c r="AP72" s="40"/>
    </row>
    <row r="73" spans="1:45" s="4" customFormat="1" ht="17.25" x14ac:dyDescent="0.4">
      <c r="A73" s="16" t="s">
        <v>59</v>
      </c>
      <c r="B73" s="16"/>
      <c r="C73" s="30">
        <f t="shared" ref="C73:AH73" si="15">C70+C71</f>
        <v>66435777</v>
      </c>
      <c r="D73" s="30">
        <f t="shared" si="15"/>
        <v>59698334</v>
      </c>
      <c r="E73" s="30">
        <f t="shared" si="15"/>
        <v>71322679</v>
      </c>
      <c r="F73" s="30">
        <f t="shared" si="15"/>
        <v>59253540</v>
      </c>
      <c r="G73" s="30">
        <f t="shared" si="15"/>
        <v>11677594.34</v>
      </c>
      <c r="H73" s="30">
        <f t="shared" si="15"/>
        <v>11391786</v>
      </c>
      <c r="I73" s="30">
        <f t="shared" si="15"/>
        <v>13228032</v>
      </c>
      <c r="J73" s="30">
        <f t="shared" si="15"/>
        <v>10217235</v>
      </c>
      <c r="K73" s="30">
        <f t="shared" si="15"/>
        <v>43677229</v>
      </c>
      <c r="L73" s="30">
        <f t="shared" si="15"/>
        <v>41704150</v>
      </c>
      <c r="M73" s="30">
        <f t="shared" si="15"/>
        <v>91803599</v>
      </c>
      <c r="N73" s="30">
        <f t="shared" si="15"/>
        <v>71521642</v>
      </c>
      <c r="O73" s="30">
        <f t="shared" si="15"/>
        <v>8010000</v>
      </c>
      <c r="P73" s="30">
        <f t="shared" si="15"/>
        <v>3973000</v>
      </c>
      <c r="Q73" s="30">
        <f t="shared" si="15"/>
        <v>3973000</v>
      </c>
      <c r="R73" s="30">
        <f t="shared" si="15"/>
        <v>3595514</v>
      </c>
      <c r="S73" s="30">
        <f t="shared" si="15"/>
        <v>98322880</v>
      </c>
      <c r="T73" s="30">
        <f t="shared" si="15"/>
        <v>83055945</v>
      </c>
      <c r="U73" s="30">
        <f t="shared" si="15"/>
        <v>89464888</v>
      </c>
      <c r="V73" s="30">
        <f t="shared" si="15"/>
        <v>89293761</v>
      </c>
      <c r="W73" s="30">
        <f t="shared" si="15"/>
        <v>3279490</v>
      </c>
      <c r="X73" s="30">
        <f t="shared" si="15"/>
        <v>3777622</v>
      </c>
      <c r="Y73" s="30">
        <f t="shared" si="15"/>
        <v>336641589</v>
      </c>
      <c r="Z73" s="30">
        <f t="shared" si="15"/>
        <v>118849553</v>
      </c>
      <c r="AA73" s="30">
        <f t="shared" si="15"/>
        <v>0</v>
      </c>
      <c r="AB73" s="30">
        <f t="shared" si="15"/>
        <v>0</v>
      </c>
      <c r="AC73" s="30">
        <f t="shared" si="15"/>
        <v>0</v>
      </c>
      <c r="AD73" s="30">
        <f t="shared" si="15"/>
        <v>0</v>
      </c>
      <c r="AE73" s="30">
        <f t="shared" si="15"/>
        <v>1205373</v>
      </c>
      <c r="AF73" s="30">
        <f t="shared" si="15"/>
        <v>1205281</v>
      </c>
      <c r="AG73" s="30">
        <f t="shared" si="15"/>
        <v>150526</v>
      </c>
      <c r="AH73" s="30">
        <f t="shared" si="15"/>
        <v>0</v>
      </c>
      <c r="AI73" s="30">
        <f t="shared" ref="AI73:AP73" si="16">AI70+AI71+AI72</f>
        <v>232608343.34</v>
      </c>
      <c r="AJ73" s="30">
        <f t="shared" si="16"/>
        <v>204806118</v>
      </c>
      <c r="AK73" s="30">
        <f t="shared" si="16"/>
        <v>606584313</v>
      </c>
      <c r="AL73" s="30">
        <f t="shared" si="16"/>
        <v>352731245</v>
      </c>
      <c r="AM73" s="51">
        <f t="shared" si="16"/>
        <v>32.5</v>
      </c>
      <c r="AN73" s="51">
        <f t="shared" si="16"/>
        <v>39</v>
      </c>
      <c r="AO73" s="51">
        <f t="shared" si="16"/>
        <v>39</v>
      </c>
      <c r="AP73" s="52">
        <f t="shared" si="16"/>
        <v>29.25</v>
      </c>
    </row>
  </sheetData>
  <mergeCells count="10">
    <mergeCell ref="AB4:AD4"/>
    <mergeCell ref="AF4:AH4"/>
    <mergeCell ref="AJ4:AL4"/>
    <mergeCell ref="AN4:AP4"/>
    <mergeCell ref="D4:F4"/>
    <mergeCell ref="H4:J4"/>
    <mergeCell ref="L4:N4"/>
    <mergeCell ref="P4:R4"/>
    <mergeCell ref="T4:V4"/>
    <mergeCell ref="X4:Z4"/>
  </mergeCells>
  <pageMargins left="0" right="0" top="0" bottom="0" header="0.27559055118110237" footer="0.35433070866141736"/>
  <pageSetup paperSize="8" scale="39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73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C2" sqref="C2"/>
    </sheetView>
  </sheetViews>
  <sheetFormatPr defaultRowHeight="12.75" x14ac:dyDescent="0.2"/>
  <cols>
    <col min="1" max="1" width="53.85546875" customWidth="1"/>
    <col min="2" max="3" width="11.85546875" customWidth="1"/>
    <col min="4" max="12" width="11.5703125" style="21" customWidth="1"/>
    <col min="13" max="13" width="10.5703125" style="21" customWidth="1"/>
    <col min="14" max="14" width="10.42578125" style="21" customWidth="1"/>
    <col min="15" max="15" width="11" style="21" customWidth="1"/>
    <col min="16" max="16" width="13.28515625" style="21" customWidth="1"/>
    <col min="17" max="18" width="11.7109375" style="21" customWidth="1"/>
    <col min="19" max="19" width="12.28515625" style="21" customWidth="1"/>
    <col min="20" max="21" width="12.5703125" style="21" customWidth="1"/>
    <col min="22" max="22" width="12.42578125" style="21" customWidth="1"/>
    <col min="23" max="24" width="12.5703125" style="21" customWidth="1"/>
    <col min="25" max="25" width="12.28515625" style="21" customWidth="1"/>
    <col min="26" max="26" width="10.140625" style="21" customWidth="1"/>
    <col min="27" max="27" width="13.28515625" style="21" customWidth="1"/>
    <col min="28" max="28" width="13.42578125" style="21" customWidth="1"/>
    <col min="29" max="29" width="12.28515625" style="21" customWidth="1"/>
    <col min="30" max="30" width="12.28515625" style="55" customWidth="1"/>
    <col min="31" max="31" width="10.140625" style="20" customWidth="1"/>
    <col min="32" max="32" width="7.85546875" style="33" customWidth="1"/>
    <col min="33" max="33" width="10.5703125" bestFit="1" customWidth="1"/>
    <col min="34" max="35" width="11.28515625" bestFit="1" customWidth="1"/>
  </cols>
  <sheetData>
    <row r="1" spans="1:33" s="9" customFormat="1" x14ac:dyDescent="0.2">
      <c r="A1" s="9" t="s">
        <v>86</v>
      </c>
      <c r="D1" s="21"/>
      <c r="E1" s="21"/>
      <c r="F1" s="21"/>
      <c r="G1" s="21"/>
      <c r="H1" s="21"/>
      <c r="I1" s="21"/>
      <c r="J1" s="21" t="s">
        <v>27</v>
      </c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55"/>
      <c r="AE1" s="17"/>
      <c r="AF1" s="31"/>
    </row>
    <row r="2" spans="1:33" s="9" customFormat="1" x14ac:dyDescent="0.2">
      <c r="D2" s="21"/>
      <c r="E2" s="21"/>
      <c r="F2" s="21"/>
      <c r="G2" s="21"/>
      <c r="H2" s="21"/>
      <c r="I2" s="21"/>
      <c r="J2" s="21" t="s">
        <v>94</v>
      </c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55"/>
      <c r="AE2" s="17"/>
      <c r="AF2" s="31"/>
    </row>
    <row r="3" spans="1:33" s="9" customFormat="1" x14ac:dyDescent="0.2">
      <c r="D3" s="21"/>
      <c r="E3" s="21"/>
      <c r="F3" s="21"/>
      <c r="G3" s="21"/>
      <c r="H3" s="21"/>
      <c r="I3" s="21"/>
      <c r="J3" s="21" t="s">
        <v>65</v>
      </c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55"/>
      <c r="AE3" s="17"/>
      <c r="AF3" s="31"/>
    </row>
    <row r="4" spans="1:33" s="9" customFormat="1" x14ac:dyDescent="0.2">
      <c r="A4" s="10" t="s">
        <v>0</v>
      </c>
      <c r="B4" s="11"/>
      <c r="C4" s="64" t="s">
        <v>91</v>
      </c>
      <c r="D4" s="65"/>
      <c r="E4" s="66"/>
      <c r="F4" s="64" t="s">
        <v>2</v>
      </c>
      <c r="G4" s="65"/>
      <c r="H4" s="66"/>
      <c r="I4" s="11" t="s">
        <v>3</v>
      </c>
      <c r="J4" s="60"/>
      <c r="K4" s="61"/>
      <c r="L4" s="11" t="s">
        <v>4</v>
      </c>
      <c r="M4" s="60"/>
      <c r="N4" s="61"/>
      <c r="O4" s="64" t="s">
        <v>25</v>
      </c>
      <c r="P4" s="65"/>
      <c r="Q4" s="66"/>
      <c r="R4" s="11" t="s">
        <v>10</v>
      </c>
      <c r="S4" s="60"/>
      <c r="T4" s="61"/>
      <c r="U4" s="64" t="s">
        <v>26</v>
      </c>
      <c r="V4" s="65"/>
      <c r="W4" s="66"/>
      <c r="X4" s="11" t="s">
        <v>6</v>
      </c>
      <c r="Y4" s="60"/>
      <c r="Z4" s="61"/>
      <c r="AA4" s="11" t="s">
        <v>9</v>
      </c>
      <c r="AB4" s="60"/>
      <c r="AC4" s="61"/>
      <c r="AD4" s="67" t="s">
        <v>92</v>
      </c>
      <c r="AE4" s="65"/>
      <c r="AF4" s="66"/>
    </row>
    <row r="5" spans="1:33" s="54" customFormat="1" x14ac:dyDescent="0.2">
      <c r="A5" s="10"/>
      <c r="B5" s="10"/>
      <c r="C5" s="10"/>
      <c r="D5" s="22"/>
      <c r="E5" s="22"/>
      <c r="F5" s="10"/>
      <c r="G5" s="22"/>
      <c r="H5" s="22"/>
      <c r="I5" s="10"/>
      <c r="J5" s="22"/>
      <c r="K5" s="22"/>
      <c r="L5" s="10"/>
      <c r="M5" s="22"/>
      <c r="N5" s="22"/>
      <c r="O5" s="10"/>
      <c r="P5" s="22"/>
      <c r="Q5" s="22"/>
      <c r="R5" s="10"/>
      <c r="S5" s="22"/>
      <c r="T5" s="22"/>
      <c r="U5" s="10"/>
      <c r="V5" s="22"/>
      <c r="W5" s="22"/>
      <c r="X5" s="10"/>
      <c r="Y5" s="22"/>
      <c r="Z5" s="22"/>
      <c r="AA5" s="10"/>
      <c r="AB5" s="22"/>
      <c r="AC5" s="22"/>
      <c r="AD5" s="39"/>
      <c r="AE5" s="19"/>
      <c r="AF5" s="32"/>
      <c r="AG5" s="53"/>
    </row>
    <row r="6" spans="1:33" s="37" customFormat="1" ht="28.5" customHeight="1" x14ac:dyDescent="0.2">
      <c r="A6" s="13"/>
      <c r="B6" s="13"/>
      <c r="C6" s="34" t="s">
        <v>85</v>
      </c>
      <c r="D6" s="24" t="s">
        <v>89</v>
      </c>
      <c r="E6" s="24" t="s">
        <v>90</v>
      </c>
      <c r="F6" s="34" t="s">
        <v>85</v>
      </c>
      <c r="G6" s="24" t="s">
        <v>89</v>
      </c>
      <c r="H6" s="24" t="s">
        <v>90</v>
      </c>
      <c r="I6" s="34" t="s">
        <v>85</v>
      </c>
      <c r="J6" s="24" t="s">
        <v>89</v>
      </c>
      <c r="K6" s="24" t="s">
        <v>90</v>
      </c>
      <c r="L6" s="34" t="s">
        <v>85</v>
      </c>
      <c r="M6" s="24" t="s">
        <v>89</v>
      </c>
      <c r="N6" s="24" t="s">
        <v>90</v>
      </c>
      <c r="O6" s="34" t="s">
        <v>85</v>
      </c>
      <c r="P6" s="24" t="s">
        <v>89</v>
      </c>
      <c r="Q6" s="24" t="s">
        <v>90</v>
      </c>
      <c r="R6" s="34" t="s">
        <v>85</v>
      </c>
      <c r="S6" s="24" t="s">
        <v>89</v>
      </c>
      <c r="T6" s="24" t="s">
        <v>90</v>
      </c>
      <c r="U6" s="34" t="s">
        <v>85</v>
      </c>
      <c r="V6" s="24" t="s">
        <v>89</v>
      </c>
      <c r="W6" s="24" t="s">
        <v>90</v>
      </c>
      <c r="X6" s="34" t="s">
        <v>85</v>
      </c>
      <c r="Y6" s="24" t="s">
        <v>89</v>
      </c>
      <c r="Z6" s="24" t="s">
        <v>90</v>
      </c>
      <c r="AA6" s="34" t="s">
        <v>85</v>
      </c>
      <c r="AB6" s="24" t="s">
        <v>89</v>
      </c>
      <c r="AC6" s="24" t="s">
        <v>90</v>
      </c>
      <c r="AD6" s="34" t="s">
        <v>85</v>
      </c>
      <c r="AE6" s="24" t="s">
        <v>89</v>
      </c>
      <c r="AF6" s="24" t="s">
        <v>90</v>
      </c>
    </row>
    <row r="7" spans="1:33" s="9" customFormat="1" x14ac:dyDescent="0.2">
      <c r="A7" s="10" t="s">
        <v>23</v>
      </c>
      <c r="B7" s="12" t="s">
        <v>31</v>
      </c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>
        <f t="shared" ref="AA7:AA38" si="0">C7+F7+I7+L7+O7+R7+U7+X7</f>
        <v>0</v>
      </c>
      <c r="AB7" s="23"/>
      <c r="AC7" s="23"/>
      <c r="AD7" s="39"/>
      <c r="AE7" s="39"/>
      <c r="AF7" s="40"/>
    </row>
    <row r="8" spans="1:33" s="9" customFormat="1" x14ac:dyDescent="0.2">
      <c r="A8" s="10" t="s">
        <v>29</v>
      </c>
      <c r="B8" s="10" t="s">
        <v>32</v>
      </c>
      <c r="C8" s="23">
        <v>2527200</v>
      </c>
      <c r="D8" s="23">
        <f>2527200+22669</f>
        <v>2549869</v>
      </c>
      <c r="E8" s="23"/>
      <c r="F8" s="23">
        <v>442260</v>
      </c>
      <c r="G8" s="23">
        <v>442260</v>
      </c>
      <c r="H8" s="23"/>
      <c r="I8" s="23">
        <f>447000+601290+1780000</f>
        <v>2828290</v>
      </c>
      <c r="J8" s="23">
        <f>447000+601290+1780000</f>
        <v>2828290</v>
      </c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>
        <f t="shared" si="0"/>
        <v>5797750</v>
      </c>
      <c r="AB8" s="23">
        <f t="shared" ref="AB8:AB32" si="1">D8+G8+J8+M8+P8+S8+V8+Y8</f>
        <v>5820419</v>
      </c>
      <c r="AC8" s="23">
        <f t="shared" ref="AC8:AC32" si="2">E8+H8+K8+N8+Q8+T8+W8+Z8</f>
        <v>0</v>
      </c>
      <c r="AD8" s="39">
        <v>1</v>
      </c>
      <c r="AE8" s="39">
        <v>1</v>
      </c>
      <c r="AF8" s="40"/>
    </row>
    <row r="9" spans="1:33" s="9" customFormat="1" x14ac:dyDescent="0.2">
      <c r="A9" s="10" t="s">
        <v>30</v>
      </c>
      <c r="B9" s="10" t="s">
        <v>32</v>
      </c>
      <c r="C9" s="23"/>
      <c r="D9" s="23"/>
      <c r="E9" s="23"/>
      <c r="F9" s="23"/>
      <c r="G9" s="23"/>
      <c r="H9" s="23"/>
      <c r="I9" s="23">
        <v>1941000</v>
      </c>
      <c r="J9" s="23">
        <v>1941000</v>
      </c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>
        <f t="shared" si="0"/>
        <v>1941000</v>
      </c>
      <c r="AB9" s="23">
        <f t="shared" si="1"/>
        <v>1941000</v>
      </c>
      <c r="AC9" s="23">
        <f t="shared" si="2"/>
        <v>0</v>
      </c>
      <c r="AD9" s="39"/>
      <c r="AE9" s="39"/>
      <c r="AF9" s="40"/>
    </row>
    <row r="10" spans="1:33" s="9" customFormat="1" x14ac:dyDescent="0.2">
      <c r="A10" s="10" t="s">
        <v>72</v>
      </c>
      <c r="B10" s="10" t="s">
        <v>32</v>
      </c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>
        <v>44469347</v>
      </c>
      <c r="T10" s="23"/>
      <c r="U10" s="23"/>
      <c r="V10" s="23"/>
      <c r="W10" s="23"/>
      <c r="X10" s="23"/>
      <c r="Y10" s="23"/>
      <c r="Z10" s="23"/>
      <c r="AA10" s="23">
        <f t="shared" si="0"/>
        <v>0</v>
      </c>
      <c r="AB10" s="23">
        <f t="shared" si="1"/>
        <v>44469347</v>
      </c>
      <c r="AC10" s="23">
        <f t="shared" si="2"/>
        <v>0</v>
      </c>
      <c r="AD10" s="39"/>
      <c r="AE10" s="39"/>
      <c r="AF10" s="40"/>
    </row>
    <row r="11" spans="1:33" s="9" customFormat="1" x14ac:dyDescent="0.2">
      <c r="A11" s="10" t="s">
        <v>88</v>
      </c>
      <c r="B11" s="10" t="s">
        <v>32</v>
      </c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>
        <f t="shared" si="0"/>
        <v>0</v>
      </c>
      <c r="AB11" s="23">
        <f t="shared" si="1"/>
        <v>0</v>
      </c>
      <c r="AC11" s="23">
        <f t="shared" si="2"/>
        <v>0</v>
      </c>
      <c r="AD11" s="39"/>
      <c r="AE11" s="39"/>
      <c r="AF11" s="40"/>
    </row>
    <row r="12" spans="1:33" s="9" customFormat="1" x14ac:dyDescent="0.2">
      <c r="A12" s="10" t="s">
        <v>64</v>
      </c>
      <c r="B12" s="10" t="s">
        <v>32</v>
      </c>
      <c r="C12" s="23"/>
      <c r="D12" s="23"/>
      <c r="E12" s="23"/>
      <c r="F12" s="23"/>
      <c r="G12" s="23"/>
      <c r="H12" s="23"/>
      <c r="I12" s="23"/>
      <c r="J12" s="23">
        <v>551</v>
      </c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>
        <f t="shared" si="0"/>
        <v>0</v>
      </c>
      <c r="AB12" s="23">
        <f t="shared" si="1"/>
        <v>551</v>
      </c>
      <c r="AC12" s="23">
        <f t="shared" si="2"/>
        <v>0</v>
      </c>
      <c r="AD12" s="39"/>
      <c r="AE12" s="39"/>
      <c r="AF12" s="40"/>
    </row>
    <row r="13" spans="1:33" s="9" customFormat="1" x14ac:dyDescent="0.2">
      <c r="A13" s="10" t="s">
        <v>37</v>
      </c>
      <c r="B13" s="10" t="s">
        <v>32</v>
      </c>
      <c r="C13" s="23"/>
      <c r="D13" s="23"/>
      <c r="E13" s="23"/>
      <c r="F13" s="23"/>
      <c r="G13" s="23"/>
      <c r="H13" s="23"/>
      <c r="I13" s="23">
        <v>216000</v>
      </c>
      <c r="J13" s="23">
        <f>216000+288290</f>
        <v>504290</v>
      </c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>
        <f t="shared" si="0"/>
        <v>216000</v>
      </c>
      <c r="AB13" s="23">
        <f t="shared" si="1"/>
        <v>504290</v>
      </c>
      <c r="AC13" s="23">
        <f t="shared" si="2"/>
        <v>0</v>
      </c>
      <c r="AD13" s="39"/>
      <c r="AE13" s="39"/>
      <c r="AF13" s="40"/>
    </row>
    <row r="14" spans="1:33" s="9" customFormat="1" x14ac:dyDescent="0.2">
      <c r="A14" s="10" t="s">
        <v>38</v>
      </c>
      <c r="B14" s="10" t="s">
        <v>32</v>
      </c>
      <c r="C14" s="23"/>
      <c r="D14" s="23"/>
      <c r="E14" s="23"/>
      <c r="F14" s="23"/>
      <c r="G14" s="23"/>
      <c r="H14" s="23"/>
      <c r="I14" s="23">
        <v>206000</v>
      </c>
      <c r="J14" s="23">
        <v>206000</v>
      </c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>
        <f t="shared" si="0"/>
        <v>206000</v>
      </c>
      <c r="AB14" s="23">
        <f t="shared" si="1"/>
        <v>206000</v>
      </c>
      <c r="AC14" s="23">
        <f t="shared" si="2"/>
        <v>0</v>
      </c>
      <c r="AD14" s="39"/>
      <c r="AE14" s="39"/>
      <c r="AF14" s="40"/>
    </row>
    <row r="15" spans="1:33" s="9" customFormat="1" x14ac:dyDescent="0.2">
      <c r="A15" s="10" t="s">
        <v>66</v>
      </c>
      <c r="B15" s="10" t="s">
        <v>32</v>
      </c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>
        <f t="shared" si="0"/>
        <v>0</v>
      </c>
      <c r="AB15" s="23">
        <f t="shared" si="1"/>
        <v>0</v>
      </c>
      <c r="AC15" s="23">
        <f t="shared" si="2"/>
        <v>0</v>
      </c>
      <c r="AD15" s="39"/>
      <c r="AE15" s="39"/>
      <c r="AF15" s="40"/>
    </row>
    <row r="16" spans="1:33" s="9" customFormat="1" x14ac:dyDescent="0.2">
      <c r="A16" s="10" t="s">
        <v>18</v>
      </c>
      <c r="B16" s="10" t="s">
        <v>32</v>
      </c>
      <c r="C16" s="23"/>
      <c r="D16" s="23"/>
      <c r="E16" s="23"/>
      <c r="F16" s="23"/>
      <c r="G16" s="23"/>
      <c r="H16" s="23"/>
      <c r="I16" s="23">
        <v>1446530</v>
      </c>
      <c r="J16" s="23">
        <v>1446530</v>
      </c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>
        <f t="shared" si="0"/>
        <v>1446530</v>
      </c>
      <c r="AB16" s="23">
        <f t="shared" si="1"/>
        <v>1446530</v>
      </c>
      <c r="AC16" s="23">
        <f t="shared" si="2"/>
        <v>0</v>
      </c>
      <c r="AD16" s="39"/>
      <c r="AE16" s="39"/>
      <c r="AF16" s="40"/>
    </row>
    <row r="17" spans="1:32" s="9" customFormat="1" x14ac:dyDescent="0.2">
      <c r="A17" s="10" t="s">
        <v>5</v>
      </c>
      <c r="B17" s="10" t="s">
        <v>32</v>
      </c>
      <c r="C17" s="23"/>
      <c r="D17" s="23"/>
      <c r="E17" s="23"/>
      <c r="F17" s="23"/>
      <c r="G17" s="23"/>
      <c r="H17" s="23"/>
      <c r="I17" s="23">
        <v>3683000</v>
      </c>
      <c r="J17" s="23">
        <v>3683000</v>
      </c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>
        <f t="shared" si="0"/>
        <v>3683000</v>
      </c>
      <c r="AB17" s="23">
        <f t="shared" si="1"/>
        <v>3683000</v>
      </c>
      <c r="AC17" s="23">
        <f t="shared" si="2"/>
        <v>0</v>
      </c>
      <c r="AD17" s="39"/>
      <c r="AE17" s="39"/>
      <c r="AF17" s="40"/>
    </row>
    <row r="18" spans="1:32" s="9" customFormat="1" x14ac:dyDescent="0.2">
      <c r="A18" s="10" t="s">
        <v>22</v>
      </c>
      <c r="B18" s="10" t="s">
        <v>32</v>
      </c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>
        <v>169700000</v>
      </c>
      <c r="T18" s="23"/>
      <c r="U18" s="23"/>
      <c r="V18" s="23"/>
      <c r="W18" s="23"/>
      <c r="X18" s="23"/>
      <c r="Y18" s="23"/>
      <c r="Z18" s="23"/>
      <c r="AA18" s="23">
        <f t="shared" si="0"/>
        <v>0</v>
      </c>
      <c r="AB18" s="23">
        <f t="shared" si="1"/>
        <v>169700000</v>
      </c>
      <c r="AC18" s="23">
        <f t="shared" si="2"/>
        <v>0</v>
      </c>
      <c r="AD18" s="39"/>
      <c r="AE18" s="39"/>
      <c r="AF18" s="40"/>
    </row>
    <row r="19" spans="1:32" s="9" customFormat="1" x14ac:dyDescent="0.2">
      <c r="A19" s="10" t="s">
        <v>7</v>
      </c>
      <c r="B19" s="10" t="s">
        <v>32</v>
      </c>
      <c r="C19" s="23"/>
      <c r="D19" s="23"/>
      <c r="E19" s="23"/>
      <c r="F19" s="23"/>
      <c r="G19" s="23"/>
      <c r="H19" s="23"/>
      <c r="I19" s="23">
        <v>1440000</v>
      </c>
      <c r="J19" s="23">
        <f>1440000+11000000</f>
        <v>12440000</v>
      </c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>
        <f t="shared" si="0"/>
        <v>1440000</v>
      </c>
      <c r="AB19" s="23">
        <f t="shared" si="1"/>
        <v>12440000</v>
      </c>
      <c r="AC19" s="23">
        <f t="shared" si="2"/>
        <v>0</v>
      </c>
      <c r="AD19" s="39"/>
      <c r="AE19" s="39"/>
      <c r="AF19" s="40"/>
    </row>
    <row r="20" spans="1:32" s="9" customFormat="1" x14ac:dyDescent="0.2">
      <c r="A20" s="10" t="s">
        <v>73</v>
      </c>
      <c r="B20" s="10" t="s">
        <v>32</v>
      </c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>
        <f t="shared" si="0"/>
        <v>0</v>
      </c>
      <c r="AB20" s="23">
        <f t="shared" si="1"/>
        <v>0</v>
      </c>
      <c r="AC20" s="23">
        <f t="shared" si="2"/>
        <v>0</v>
      </c>
      <c r="AD20" s="39"/>
      <c r="AE20" s="39"/>
      <c r="AF20" s="40"/>
    </row>
    <row r="21" spans="1:32" s="9" customFormat="1" x14ac:dyDescent="0.2">
      <c r="A21" s="10" t="s">
        <v>39</v>
      </c>
      <c r="B21" s="10" t="s">
        <v>32</v>
      </c>
      <c r="C21" s="23"/>
      <c r="D21" s="23"/>
      <c r="E21" s="23"/>
      <c r="F21" s="23"/>
      <c r="G21" s="23"/>
      <c r="H21" s="23"/>
      <c r="I21" s="23"/>
      <c r="J21" s="23">
        <v>365000</v>
      </c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>
        <f t="shared" si="0"/>
        <v>0</v>
      </c>
      <c r="AB21" s="23">
        <f t="shared" si="1"/>
        <v>365000</v>
      </c>
      <c r="AC21" s="23">
        <f t="shared" si="2"/>
        <v>0</v>
      </c>
      <c r="AD21" s="39"/>
      <c r="AE21" s="39"/>
      <c r="AF21" s="40"/>
    </row>
    <row r="22" spans="1:32" s="9" customFormat="1" x14ac:dyDescent="0.2">
      <c r="A22" s="10" t="s">
        <v>40</v>
      </c>
      <c r="B22" s="10" t="s">
        <v>32</v>
      </c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>
        <f>94552680+1000000+300000</f>
        <v>95852680</v>
      </c>
      <c r="P22" s="23">
        <f>95852680+2501052</f>
        <v>98353732</v>
      </c>
      <c r="Q22" s="23">
        <v>0</v>
      </c>
      <c r="R22" s="23"/>
      <c r="S22" s="23"/>
      <c r="T22" s="23"/>
      <c r="U22" s="23"/>
      <c r="V22" s="23"/>
      <c r="W22" s="23"/>
      <c r="X22" s="23"/>
      <c r="Y22" s="23"/>
      <c r="Z22" s="23"/>
      <c r="AA22" s="23">
        <f t="shared" si="0"/>
        <v>95852680</v>
      </c>
      <c r="AB22" s="23">
        <f t="shared" si="1"/>
        <v>98353732</v>
      </c>
      <c r="AC22" s="23">
        <f t="shared" si="2"/>
        <v>0</v>
      </c>
      <c r="AD22" s="39"/>
      <c r="AE22" s="39"/>
      <c r="AF22" s="40"/>
    </row>
    <row r="23" spans="1:32" s="9" customFormat="1" x14ac:dyDescent="0.2">
      <c r="A23" s="10" t="s">
        <v>74</v>
      </c>
      <c r="B23" s="10" t="s">
        <v>32</v>
      </c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>
        <f t="shared" si="0"/>
        <v>0</v>
      </c>
      <c r="AB23" s="23">
        <f t="shared" si="1"/>
        <v>0</v>
      </c>
      <c r="AC23" s="23">
        <f t="shared" si="2"/>
        <v>0</v>
      </c>
      <c r="AD23" s="39"/>
      <c r="AE23" s="39"/>
      <c r="AF23" s="40"/>
    </row>
    <row r="24" spans="1:32" s="9" customFormat="1" x14ac:dyDescent="0.2">
      <c r="A24" s="10" t="s">
        <v>75</v>
      </c>
      <c r="B24" s="10" t="s">
        <v>32</v>
      </c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>
        <f t="shared" si="0"/>
        <v>0</v>
      </c>
      <c r="AB24" s="23">
        <f t="shared" si="1"/>
        <v>0</v>
      </c>
      <c r="AC24" s="23">
        <f t="shared" si="2"/>
        <v>0</v>
      </c>
      <c r="AD24" s="39"/>
      <c r="AE24" s="39"/>
      <c r="AF24" s="40"/>
    </row>
    <row r="25" spans="1:32" s="9" customFormat="1" x14ac:dyDescent="0.2">
      <c r="A25" s="10" t="s">
        <v>76</v>
      </c>
      <c r="B25" s="10" t="s">
        <v>32</v>
      </c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>
        <f t="shared" si="0"/>
        <v>0</v>
      </c>
      <c r="AB25" s="23">
        <f t="shared" si="1"/>
        <v>0</v>
      </c>
      <c r="AC25" s="23">
        <f t="shared" si="2"/>
        <v>0</v>
      </c>
      <c r="AD25" s="39"/>
      <c r="AE25" s="39"/>
      <c r="AF25" s="40"/>
    </row>
    <row r="26" spans="1:32" s="9" customFormat="1" x14ac:dyDescent="0.2">
      <c r="A26" s="10" t="s">
        <v>83</v>
      </c>
      <c r="B26" s="10" t="s">
        <v>33</v>
      </c>
      <c r="C26" s="23"/>
      <c r="D26" s="23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>
        <f>6092580+4661000+350000</f>
        <v>11103580</v>
      </c>
      <c r="T26" s="23"/>
      <c r="U26" s="23"/>
      <c r="V26" s="23">
        <v>0</v>
      </c>
      <c r="W26" s="23">
        <v>0</v>
      </c>
      <c r="X26" s="23"/>
      <c r="Y26" s="23"/>
      <c r="Z26" s="23"/>
      <c r="AA26" s="23">
        <f t="shared" si="0"/>
        <v>0</v>
      </c>
      <c r="AB26" s="23">
        <f t="shared" si="1"/>
        <v>11103580</v>
      </c>
      <c r="AC26" s="23">
        <f t="shared" si="2"/>
        <v>0</v>
      </c>
      <c r="AD26" s="39"/>
      <c r="AE26" s="39"/>
      <c r="AF26" s="40"/>
    </row>
    <row r="27" spans="1:32" s="9" customFormat="1" x14ac:dyDescent="0.2">
      <c r="A27" s="10" t="s">
        <v>41</v>
      </c>
      <c r="B27" s="10" t="s">
        <v>33</v>
      </c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>
        <f t="shared" si="0"/>
        <v>0</v>
      </c>
      <c r="AB27" s="23">
        <f t="shared" si="1"/>
        <v>0</v>
      </c>
      <c r="AC27" s="23">
        <f t="shared" si="2"/>
        <v>0</v>
      </c>
      <c r="AD27" s="39"/>
      <c r="AE27" s="39"/>
      <c r="AF27" s="40"/>
    </row>
    <row r="28" spans="1:32" s="9" customFormat="1" x14ac:dyDescent="0.2">
      <c r="A28" s="10" t="s">
        <v>60</v>
      </c>
      <c r="B28" s="10" t="s">
        <v>33</v>
      </c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>
        <f t="shared" si="0"/>
        <v>0</v>
      </c>
      <c r="AB28" s="23">
        <f t="shared" si="1"/>
        <v>0</v>
      </c>
      <c r="AC28" s="23">
        <f t="shared" si="2"/>
        <v>0</v>
      </c>
      <c r="AD28" s="39"/>
      <c r="AE28" s="39"/>
      <c r="AF28" s="40"/>
    </row>
    <row r="29" spans="1:32" s="9" customFormat="1" x14ac:dyDescent="0.2">
      <c r="A29" s="10" t="s">
        <v>42</v>
      </c>
      <c r="B29" s="10" t="s">
        <v>33</v>
      </c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>
        <f t="shared" si="0"/>
        <v>0</v>
      </c>
      <c r="AB29" s="23">
        <f t="shared" si="1"/>
        <v>0</v>
      </c>
      <c r="AC29" s="23">
        <f t="shared" si="2"/>
        <v>0</v>
      </c>
      <c r="AD29" s="39"/>
      <c r="AE29" s="39"/>
      <c r="AF29" s="40"/>
    </row>
    <row r="30" spans="1:32" s="9" customFormat="1" x14ac:dyDescent="0.2">
      <c r="A30" s="10" t="s">
        <v>43</v>
      </c>
      <c r="B30" s="10" t="s">
        <v>32</v>
      </c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>
        <f t="shared" si="0"/>
        <v>0</v>
      </c>
      <c r="AB30" s="23">
        <f t="shared" si="1"/>
        <v>0</v>
      </c>
      <c r="AC30" s="23">
        <f t="shared" si="2"/>
        <v>0</v>
      </c>
      <c r="AD30" s="39"/>
      <c r="AE30" s="39"/>
      <c r="AF30" s="40"/>
    </row>
    <row r="31" spans="1:32" s="9" customFormat="1" x14ac:dyDescent="0.2">
      <c r="A31" s="10" t="s">
        <v>44</v>
      </c>
      <c r="B31" s="10" t="s">
        <v>32</v>
      </c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>
        <f t="shared" si="0"/>
        <v>0</v>
      </c>
      <c r="AB31" s="23">
        <f t="shared" si="1"/>
        <v>0</v>
      </c>
      <c r="AC31" s="23">
        <f t="shared" si="2"/>
        <v>0</v>
      </c>
      <c r="AD31" s="39"/>
      <c r="AE31" s="39"/>
      <c r="AF31" s="40"/>
    </row>
    <row r="32" spans="1:32" s="9" customFormat="1" x14ac:dyDescent="0.2">
      <c r="A32" s="10" t="s">
        <v>45</v>
      </c>
      <c r="B32" s="10" t="s">
        <v>32</v>
      </c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>
        <f t="shared" si="0"/>
        <v>0</v>
      </c>
      <c r="AB32" s="23">
        <f t="shared" si="1"/>
        <v>0</v>
      </c>
      <c r="AC32" s="23">
        <f t="shared" si="2"/>
        <v>0</v>
      </c>
      <c r="AD32" s="39"/>
      <c r="AE32" s="39"/>
      <c r="AF32" s="40"/>
    </row>
    <row r="33" spans="1:32" s="9" customFormat="1" x14ac:dyDescent="0.2">
      <c r="A33" s="10" t="s">
        <v>46</v>
      </c>
      <c r="B33" s="10" t="s">
        <v>32</v>
      </c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>
        <f t="shared" si="0"/>
        <v>0</v>
      </c>
      <c r="AB33" s="23">
        <f t="shared" ref="AB33:AB48" si="3">D33+G33+J33+M33+P33+S33+V33+Y33</f>
        <v>0</v>
      </c>
      <c r="AC33" s="23">
        <v>0</v>
      </c>
      <c r="AD33" s="39"/>
      <c r="AE33" s="39"/>
      <c r="AF33" s="40"/>
    </row>
    <row r="34" spans="1:32" s="9" customFormat="1" x14ac:dyDescent="0.2">
      <c r="A34" s="10" t="s">
        <v>49</v>
      </c>
      <c r="B34" s="10" t="s">
        <v>33</v>
      </c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>
        <f t="shared" si="0"/>
        <v>0</v>
      </c>
      <c r="AB34" s="23">
        <f t="shared" si="3"/>
        <v>0</v>
      </c>
      <c r="AC34" s="23">
        <f t="shared" ref="AC34:AC64" si="4">E34+H34+K34+N34+Q34+T34+W34+Z34</f>
        <v>0</v>
      </c>
      <c r="AD34" s="39"/>
      <c r="AE34" s="39"/>
      <c r="AF34" s="40"/>
    </row>
    <row r="35" spans="1:32" s="9" customFormat="1" x14ac:dyDescent="0.2">
      <c r="A35" s="10" t="s">
        <v>80</v>
      </c>
      <c r="B35" s="10" t="s">
        <v>33</v>
      </c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>
        <v>0</v>
      </c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>
        <f t="shared" si="0"/>
        <v>0</v>
      </c>
      <c r="AB35" s="23">
        <f t="shared" si="3"/>
        <v>0</v>
      </c>
      <c r="AC35" s="23">
        <f t="shared" si="4"/>
        <v>0</v>
      </c>
      <c r="AD35" s="39"/>
      <c r="AE35" s="39"/>
      <c r="AF35" s="40"/>
    </row>
    <row r="36" spans="1:32" s="9" customFormat="1" x14ac:dyDescent="0.2">
      <c r="A36" s="10" t="s">
        <v>47</v>
      </c>
      <c r="B36" s="10" t="s">
        <v>33</v>
      </c>
      <c r="C36" s="23"/>
      <c r="D36" s="23"/>
      <c r="E36" s="23"/>
      <c r="F36" s="23"/>
      <c r="G36" s="23"/>
      <c r="H36" s="23"/>
      <c r="I36" s="23"/>
      <c r="J36" s="23"/>
      <c r="K36" s="23"/>
      <c r="L36" s="23">
        <v>8010000</v>
      </c>
      <c r="M36" s="23">
        <v>8010000</v>
      </c>
      <c r="N36" s="23">
        <v>0</v>
      </c>
      <c r="O36" s="23"/>
      <c r="P36" s="23"/>
      <c r="Q36" s="23">
        <v>0</v>
      </c>
      <c r="R36" s="23"/>
      <c r="S36" s="23"/>
      <c r="T36" s="23"/>
      <c r="U36" s="23"/>
      <c r="V36" s="23"/>
      <c r="W36" s="23"/>
      <c r="X36" s="23"/>
      <c r="Y36" s="23"/>
      <c r="Z36" s="23"/>
      <c r="AA36" s="23">
        <f t="shared" si="0"/>
        <v>8010000</v>
      </c>
      <c r="AB36" s="23">
        <f t="shared" si="3"/>
        <v>8010000</v>
      </c>
      <c r="AC36" s="23">
        <f t="shared" si="4"/>
        <v>0</v>
      </c>
      <c r="AD36" s="39"/>
      <c r="AE36" s="39"/>
      <c r="AF36" s="40"/>
    </row>
    <row r="37" spans="1:32" s="9" customFormat="1" x14ac:dyDescent="0.2">
      <c r="A37" s="10" t="s">
        <v>84</v>
      </c>
      <c r="B37" s="10" t="s">
        <v>33</v>
      </c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>
        <f t="shared" si="0"/>
        <v>0</v>
      </c>
      <c r="AB37" s="23">
        <f t="shared" si="3"/>
        <v>0</v>
      </c>
      <c r="AC37" s="23">
        <f t="shared" si="4"/>
        <v>0</v>
      </c>
      <c r="AD37" s="39"/>
      <c r="AE37" s="39"/>
      <c r="AF37" s="40"/>
    </row>
    <row r="38" spans="1:32" s="9" customFormat="1" x14ac:dyDescent="0.2">
      <c r="A38" s="10" t="s">
        <v>48</v>
      </c>
      <c r="B38" s="10" t="s">
        <v>33</v>
      </c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>
        <f t="shared" si="0"/>
        <v>0</v>
      </c>
      <c r="AB38" s="23">
        <f t="shared" si="3"/>
        <v>0</v>
      </c>
      <c r="AC38" s="23">
        <f t="shared" si="4"/>
        <v>0</v>
      </c>
      <c r="AD38" s="39"/>
      <c r="AE38" s="39"/>
      <c r="AF38" s="40"/>
    </row>
    <row r="39" spans="1:32" s="9" customFormat="1" x14ac:dyDescent="0.2">
      <c r="A39" s="10" t="s">
        <v>69</v>
      </c>
      <c r="B39" s="10" t="s">
        <v>33</v>
      </c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>
        <v>0</v>
      </c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>
        <f t="shared" ref="AA39:AA64" si="5">C39+F39+I39+L39+O39+R39+U39+X39</f>
        <v>0</v>
      </c>
      <c r="AB39" s="23">
        <f t="shared" si="3"/>
        <v>0</v>
      </c>
      <c r="AC39" s="23">
        <f t="shared" si="4"/>
        <v>0</v>
      </c>
      <c r="AD39" s="39"/>
      <c r="AE39" s="39"/>
      <c r="AF39" s="40"/>
    </row>
    <row r="40" spans="1:32" s="9" customFormat="1" x14ac:dyDescent="0.2">
      <c r="A40" s="10" t="s">
        <v>70</v>
      </c>
      <c r="B40" s="10" t="s">
        <v>33</v>
      </c>
      <c r="C40" s="23">
        <v>3187800</v>
      </c>
      <c r="D40" s="23">
        <f>3187800+13662</f>
        <v>3201462</v>
      </c>
      <c r="E40" s="23"/>
      <c r="F40" s="23">
        <v>567865</v>
      </c>
      <c r="G40" s="23">
        <v>567865</v>
      </c>
      <c r="H40" s="23"/>
      <c r="I40" s="23">
        <v>8258048</v>
      </c>
      <c r="J40" s="23">
        <v>8258048</v>
      </c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>
        <f t="shared" si="5"/>
        <v>12013713</v>
      </c>
      <c r="AB40" s="23">
        <f t="shared" si="3"/>
        <v>12027375</v>
      </c>
      <c r="AC40" s="23">
        <f t="shared" si="4"/>
        <v>0</v>
      </c>
      <c r="AD40" s="39">
        <v>1</v>
      </c>
      <c r="AE40" s="39">
        <v>1</v>
      </c>
      <c r="AF40" s="40">
        <v>0</v>
      </c>
    </row>
    <row r="41" spans="1:32" s="9" customFormat="1" x14ac:dyDescent="0.2">
      <c r="A41" s="10" t="s">
        <v>16</v>
      </c>
      <c r="B41" s="10" t="s">
        <v>32</v>
      </c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>
        <v>73200</v>
      </c>
      <c r="P41" s="23">
        <v>73200</v>
      </c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>
        <f t="shared" si="5"/>
        <v>73200</v>
      </c>
      <c r="AB41" s="23">
        <f t="shared" si="3"/>
        <v>73200</v>
      </c>
      <c r="AC41" s="23">
        <f t="shared" si="4"/>
        <v>0</v>
      </c>
      <c r="AD41" s="39"/>
      <c r="AE41" s="39"/>
      <c r="AF41" s="40"/>
    </row>
    <row r="42" spans="1:32" s="9" customFormat="1" x14ac:dyDescent="0.2">
      <c r="A42" s="10" t="s">
        <v>78</v>
      </c>
      <c r="B42" s="10" t="s">
        <v>33</v>
      </c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>
        <f t="shared" si="5"/>
        <v>0</v>
      </c>
      <c r="AB42" s="23">
        <f t="shared" si="3"/>
        <v>0</v>
      </c>
      <c r="AC42" s="23">
        <f t="shared" si="4"/>
        <v>0</v>
      </c>
      <c r="AD42" s="39"/>
      <c r="AE42" s="39"/>
      <c r="AF42" s="40"/>
    </row>
    <row r="43" spans="1:32" s="9" customFormat="1" x14ac:dyDescent="0.2">
      <c r="A43" s="10" t="s">
        <v>17</v>
      </c>
      <c r="B43" s="10" t="s">
        <v>33</v>
      </c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>
        <v>2397000</v>
      </c>
      <c r="P43" s="23">
        <f>2397000-650000</f>
        <v>1747000</v>
      </c>
      <c r="Q43" s="23"/>
      <c r="R43" s="23"/>
      <c r="S43" s="23">
        <v>650000</v>
      </c>
      <c r="T43" s="23"/>
      <c r="U43" s="23"/>
      <c r="V43" s="23"/>
      <c r="W43" s="23"/>
      <c r="X43" s="23"/>
      <c r="Y43" s="23"/>
      <c r="Z43" s="23"/>
      <c r="AA43" s="23">
        <f t="shared" si="5"/>
        <v>2397000</v>
      </c>
      <c r="AB43" s="23">
        <f t="shared" si="3"/>
        <v>2397000</v>
      </c>
      <c r="AC43" s="23">
        <f t="shared" si="4"/>
        <v>0</v>
      </c>
      <c r="AD43" s="39"/>
      <c r="AE43" s="39"/>
      <c r="AF43" s="40"/>
    </row>
    <row r="44" spans="1:32" s="9" customFormat="1" x14ac:dyDescent="0.2">
      <c r="A44" s="10" t="s">
        <v>51</v>
      </c>
      <c r="B44" s="10" t="s">
        <v>32</v>
      </c>
      <c r="C44" s="23"/>
      <c r="D44" s="23"/>
      <c r="E44" s="23"/>
      <c r="F44" s="23"/>
      <c r="G44" s="23"/>
      <c r="H44" s="23"/>
      <c r="I44" s="23">
        <v>100000</v>
      </c>
      <c r="J44" s="23">
        <v>100000</v>
      </c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>
        <f t="shared" si="5"/>
        <v>100000</v>
      </c>
      <c r="AB44" s="23">
        <f t="shared" si="3"/>
        <v>100000</v>
      </c>
      <c r="AC44" s="23">
        <f t="shared" si="4"/>
        <v>0</v>
      </c>
      <c r="AD44" s="39"/>
      <c r="AE44" s="39"/>
      <c r="AF44" s="40"/>
    </row>
    <row r="45" spans="1:32" s="37" customFormat="1" x14ac:dyDescent="0.2">
      <c r="A45" s="13" t="s">
        <v>52</v>
      </c>
      <c r="B45" s="14" t="s">
        <v>63</v>
      </c>
      <c r="C45" s="59"/>
      <c r="D45" s="59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3">
        <f t="shared" si="5"/>
        <v>0</v>
      </c>
      <c r="AB45" s="24">
        <f t="shared" si="3"/>
        <v>0</v>
      </c>
      <c r="AC45" s="24">
        <f t="shared" si="4"/>
        <v>0</v>
      </c>
      <c r="AD45" s="41"/>
      <c r="AE45" s="41"/>
      <c r="AF45" s="42"/>
    </row>
    <row r="46" spans="1:32" s="9" customFormat="1" ht="14.25" customHeight="1" x14ac:dyDescent="0.2">
      <c r="A46" s="10" t="s">
        <v>54</v>
      </c>
      <c r="B46" s="10" t="s">
        <v>32</v>
      </c>
      <c r="C46" s="23">
        <v>100000</v>
      </c>
      <c r="D46" s="23">
        <v>100000</v>
      </c>
      <c r="E46" s="23"/>
      <c r="F46" s="23">
        <v>19750</v>
      </c>
      <c r="G46" s="23">
        <v>19750</v>
      </c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>
        <f t="shared" si="5"/>
        <v>119750</v>
      </c>
      <c r="AB46" s="23">
        <f t="shared" si="3"/>
        <v>119750</v>
      </c>
      <c r="AC46" s="23">
        <f t="shared" si="4"/>
        <v>0</v>
      </c>
      <c r="AD46" s="39">
        <v>1</v>
      </c>
      <c r="AE46" s="39">
        <v>1</v>
      </c>
      <c r="AF46" s="40"/>
    </row>
    <row r="47" spans="1:32" s="9" customFormat="1" x14ac:dyDescent="0.2">
      <c r="A47" s="10" t="s">
        <v>53</v>
      </c>
      <c r="B47" s="10" t="s">
        <v>32</v>
      </c>
      <c r="C47" s="23">
        <v>3913440</v>
      </c>
      <c r="D47" s="23">
        <f>3913440+48618</f>
        <v>3962058</v>
      </c>
      <c r="E47" s="23"/>
      <c r="F47" s="23">
        <v>381560</v>
      </c>
      <c r="G47" s="23">
        <v>381560</v>
      </c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>
        <v>0</v>
      </c>
      <c r="T47" s="23"/>
      <c r="U47" s="23"/>
      <c r="V47" s="23"/>
      <c r="W47" s="23"/>
      <c r="X47" s="23"/>
      <c r="Y47" s="23"/>
      <c r="Z47" s="23"/>
      <c r="AA47" s="23">
        <f t="shared" si="5"/>
        <v>4295000</v>
      </c>
      <c r="AB47" s="23">
        <f t="shared" si="3"/>
        <v>4343618</v>
      </c>
      <c r="AC47" s="23">
        <f t="shared" si="4"/>
        <v>0</v>
      </c>
      <c r="AD47" s="39">
        <v>4</v>
      </c>
      <c r="AE47" s="39">
        <v>4</v>
      </c>
      <c r="AF47" s="40"/>
    </row>
    <row r="48" spans="1:32" s="9" customFormat="1" x14ac:dyDescent="0.2">
      <c r="A48" s="10" t="s">
        <v>55</v>
      </c>
      <c r="B48" s="10" t="s">
        <v>33</v>
      </c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>
        <v>400000</v>
      </c>
      <c r="S48" s="23">
        <v>400000</v>
      </c>
      <c r="T48" s="23">
        <v>0</v>
      </c>
      <c r="U48" s="23"/>
      <c r="V48" s="23"/>
      <c r="W48" s="23"/>
      <c r="X48" s="23"/>
      <c r="Y48" s="23"/>
      <c r="Z48" s="23"/>
      <c r="AA48" s="23">
        <f t="shared" si="5"/>
        <v>400000</v>
      </c>
      <c r="AB48" s="23">
        <f t="shared" si="3"/>
        <v>400000</v>
      </c>
      <c r="AC48" s="23">
        <f t="shared" si="4"/>
        <v>0</v>
      </c>
      <c r="AD48" s="39"/>
      <c r="AE48" s="39"/>
      <c r="AF48" s="40"/>
    </row>
    <row r="49" spans="1:33" s="9" customFormat="1" x14ac:dyDescent="0.2">
      <c r="A49" s="10" t="s">
        <v>19</v>
      </c>
      <c r="B49" s="10" t="s">
        <v>32</v>
      </c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 t="s">
        <v>71</v>
      </c>
      <c r="T49" s="23"/>
      <c r="U49" s="23"/>
      <c r="V49" s="23"/>
      <c r="W49" s="23"/>
      <c r="X49" s="23"/>
      <c r="Y49" s="23"/>
      <c r="Z49" s="23"/>
      <c r="AA49" s="23">
        <f t="shared" si="5"/>
        <v>0</v>
      </c>
      <c r="AB49" s="23">
        <v>0</v>
      </c>
      <c r="AC49" s="23">
        <f t="shared" si="4"/>
        <v>0</v>
      </c>
      <c r="AD49" s="39"/>
      <c r="AE49" s="39"/>
      <c r="AF49" s="40"/>
    </row>
    <row r="50" spans="1:33" s="9" customFormat="1" x14ac:dyDescent="0.2">
      <c r="A50" s="10" t="s">
        <v>20</v>
      </c>
      <c r="B50" s="10" t="s">
        <v>32</v>
      </c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>
        <f t="shared" si="5"/>
        <v>0</v>
      </c>
      <c r="AB50" s="23">
        <f t="shared" ref="AB50:AB64" si="6">D50+G50+J50+M50+P50+S50+V50+Y50</f>
        <v>0</v>
      </c>
      <c r="AC50" s="23">
        <f t="shared" si="4"/>
        <v>0</v>
      </c>
      <c r="AD50" s="39"/>
      <c r="AE50" s="39"/>
      <c r="AF50" s="40"/>
    </row>
    <row r="51" spans="1:33" s="9" customFormat="1" x14ac:dyDescent="0.2">
      <c r="A51" s="10" t="s">
        <v>15</v>
      </c>
      <c r="B51" s="10" t="s">
        <v>32</v>
      </c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>
        <f t="shared" si="5"/>
        <v>0</v>
      </c>
      <c r="AB51" s="23">
        <f t="shared" si="6"/>
        <v>0</v>
      </c>
      <c r="AC51" s="23">
        <f t="shared" si="4"/>
        <v>0</v>
      </c>
      <c r="AD51" s="39"/>
      <c r="AE51" s="39"/>
      <c r="AF51" s="40"/>
    </row>
    <row r="52" spans="1:33" s="9" customFormat="1" x14ac:dyDescent="0.2">
      <c r="A52" s="10" t="s">
        <v>67</v>
      </c>
      <c r="B52" s="10" t="s">
        <v>33</v>
      </c>
      <c r="C52" s="23"/>
      <c r="D52" s="23"/>
      <c r="E52" s="23"/>
      <c r="F52" s="23"/>
      <c r="G52" s="23"/>
      <c r="H52" s="23"/>
      <c r="I52" s="23">
        <v>1905000</v>
      </c>
      <c r="J52" s="23">
        <v>1905000</v>
      </c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>
        <f t="shared" si="5"/>
        <v>1905000</v>
      </c>
      <c r="AB52" s="23">
        <f t="shared" si="6"/>
        <v>1905000</v>
      </c>
      <c r="AC52" s="23">
        <f t="shared" si="4"/>
        <v>0</v>
      </c>
      <c r="AD52" s="39"/>
      <c r="AE52" s="39"/>
      <c r="AF52" s="40"/>
    </row>
    <row r="53" spans="1:33" s="9" customFormat="1" ht="15" customHeight="1" x14ac:dyDescent="0.2">
      <c r="A53" s="10" t="s">
        <v>34</v>
      </c>
      <c r="B53" s="10" t="s">
        <v>33</v>
      </c>
      <c r="C53" s="23">
        <f>2063600+1543000</f>
        <v>3606600</v>
      </c>
      <c r="D53" s="23">
        <f>2063600+1543000+39988</f>
        <v>3646588</v>
      </c>
      <c r="E53" s="23"/>
      <c r="F53" s="23">
        <f>(C53*19.5%)+128000+156000</f>
        <v>987287</v>
      </c>
      <c r="G53" s="23">
        <v>987287</v>
      </c>
      <c r="H53" s="23"/>
      <c r="I53" s="23">
        <f>2310000+2849000+3310000+1119000+2491000+3000000</f>
        <v>15079000</v>
      </c>
      <c r="J53" s="23">
        <f>2310000+2849000+3310000+1119000+2491000+3000000+37974390</f>
        <v>53053390</v>
      </c>
      <c r="K53" s="23"/>
      <c r="L53" s="23"/>
      <c r="M53" s="23"/>
      <c r="N53" s="23"/>
      <c r="O53" s="23"/>
      <c r="P53" s="23">
        <v>624206</v>
      </c>
      <c r="Q53" s="23"/>
      <c r="R53" s="23">
        <v>2704490</v>
      </c>
      <c r="S53" s="23">
        <f>2704490+336170</f>
        <v>3040660</v>
      </c>
      <c r="T53" s="23">
        <v>0</v>
      </c>
      <c r="U53" s="23"/>
      <c r="V53" s="23">
        <v>6084055</v>
      </c>
      <c r="W53" s="23"/>
      <c r="X53" s="23">
        <v>1205373</v>
      </c>
      <c r="Y53" s="23">
        <f>1205373+101461467-13994362</f>
        <v>88672478</v>
      </c>
      <c r="Z53" s="23"/>
      <c r="AA53" s="23">
        <f t="shared" si="5"/>
        <v>23582750</v>
      </c>
      <c r="AB53" s="23">
        <f t="shared" si="6"/>
        <v>156108664</v>
      </c>
      <c r="AC53" s="23">
        <f t="shared" si="4"/>
        <v>0</v>
      </c>
      <c r="AD53" s="39">
        <v>8</v>
      </c>
      <c r="AE53" s="39">
        <v>8</v>
      </c>
      <c r="AF53" s="40"/>
      <c r="AG53" s="6"/>
    </row>
    <row r="54" spans="1:33" s="9" customFormat="1" x14ac:dyDescent="0.2">
      <c r="A54" s="10"/>
      <c r="B54" s="10" t="s">
        <v>32</v>
      </c>
      <c r="C54" s="23">
        <f>14044612-1543000</f>
        <v>12501612</v>
      </c>
      <c r="D54" s="23">
        <f>14044612-1543000</f>
        <v>12501612</v>
      </c>
      <c r="E54" s="23"/>
      <c r="F54" s="23">
        <f>(C54*19.5%)-141000</f>
        <v>2296814.34</v>
      </c>
      <c r="G54" s="23">
        <f>(D54*19.5%)-141000</f>
        <v>2296814.34</v>
      </c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>
        <f t="shared" si="5"/>
        <v>14798426.34</v>
      </c>
      <c r="AB54" s="23">
        <f t="shared" si="6"/>
        <v>14798426.34</v>
      </c>
      <c r="AC54" s="23">
        <f t="shared" si="4"/>
        <v>0</v>
      </c>
      <c r="AD54" s="39">
        <v>7</v>
      </c>
      <c r="AE54" s="39">
        <v>7</v>
      </c>
      <c r="AF54" s="40"/>
    </row>
    <row r="55" spans="1:33" s="9" customFormat="1" x14ac:dyDescent="0.2">
      <c r="A55" s="10" t="s">
        <v>77</v>
      </c>
      <c r="B55" s="10" t="s">
        <v>32</v>
      </c>
      <c r="C55" s="23">
        <v>3224000</v>
      </c>
      <c r="D55" s="23">
        <f>3224000-22088</f>
        <v>3201912</v>
      </c>
      <c r="E55" s="23"/>
      <c r="F55" s="23">
        <v>660680</v>
      </c>
      <c r="G55" s="23">
        <v>660680</v>
      </c>
      <c r="H55" s="23"/>
      <c r="I55" s="23">
        <f>2832000+765000</f>
        <v>3597000</v>
      </c>
      <c r="J55" s="23">
        <f>2832000+765000</f>
        <v>3597000</v>
      </c>
      <c r="K55" s="23"/>
      <c r="L55" s="23"/>
      <c r="M55" s="23"/>
      <c r="N55" s="23"/>
      <c r="O55" s="23"/>
      <c r="P55" s="23"/>
      <c r="Q55" s="23"/>
      <c r="R55" s="23"/>
      <c r="S55" s="23">
        <v>353104</v>
      </c>
      <c r="T55" s="23"/>
      <c r="U55" s="23"/>
      <c r="V55" s="23"/>
      <c r="W55" s="23"/>
      <c r="X55" s="23"/>
      <c r="Y55" s="23"/>
      <c r="Z55" s="23"/>
      <c r="AA55" s="23">
        <f t="shared" si="5"/>
        <v>7481680</v>
      </c>
      <c r="AB55" s="23">
        <f t="shared" si="6"/>
        <v>7812696</v>
      </c>
      <c r="AC55" s="23">
        <f t="shared" si="4"/>
        <v>0</v>
      </c>
      <c r="AD55" s="39"/>
      <c r="AE55" s="39"/>
      <c r="AF55" s="40"/>
    </row>
    <row r="56" spans="1:33" s="9" customFormat="1" x14ac:dyDescent="0.2">
      <c r="A56" s="10" t="s">
        <v>68</v>
      </c>
      <c r="B56" s="10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>
        <v>0</v>
      </c>
      <c r="T56" s="23"/>
      <c r="U56" s="23"/>
      <c r="V56" s="23"/>
      <c r="W56" s="23"/>
      <c r="X56" s="23"/>
      <c r="Y56" s="23"/>
      <c r="Z56" s="23"/>
      <c r="AA56" s="23">
        <f t="shared" si="5"/>
        <v>0</v>
      </c>
      <c r="AB56" s="23">
        <f t="shared" si="6"/>
        <v>0</v>
      </c>
      <c r="AC56" s="23">
        <f t="shared" si="4"/>
        <v>0</v>
      </c>
      <c r="AD56" s="39">
        <v>2</v>
      </c>
      <c r="AE56" s="39">
        <v>2</v>
      </c>
      <c r="AF56" s="40"/>
    </row>
    <row r="57" spans="1:33" s="9" customFormat="1" x14ac:dyDescent="0.2">
      <c r="A57" s="10" t="s">
        <v>62</v>
      </c>
      <c r="B57" s="10" t="s">
        <v>32</v>
      </c>
      <c r="C57" s="23"/>
      <c r="D57" s="23"/>
      <c r="E57" s="23"/>
      <c r="F57" s="23"/>
      <c r="G57" s="23"/>
      <c r="H57" s="23"/>
      <c r="I57" s="23">
        <v>1485</v>
      </c>
      <c r="J57" s="23">
        <v>1485</v>
      </c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>
        <f t="shared" si="5"/>
        <v>1485</v>
      </c>
      <c r="AB57" s="23">
        <f t="shared" si="6"/>
        <v>1485</v>
      </c>
      <c r="AC57" s="23">
        <f t="shared" si="4"/>
        <v>0</v>
      </c>
      <c r="AD57" s="39"/>
      <c r="AE57" s="39"/>
      <c r="AF57" s="40"/>
    </row>
    <row r="58" spans="1:33" s="9" customFormat="1" x14ac:dyDescent="0.2">
      <c r="A58" s="10" t="s">
        <v>57</v>
      </c>
      <c r="B58" s="10" t="s">
        <v>32</v>
      </c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>
        <f t="shared" si="5"/>
        <v>0</v>
      </c>
      <c r="AB58" s="23">
        <f t="shared" si="6"/>
        <v>0</v>
      </c>
      <c r="AC58" s="23">
        <f t="shared" si="4"/>
        <v>0</v>
      </c>
      <c r="AD58" s="39"/>
      <c r="AE58" s="39"/>
      <c r="AF58" s="40"/>
    </row>
    <row r="59" spans="1:33" s="9" customFormat="1" x14ac:dyDescent="0.2">
      <c r="A59" s="10" t="s">
        <v>56</v>
      </c>
      <c r="B59" s="10" t="s">
        <v>32</v>
      </c>
      <c r="C59" s="23">
        <v>384000</v>
      </c>
      <c r="D59" s="23">
        <v>384000</v>
      </c>
      <c r="E59" s="23"/>
      <c r="F59" s="23">
        <v>74880</v>
      </c>
      <c r="G59" s="23">
        <v>74880</v>
      </c>
      <c r="H59" s="23"/>
      <c r="I59" s="23">
        <f>25000+20000+350000+167940+127000+100000</f>
        <v>789940</v>
      </c>
      <c r="J59" s="23">
        <f>25000+20000+350000+167940+127000+100000</f>
        <v>789940</v>
      </c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>
        <f t="shared" si="5"/>
        <v>1248820</v>
      </c>
      <c r="AB59" s="23">
        <f t="shared" si="6"/>
        <v>1248820</v>
      </c>
      <c r="AC59" s="23">
        <f t="shared" si="4"/>
        <v>0</v>
      </c>
      <c r="AD59" s="39">
        <v>1</v>
      </c>
      <c r="AE59" s="39">
        <v>1</v>
      </c>
      <c r="AF59" s="40"/>
    </row>
    <row r="60" spans="1:33" s="9" customFormat="1" x14ac:dyDescent="0.2">
      <c r="A60" s="10" t="s">
        <v>21</v>
      </c>
      <c r="B60" s="10"/>
      <c r="C60" s="23">
        <f t="shared" ref="C60:Z60" si="7">SUM(C8:C59)</f>
        <v>29444652</v>
      </c>
      <c r="D60" s="23">
        <f t="shared" si="7"/>
        <v>29547501</v>
      </c>
      <c r="E60" s="23">
        <f t="shared" si="7"/>
        <v>0</v>
      </c>
      <c r="F60" s="23">
        <f t="shared" si="7"/>
        <v>5431096.3399999999</v>
      </c>
      <c r="G60" s="23">
        <f t="shared" si="7"/>
        <v>5431096.3399999999</v>
      </c>
      <c r="H60" s="23">
        <f t="shared" si="7"/>
        <v>0</v>
      </c>
      <c r="I60" s="23">
        <f t="shared" si="7"/>
        <v>41491293</v>
      </c>
      <c r="J60" s="23">
        <f t="shared" si="7"/>
        <v>91119524</v>
      </c>
      <c r="K60" s="23">
        <f t="shared" si="7"/>
        <v>0</v>
      </c>
      <c r="L60" s="23">
        <f t="shared" si="7"/>
        <v>8010000</v>
      </c>
      <c r="M60" s="23">
        <f t="shared" si="7"/>
        <v>8010000</v>
      </c>
      <c r="N60" s="23">
        <f t="shared" si="7"/>
        <v>0</v>
      </c>
      <c r="O60" s="23">
        <f t="shared" si="7"/>
        <v>98322880</v>
      </c>
      <c r="P60" s="23">
        <f t="shared" si="7"/>
        <v>100798138</v>
      </c>
      <c r="Q60" s="23">
        <f t="shared" si="7"/>
        <v>0</v>
      </c>
      <c r="R60" s="23">
        <f t="shared" si="7"/>
        <v>3104490</v>
      </c>
      <c r="S60" s="23">
        <f>SUM(S8:S59)</f>
        <v>229716691</v>
      </c>
      <c r="T60" s="23">
        <f t="shared" si="7"/>
        <v>0</v>
      </c>
      <c r="U60" s="23">
        <f t="shared" si="7"/>
        <v>0</v>
      </c>
      <c r="V60" s="23">
        <f t="shared" si="7"/>
        <v>6084055</v>
      </c>
      <c r="W60" s="23">
        <f t="shared" si="7"/>
        <v>0</v>
      </c>
      <c r="X60" s="23">
        <f t="shared" si="7"/>
        <v>1205373</v>
      </c>
      <c r="Y60" s="23">
        <f t="shared" si="7"/>
        <v>88672478</v>
      </c>
      <c r="Z60" s="23">
        <f t="shared" si="7"/>
        <v>0</v>
      </c>
      <c r="AA60" s="23">
        <f t="shared" si="5"/>
        <v>187009784.34</v>
      </c>
      <c r="AB60" s="23">
        <f t="shared" si="6"/>
        <v>559379483.34000003</v>
      </c>
      <c r="AC60" s="23">
        <f t="shared" si="4"/>
        <v>0</v>
      </c>
      <c r="AD60" s="39">
        <f>SUM(AD7:AD59)</f>
        <v>25</v>
      </c>
      <c r="AE60" s="39">
        <f>SUM(AE7:AE59)</f>
        <v>25</v>
      </c>
      <c r="AF60" s="40">
        <f>SUM(AF7:AF59)</f>
        <v>0</v>
      </c>
      <c r="AG60" s="38"/>
    </row>
    <row r="61" spans="1:33" s="9" customFormat="1" x14ac:dyDescent="0.2">
      <c r="A61" s="10" t="s">
        <v>50</v>
      </c>
      <c r="B61" s="10" t="s">
        <v>32</v>
      </c>
      <c r="C61" s="23">
        <f>4842144+50000</f>
        <v>4892144</v>
      </c>
      <c r="D61" s="23">
        <f>4892144+520151</f>
        <v>5412295</v>
      </c>
      <c r="E61" s="23"/>
      <c r="F61" s="23">
        <v>866415</v>
      </c>
      <c r="G61" s="23">
        <f>866415+87500</f>
        <v>953915</v>
      </c>
      <c r="H61" s="23"/>
      <c r="I61" s="23">
        <f>320000+1040000+380000</f>
        <v>1740000</v>
      </c>
      <c r="J61" s="23">
        <v>1740000</v>
      </c>
      <c r="K61" s="23">
        <v>0</v>
      </c>
      <c r="L61" s="23"/>
      <c r="M61" s="23"/>
      <c r="N61" s="23"/>
      <c r="O61" s="23"/>
      <c r="P61" s="23"/>
      <c r="Q61" s="23"/>
      <c r="R61" s="23">
        <v>175000</v>
      </c>
      <c r="S61" s="23">
        <v>175000</v>
      </c>
      <c r="T61" s="23"/>
      <c r="U61" s="23"/>
      <c r="V61" s="23"/>
      <c r="W61" s="23"/>
      <c r="X61" s="23"/>
      <c r="Y61" s="23">
        <v>0</v>
      </c>
      <c r="Z61" s="23"/>
      <c r="AA61" s="23">
        <f t="shared" si="5"/>
        <v>7673559</v>
      </c>
      <c r="AB61" s="23">
        <f t="shared" si="6"/>
        <v>8281210</v>
      </c>
      <c r="AC61" s="23">
        <f t="shared" si="4"/>
        <v>0</v>
      </c>
      <c r="AD61" s="39">
        <v>1</v>
      </c>
      <c r="AE61" s="39">
        <v>1</v>
      </c>
      <c r="AF61" s="40"/>
    </row>
    <row r="62" spans="1:33" x14ac:dyDescent="0.2">
      <c r="A62" s="10" t="s">
        <v>11</v>
      </c>
      <c r="B62" s="10"/>
      <c r="C62" s="23">
        <f t="shared" ref="C62:Z62" si="8">SUM(C61)</f>
        <v>4892144</v>
      </c>
      <c r="D62" s="23">
        <f t="shared" si="8"/>
        <v>5412295</v>
      </c>
      <c r="E62" s="23">
        <f t="shared" si="8"/>
        <v>0</v>
      </c>
      <c r="F62" s="23">
        <f t="shared" si="8"/>
        <v>866415</v>
      </c>
      <c r="G62" s="23">
        <f t="shared" si="8"/>
        <v>953915</v>
      </c>
      <c r="H62" s="23">
        <f>SUM(H61)</f>
        <v>0</v>
      </c>
      <c r="I62" s="23">
        <f>SUM(I61)</f>
        <v>1740000</v>
      </c>
      <c r="J62" s="23">
        <f t="shared" si="8"/>
        <v>1740000</v>
      </c>
      <c r="K62" s="23">
        <f t="shared" si="8"/>
        <v>0</v>
      </c>
      <c r="L62" s="23">
        <f t="shared" si="8"/>
        <v>0</v>
      </c>
      <c r="M62" s="23">
        <f t="shared" si="8"/>
        <v>0</v>
      </c>
      <c r="N62" s="23">
        <f t="shared" si="8"/>
        <v>0</v>
      </c>
      <c r="O62" s="23">
        <f t="shared" si="8"/>
        <v>0</v>
      </c>
      <c r="P62" s="23">
        <f t="shared" si="8"/>
        <v>0</v>
      </c>
      <c r="Q62" s="23">
        <f t="shared" si="8"/>
        <v>0</v>
      </c>
      <c r="R62" s="23">
        <f t="shared" si="8"/>
        <v>175000</v>
      </c>
      <c r="S62" s="23">
        <f t="shared" si="8"/>
        <v>175000</v>
      </c>
      <c r="T62" s="23">
        <f t="shared" si="8"/>
        <v>0</v>
      </c>
      <c r="U62" s="23">
        <f t="shared" si="8"/>
        <v>0</v>
      </c>
      <c r="V62" s="23">
        <f t="shared" si="8"/>
        <v>0</v>
      </c>
      <c r="W62" s="23">
        <f t="shared" si="8"/>
        <v>0</v>
      </c>
      <c r="X62" s="23">
        <f t="shared" si="8"/>
        <v>0</v>
      </c>
      <c r="Y62" s="23">
        <f t="shared" si="8"/>
        <v>0</v>
      </c>
      <c r="Z62" s="23">
        <f t="shared" si="8"/>
        <v>0</v>
      </c>
      <c r="AA62" s="23">
        <f t="shared" si="5"/>
        <v>7673559</v>
      </c>
      <c r="AB62" s="23">
        <f t="shared" si="6"/>
        <v>8281210</v>
      </c>
      <c r="AC62" s="23">
        <f t="shared" si="4"/>
        <v>0</v>
      </c>
      <c r="AD62" s="39">
        <f>SUM(AD61)</f>
        <v>1</v>
      </c>
      <c r="AE62" s="39">
        <f>SUM(AE61)</f>
        <v>1</v>
      </c>
      <c r="AF62" s="39">
        <f>SUM(AF61)</f>
        <v>0</v>
      </c>
    </row>
    <row r="63" spans="1:33" x14ac:dyDescent="0.2">
      <c r="A63" s="10" t="s">
        <v>12</v>
      </c>
      <c r="B63" s="10" t="s">
        <v>32</v>
      </c>
      <c r="C63" s="23"/>
      <c r="D63" s="23"/>
      <c r="E63" s="23"/>
      <c r="F63" s="23"/>
      <c r="G63" s="23">
        <v>0</v>
      </c>
      <c r="H63" s="23">
        <v>0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>
        <f t="shared" si="5"/>
        <v>0</v>
      </c>
      <c r="AB63" s="23">
        <f t="shared" si="6"/>
        <v>0</v>
      </c>
      <c r="AC63" s="23">
        <f t="shared" si="4"/>
        <v>0</v>
      </c>
      <c r="AD63" s="39"/>
      <c r="AE63" s="39"/>
      <c r="AF63" s="40"/>
    </row>
    <row r="64" spans="1:33" x14ac:dyDescent="0.2">
      <c r="A64" s="10" t="s">
        <v>13</v>
      </c>
      <c r="B64" s="10"/>
      <c r="C64" s="23">
        <f t="shared" ref="C64:Z64" si="9">SUM(C63)</f>
        <v>0</v>
      </c>
      <c r="D64" s="23">
        <f t="shared" si="9"/>
        <v>0</v>
      </c>
      <c r="E64" s="23">
        <f t="shared" si="9"/>
        <v>0</v>
      </c>
      <c r="F64" s="23">
        <f t="shared" si="9"/>
        <v>0</v>
      </c>
      <c r="G64" s="23">
        <f t="shared" si="9"/>
        <v>0</v>
      </c>
      <c r="H64" s="23">
        <f t="shared" si="9"/>
        <v>0</v>
      </c>
      <c r="I64" s="23">
        <f t="shared" si="9"/>
        <v>0</v>
      </c>
      <c r="J64" s="23">
        <f t="shared" si="9"/>
        <v>0</v>
      </c>
      <c r="K64" s="23">
        <f t="shared" si="9"/>
        <v>0</v>
      </c>
      <c r="L64" s="23">
        <f t="shared" si="9"/>
        <v>0</v>
      </c>
      <c r="M64" s="23">
        <f t="shared" si="9"/>
        <v>0</v>
      </c>
      <c r="N64" s="23">
        <f t="shared" si="9"/>
        <v>0</v>
      </c>
      <c r="O64" s="23">
        <f t="shared" si="9"/>
        <v>0</v>
      </c>
      <c r="P64" s="23">
        <f t="shared" si="9"/>
        <v>0</v>
      </c>
      <c r="Q64" s="23">
        <f t="shared" si="9"/>
        <v>0</v>
      </c>
      <c r="R64" s="23">
        <f t="shared" si="9"/>
        <v>0</v>
      </c>
      <c r="S64" s="23">
        <f t="shared" si="9"/>
        <v>0</v>
      </c>
      <c r="T64" s="23">
        <f t="shared" si="9"/>
        <v>0</v>
      </c>
      <c r="U64" s="23">
        <f t="shared" si="9"/>
        <v>0</v>
      </c>
      <c r="V64" s="23">
        <f t="shared" si="9"/>
        <v>0</v>
      </c>
      <c r="W64" s="23">
        <f t="shared" si="9"/>
        <v>0</v>
      </c>
      <c r="X64" s="23">
        <f t="shared" si="9"/>
        <v>0</v>
      </c>
      <c r="Y64" s="23">
        <f t="shared" si="9"/>
        <v>0</v>
      </c>
      <c r="Z64" s="23">
        <f t="shared" si="9"/>
        <v>0</v>
      </c>
      <c r="AA64" s="23">
        <f t="shared" si="5"/>
        <v>0</v>
      </c>
      <c r="AB64" s="23">
        <f t="shared" si="6"/>
        <v>0</v>
      </c>
      <c r="AC64" s="23">
        <f t="shared" si="4"/>
        <v>0</v>
      </c>
      <c r="AD64" s="39"/>
      <c r="AE64" s="39"/>
      <c r="AF64" s="40"/>
      <c r="AG64" s="3"/>
    </row>
    <row r="65" spans="1:35" s="8" customFormat="1" x14ac:dyDescent="0.2">
      <c r="A65" s="7" t="s">
        <v>24</v>
      </c>
      <c r="B65" s="7"/>
      <c r="C65" s="25">
        <f t="shared" ref="C65:AF65" si="10">C60+C62+C64</f>
        <v>34336796</v>
      </c>
      <c r="D65" s="25">
        <f>D60+D62+D64</f>
        <v>34959796</v>
      </c>
      <c r="E65" s="25">
        <f t="shared" si="10"/>
        <v>0</v>
      </c>
      <c r="F65" s="25">
        <f t="shared" si="10"/>
        <v>6297511.3399999999</v>
      </c>
      <c r="G65" s="25">
        <f t="shared" si="10"/>
        <v>6385011.3399999999</v>
      </c>
      <c r="H65" s="25">
        <f t="shared" si="10"/>
        <v>0</v>
      </c>
      <c r="I65" s="25">
        <f t="shared" si="10"/>
        <v>43231293</v>
      </c>
      <c r="J65" s="25">
        <f t="shared" si="10"/>
        <v>92859524</v>
      </c>
      <c r="K65" s="25">
        <f t="shared" si="10"/>
        <v>0</v>
      </c>
      <c r="L65" s="25">
        <f t="shared" si="10"/>
        <v>8010000</v>
      </c>
      <c r="M65" s="25">
        <f t="shared" si="10"/>
        <v>8010000</v>
      </c>
      <c r="N65" s="25">
        <f t="shared" si="10"/>
        <v>0</v>
      </c>
      <c r="O65" s="25">
        <f t="shared" si="10"/>
        <v>98322880</v>
      </c>
      <c r="P65" s="25">
        <f t="shared" si="10"/>
        <v>100798138</v>
      </c>
      <c r="Q65" s="25">
        <f t="shared" si="10"/>
        <v>0</v>
      </c>
      <c r="R65" s="25">
        <f t="shared" si="10"/>
        <v>3279490</v>
      </c>
      <c r="S65" s="25">
        <f t="shared" si="10"/>
        <v>229891691</v>
      </c>
      <c r="T65" s="25">
        <f t="shared" si="10"/>
        <v>0</v>
      </c>
      <c r="U65" s="25">
        <f t="shared" si="10"/>
        <v>0</v>
      </c>
      <c r="V65" s="25">
        <f t="shared" si="10"/>
        <v>6084055</v>
      </c>
      <c r="W65" s="25">
        <f t="shared" si="10"/>
        <v>0</v>
      </c>
      <c r="X65" s="25">
        <f t="shared" si="10"/>
        <v>1205373</v>
      </c>
      <c r="Y65" s="25">
        <f t="shared" si="10"/>
        <v>88672478</v>
      </c>
      <c r="Z65" s="25">
        <f t="shared" si="10"/>
        <v>0</v>
      </c>
      <c r="AA65" s="25">
        <f t="shared" si="10"/>
        <v>194683343.34</v>
      </c>
      <c r="AB65" s="25">
        <f>AB60+AB62+AB64</f>
        <v>567660693.34000003</v>
      </c>
      <c r="AC65" s="25">
        <f>AC60+AC62+AC64</f>
        <v>0</v>
      </c>
      <c r="AD65" s="43">
        <f>AD60+AD62+AD64</f>
        <v>26</v>
      </c>
      <c r="AE65" s="43">
        <f>AE60+AE62+AE64</f>
        <v>26</v>
      </c>
      <c r="AF65" s="44">
        <f t="shared" si="10"/>
        <v>0</v>
      </c>
      <c r="AI65" s="35"/>
    </row>
    <row r="66" spans="1:35" s="2" customFormat="1" x14ac:dyDescent="0.2">
      <c r="A66" s="15" t="s">
        <v>58</v>
      </c>
      <c r="B66" s="7"/>
      <c r="C66" s="25"/>
      <c r="D66" s="26"/>
      <c r="E66" s="26"/>
      <c r="F66" s="26"/>
      <c r="G66" s="26"/>
      <c r="H66" s="26"/>
      <c r="I66" s="26"/>
      <c r="J66" s="26"/>
      <c r="K66" s="26"/>
      <c r="L66" s="26"/>
      <c r="M66" s="26"/>
      <c r="N66" s="23"/>
      <c r="O66" s="23"/>
      <c r="P66" s="26"/>
      <c r="Q66" s="23"/>
      <c r="R66" s="23"/>
      <c r="S66" s="26"/>
      <c r="T66" s="23"/>
      <c r="U66" s="23"/>
      <c r="V66" s="26"/>
      <c r="W66" s="26"/>
      <c r="X66" s="26"/>
      <c r="Y66" s="26"/>
      <c r="Z66" s="26"/>
      <c r="AA66" s="26"/>
      <c r="AB66" s="27">
        <f t="shared" ref="AB66:AC69" si="11">D66+G66+J66+M66+P66+S66+V66+Y66</f>
        <v>0</v>
      </c>
      <c r="AC66" s="28">
        <f t="shared" si="11"/>
        <v>0</v>
      </c>
      <c r="AD66" s="58"/>
      <c r="AE66" s="45"/>
      <c r="AF66" s="46"/>
      <c r="AG66" s="36"/>
      <c r="AH66" s="36"/>
    </row>
    <row r="67" spans="1:35" s="5" customFormat="1" x14ac:dyDescent="0.2">
      <c r="A67" s="15" t="s">
        <v>8</v>
      </c>
      <c r="B67" s="10" t="s">
        <v>32</v>
      </c>
      <c r="C67" s="23">
        <v>32098981</v>
      </c>
      <c r="D67" s="27">
        <f>32098981+12121956</f>
        <v>44220937</v>
      </c>
      <c r="E67" s="27"/>
      <c r="F67" s="27">
        <v>5380083</v>
      </c>
      <c r="G67" s="27">
        <f>5380083+2977410</f>
        <v>8357493</v>
      </c>
      <c r="H67" s="27"/>
      <c r="I67" s="27">
        <v>445936</v>
      </c>
      <c r="J67" s="27">
        <f>445936+1962123</f>
        <v>2408059</v>
      </c>
      <c r="K67" s="27"/>
      <c r="L67" s="27"/>
      <c r="M67" s="27"/>
      <c r="N67" s="27"/>
      <c r="O67" s="27"/>
      <c r="P67" s="27">
        <v>0</v>
      </c>
      <c r="Q67" s="27"/>
      <c r="R67" s="27"/>
      <c r="S67" s="27">
        <v>0</v>
      </c>
      <c r="T67" s="27">
        <v>0</v>
      </c>
      <c r="U67" s="27"/>
      <c r="V67" s="27"/>
      <c r="W67" s="27"/>
      <c r="X67" s="27"/>
      <c r="Y67" s="27">
        <v>0</v>
      </c>
      <c r="Z67" s="27"/>
      <c r="AA67" s="27">
        <f>C67+F67+I67+L67+O67+R67+U67+X67</f>
        <v>37925000</v>
      </c>
      <c r="AB67" s="27">
        <f t="shared" si="11"/>
        <v>54986489</v>
      </c>
      <c r="AC67" s="27">
        <f t="shared" si="11"/>
        <v>0</v>
      </c>
      <c r="AD67" s="45">
        <v>6.5</v>
      </c>
      <c r="AE67" s="45">
        <v>6.5</v>
      </c>
      <c r="AF67" s="46"/>
    </row>
    <row r="68" spans="1:35" s="5" customFormat="1" x14ac:dyDescent="0.2">
      <c r="A68" s="15" t="s">
        <v>87</v>
      </c>
      <c r="B68" s="10" t="s">
        <v>32</v>
      </c>
      <c r="C68" s="23"/>
      <c r="D68" s="27">
        <v>0</v>
      </c>
      <c r="E68" s="27"/>
      <c r="F68" s="27"/>
      <c r="G68" s="27">
        <v>0</v>
      </c>
      <c r="H68" s="27"/>
      <c r="I68" s="27"/>
      <c r="J68" s="27">
        <v>0</v>
      </c>
      <c r="K68" s="27"/>
      <c r="L68" s="27"/>
      <c r="M68" s="27"/>
      <c r="N68" s="27"/>
      <c r="O68" s="27"/>
      <c r="P68" s="27"/>
      <c r="Q68" s="27"/>
      <c r="R68" s="27"/>
      <c r="S68" s="27"/>
      <c r="T68" s="27"/>
      <c r="U68" s="27"/>
      <c r="V68" s="27"/>
      <c r="W68" s="27"/>
      <c r="X68" s="27"/>
      <c r="Y68" s="27"/>
      <c r="Z68" s="27"/>
      <c r="AA68" s="27"/>
      <c r="AB68" s="27">
        <f t="shared" si="11"/>
        <v>0</v>
      </c>
      <c r="AC68" s="27">
        <f t="shared" si="11"/>
        <v>0</v>
      </c>
      <c r="AD68" s="45"/>
      <c r="AE68" s="45"/>
      <c r="AF68" s="46"/>
    </row>
    <row r="69" spans="1:35" s="8" customFormat="1" x14ac:dyDescent="0.2">
      <c r="A69" s="7" t="s">
        <v>35</v>
      </c>
      <c r="B69" s="7"/>
      <c r="C69" s="26">
        <f>SUM(C67:C68)</f>
        <v>32098981</v>
      </c>
      <c r="D69" s="26">
        <f t="shared" ref="D69:Z69" si="12">SUM(D67:D68)</f>
        <v>44220937</v>
      </c>
      <c r="E69" s="26">
        <f t="shared" si="12"/>
        <v>0</v>
      </c>
      <c r="F69" s="26">
        <f t="shared" si="12"/>
        <v>5380083</v>
      </c>
      <c r="G69" s="26">
        <f t="shared" si="12"/>
        <v>8357493</v>
      </c>
      <c r="H69" s="26">
        <f t="shared" si="12"/>
        <v>0</v>
      </c>
      <c r="I69" s="26">
        <f t="shared" si="12"/>
        <v>445936</v>
      </c>
      <c r="J69" s="26">
        <f t="shared" si="12"/>
        <v>2408059</v>
      </c>
      <c r="K69" s="26">
        <f t="shared" si="12"/>
        <v>0</v>
      </c>
      <c r="L69" s="26">
        <f t="shared" si="12"/>
        <v>0</v>
      </c>
      <c r="M69" s="26">
        <f t="shared" si="12"/>
        <v>0</v>
      </c>
      <c r="N69" s="26">
        <f t="shared" si="12"/>
        <v>0</v>
      </c>
      <c r="O69" s="26">
        <f t="shared" si="12"/>
        <v>0</v>
      </c>
      <c r="P69" s="26">
        <f t="shared" si="12"/>
        <v>0</v>
      </c>
      <c r="Q69" s="26">
        <f t="shared" si="12"/>
        <v>0</v>
      </c>
      <c r="R69" s="26">
        <f t="shared" si="12"/>
        <v>0</v>
      </c>
      <c r="S69" s="26">
        <f t="shared" si="12"/>
        <v>0</v>
      </c>
      <c r="T69" s="26">
        <f t="shared" si="12"/>
        <v>0</v>
      </c>
      <c r="U69" s="26">
        <f t="shared" si="12"/>
        <v>0</v>
      </c>
      <c r="V69" s="26">
        <f t="shared" si="12"/>
        <v>0</v>
      </c>
      <c r="W69" s="26">
        <f t="shared" si="12"/>
        <v>0</v>
      </c>
      <c r="X69" s="26">
        <f t="shared" si="12"/>
        <v>0</v>
      </c>
      <c r="Y69" s="26">
        <f t="shared" si="12"/>
        <v>0</v>
      </c>
      <c r="Z69" s="26">
        <f t="shared" si="12"/>
        <v>0</v>
      </c>
      <c r="AA69" s="28">
        <f>C69+F69+I69+L69+O69+R69+U69+X69</f>
        <v>37925000</v>
      </c>
      <c r="AB69" s="28">
        <f t="shared" si="11"/>
        <v>54986489</v>
      </c>
      <c r="AC69" s="28">
        <f t="shared" si="11"/>
        <v>0</v>
      </c>
      <c r="AD69" s="47">
        <f>SUM(AD66:AD67)</f>
        <v>6.5</v>
      </c>
      <c r="AE69" s="47">
        <f>SUM(AE66:AE67)</f>
        <v>6.5</v>
      </c>
      <c r="AF69" s="48">
        <f>SUM(AF66:AF67)</f>
        <v>0</v>
      </c>
    </row>
    <row r="70" spans="1:35" s="1" customFormat="1" x14ac:dyDescent="0.2">
      <c r="A70" s="16" t="s">
        <v>59</v>
      </c>
      <c r="B70" s="16"/>
      <c r="C70" s="29">
        <f>C65+C69</f>
        <v>66435777</v>
      </c>
      <c r="D70" s="29">
        <f t="shared" ref="D70:AF70" si="13">D65+D69</f>
        <v>79180733</v>
      </c>
      <c r="E70" s="29">
        <f t="shared" si="13"/>
        <v>0</v>
      </c>
      <c r="F70" s="29">
        <f t="shared" si="13"/>
        <v>11677594.34</v>
      </c>
      <c r="G70" s="29">
        <f t="shared" si="13"/>
        <v>14742504.34</v>
      </c>
      <c r="H70" s="29">
        <f t="shared" si="13"/>
        <v>0</v>
      </c>
      <c r="I70" s="29">
        <f t="shared" si="13"/>
        <v>43677229</v>
      </c>
      <c r="J70" s="29">
        <f t="shared" si="13"/>
        <v>95267583</v>
      </c>
      <c r="K70" s="29">
        <f t="shared" si="13"/>
        <v>0</v>
      </c>
      <c r="L70" s="29">
        <f t="shared" si="13"/>
        <v>8010000</v>
      </c>
      <c r="M70" s="29">
        <f t="shared" si="13"/>
        <v>8010000</v>
      </c>
      <c r="N70" s="29">
        <f t="shared" si="13"/>
        <v>0</v>
      </c>
      <c r="O70" s="29">
        <f t="shared" si="13"/>
        <v>98322880</v>
      </c>
      <c r="P70" s="29">
        <f t="shared" si="13"/>
        <v>100798138</v>
      </c>
      <c r="Q70" s="29">
        <f t="shared" si="13"/>
        <v>0</v>
      </c>
      <c r="R70" s="29">
        <f t="shared" si="13"/>
        <v>3279490</v>
      </c>
      <c r="S70" s="29">
        <f t="shared" si="13"/>
        <v>229891691</v>
      </c>
      <c r="T70" s="29">
        <f t="shared" si="13"/>
        <v>0</v>
      </c>
      <c r="U70" s="29">
        <f t="shared" si="13"/>
        <v>0</v>
      </c>
      <c r="V70" s="29">
        <f t="shared" si="13"/>
        <v>6084055</v>
      </c>
      <c r="W70" s="29">
        <f t="shared" si="13"/>
        <v>0</v>
      </c>
      <c r="X70" s="29">
        <f t="shared" si="13"/>
        <v>1205373</v>
      </c>
      <c r="Y70" s="29">
        <f t="shared" si="13"/>
        <v>88672478</v>
      </c>
      <c r="Z70" s="29">
        <f t="shared" si="13"/>
        <v>0</v>
      </c>
      <c r="AA70" s="29">
        <f>AA65+AA69</f>
        <v>232608343.34</v>
      </c>
      <c r="AB70" s="29">
        <f t="shared" si="13"/>
        <v>622647182.34000003</v>
      </c>
      <c r="AC70" s="29">
        <f t="shared" si="13"/>
        <v>0</v>
      </c>
      <c r="AD70" s="49">
        <f t="shared" si="13"/>
        <v>32.5</v>
      </c>
      <c r="AE70" s="49">
        <f t="shared" si="13"/>
        <v>32.5</v>
      </c>
      <c r="AF70" s="50">
        <f t="shared" si="13"/>
        <v>0</v>
      </c>
    </row>
    <row r="71" spans="1:35" x14ac:dyDescent="0.2">
      <c r="A71" s="15" t="s">
        <v>28</v>
      </c>
      <c r="B71" s="15"/>
      <c r="C71" s="27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8"/>
      <c r="AD71" s="58"/>
      <c r="AE71" s="39"/>
      <c r="AF71" s="40"/>
    </row>
    <row r="72" spans="1:35" x14ac:dyDescent="0.2">
      <c r="A72" s="15" t="s">
        <v>36</v>
      </c>
      <c r="B72" s="15"/>
      <c r="C72" s="27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8"/>
      <c r="AD72" s="58"/>
      <c r="AE72" s="39"/>
      <c r="AF72" s="40"/>
    </row>
    <row r="73" spans="1:35" s="4" customFormat="1" ht="17.25" x14ac:dyDescent="0.4">
      <c r="A73" s="16" t="s">
        <v>59</v>
      </c>
      <c r="B73" s="16"/>
      <c r="C73" s="30">
        <f t="shared" ref="C73:Z73" si="14">C70+C71</f>
        <v>66435777</v>
      </c>
      <c r="D73" s="30">
        <f t="shared" si="14"/>
        <v>79180733</v>
      </c>
      <c r="E73" s="30">
        <f t="shared" si="14"/>
        <v>0</v>
      </c>
      <c r="F73" s="30">
        <f t="shared" si="14"/>
        <v>11677594.34</v>
      </c>
      <c r="G73" s="30">
        <f t="shared" si="14"/>
        <v>14742504.34</v>
      </c>
      <c r="H73" s="30">
        <f t="shared" si="14"/>
        <v>0</v>
      </c>
      <c r="I73" s="30">
        <f t="shared" si="14"/>
        <v>43677229</v>
      </c>
      <c r="J73" s="30">
        <f t="shared" si="14"/>
        <v>95267583</v>
      </c>
      <c r="K73" s="30">
        <f t="shared" si="14"/>
        <v>0</v>
      </c>
      <c r="L73" s="30">
        <f t="shared" si="14"/>
        <v>8010000</v>
      </c>
      <c r="M73" s="30">
        <f t="shared" si="14"/>
        <v>8010000</v>
      </c>
      <c r="N73" s="30">
        <f t="shared" si="14"/>
        <v>0</v>
      </c>
      <c r="O73" s="30">
        <f t="shared" si="14"/>
        <v>98322880</v>
      </c>
      <c r="P73" s="30">
        <f t="shared" si="14"/>
        <v>100798138</v>
      </c>
      <c r="Q73" s="30">
        <f t="shared" si="14"/>
        <v>0</v>
      </c>
      <c r="R73" s="30">
        <f t="shared" si="14"/>
        <v>3279490</v>
      </c>
      <c r="S73" s="30">
        <f t="shared" si="14"/>
        <v>229891691</v>
      </c>
      <c r="T73" s="30">
        <f t="shared" si="14"/>
        <v>0</v>
      </c>
      <c r="U73" s="30">
        <f t="shared" si="14"/>
        <v>0</v>
      </c>
      <c r="V73" s="30">
        <f t="shared" si="14"/>
        <v>6084055</v>
      </c>
      <c r="W73" s="30">
        <f t="shared" si="14"/>
        <v>0</v>
      </c>
      <c r="X73" s="30">
        <f t="shared" si="14"/>
        <v>1205373</v>
      </c>
      <c r="Y73" s="30">
        <f t="shared" si="14"/>
        <v>88672478</v>
      </c>
      <c r="Z73" s="30">
        <f t="shared" si="14"/>
        <v>0</v>
      </c>
      <c r="AA73" s="30">
        <f t="shared" ref="AA73:AF73" si="15">AA70+AA71+AA72</f>
        <v>232608343.34</v>
      </c>
      <c r="AB73" s="30">
        <f t="shared" si="15"/>
        <v>622647182.34000003</v>
      </c>
      <c r="AC73" s="30">
        <f t="shared" si="15"/>
        <v>0</v>
      </c>
      <c r="AD73" s="51">
        <f t="shared" si="15"/>
        <v>32.5</v>
      </c>
      <c r="AE73" s="51">
        <f t="shared" si="15"/>
        <v>32.5</v>
      </c>
      <c r="AF73" s="52">
        <f t="shared" si="15"/>
        <v>0</v>
      </c>
    </row>
  </sheetData>
  <mergeCells count="10">
    <mergeCell ref="C4:E4"/>
    <mergeCell ref="F4:H4"/>
    <mergeCell ref="O4:Q4"/>
    <mergeCell ref="U4:W4"/>
    <mergeCell ref="AD4:AF4"/>
    <mergeCell ref="J4:K4"/>
    <mergeCell ref="M4:N4"/>
    <mergeCell ref="S4:T4"/>
    <mergeCell ref="Y4:Z4"/>
    <mergeCell ref="AB4:AC4"/>
  </mergeCells>
  <pageMargins left="0" right="0" top="0" bottom="0" header="0.27559055118110237" footer="0.35433070866141736"/>
  <pageSetup paperSize="8" scale="39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73"/>
  <sheetViews>
    <sheetView workbookViewId="0">
      <pane xSplit="1" ySplit="1" topLeftCell="P34" activePane="bottomRight" state="frozen"/>
      <selection pane="topRight" activeCell="B1" sqref="B1"/>
      <selection pane="bottomLeft" activeCell="A2" sqref="A2"/>
      <selection pane="bottomRight" activeCell="P76" sqref="P76"/>
    </sheetView>
  </sheetViews>
  <sheetFormatPr defaultRowHeight="12.75" x14ac:dyDescent="0.2"/>
  <cols>
    <col min="1" max="1" width="53.85546875" customWidth="1"/>
    <col min="2" max="3" width="11.85546875" customWidth="1"/>
    <col min="4" max="9" width="11.5703125" style="21" customWidth="1"/>
    <col min="10" max="10" width="12.7109375" style="21" customWidth="1"/>
    <col min="11" max="12" width="11.5703125" style="21" customWidth="1"/>
    <col min="13" max="13" width="10.5703125" style="21" customWidth="1"/>
    <col min="14" max="14" width="10.42578125" style="21" customWidth="1"/>
    <col min="15" max="15" width="11" style="21" customWidth="1"/>
    <col min="16" max="16" width="13.28515625" style="21" customWidth="1"/>
    <col min="17" max="17" width="13.42578125" style="21" customWidth="1"/>
    <col min="18" max="18" width="11.7109375" style="21" customWidth="1"/>
    <col min="19" max="19" width="12.28515625" style="21" customWidth="1"/>
    <col min="20" max="21" width="12.5703125" style="21" customWidth="1"/>
    <col min="22" max="22" width="12.42578125" style="21" customWidth="1"/>
    <col min="23" max="24" width="12.5703125" style="21" customWidth="1"/>
    <col min="25" max="25" width="12.28515625" style="21" customWidth="1"/>
    <col min="26" max="26" width="10.140625" style="21" customWidth="1"/>
    <col min="27" max="27" width="13.28515625" style="21" customWidth="1"/>
    <col min="28" max="28" width="14.140625" style="21" customWidth="1"/>
    <col min="29" max="29" width="12.28515625" style="21" customWidth="1"/>
    <col min="30" max="30" width="12.28515625" style="55" customWidth="1"/>
    <col min="31" max="31" width="10.140625" style="20" customWidth="1"/>
    <col min="32" max="32" width="7.85546875" style="33" customWidth="1"/>
    <col min="33" max="33" width="10.5703125" bestFit="1" customWidth="1"/>
    <col min="34" max="35" width="11.28515625" bestFit="1" customWidth="1"/>
  </cols>
  <sheetData>
    <row r="1" spans="1:33" s="9" customFormat="1" x14ac:dyDescent="0.2">
      <c r="A1" s="9" t="s">
        <v>86</v>
      </c>
      <c r="D1" s="21"/>
      <c r="E1" s="21"/>
      <c r="F1" s="21"/>
      <c r="G1" s="21"/>
      <c r="H1" s="21"/>
      <c r="I1" s="21"/>
      <c r="J1" s="21" t="s">
        <v>27</v>
      </c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55"/>
      <c r="AE1" s="17"/>
      <c r="AF1" s="31"/>
    </row>
    <row r="2" spans="1:33" s="9" customFormat="1" x14ac:dyDescent="0.2">
      <c r="D2" s="21"/>
      <c r="E2" s="21"/>
      <c r="F2" s="21"/>
      <c r="G2" s="21"/>
      <c r="H2" s="21"/>
      <c r="I2" s="21"/>
      <c r="J2" s="21" t="s">
        <v>95</v>
      </c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55"/>
      <c r="AE2" s="17"/>
      <c r="AF2" s="31"/>
    </row>
    <row r="3" spans="1:33" s="9" customFormat="1" x14ac:dyDescent="0.2">
      <c r="D3" s="21"/>
      <c r="E3" s="21"/>
      <c r="F3" s="21"/>
      <c r="G3" s="21"/>
      <c r="H3" s="21"/>
      <c r="I3" s="21"/>
      <c r="J3" s="21" t="s">
        <v>65</v>
      </c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55"/>
      <c r="AE3" s="17"/>
      <c r="AF3" s="31"/>
    </row>
    <row r="4" spans="1:33" s="9" customFormat="1" x14ac:dyDescent="0.2">
      <c r="A4" s="10" t="s">
        <v>0</v>
      </c>
      <c r="B4" s="11"/>
      <c r="C4" s="64" t="s">
        <v>91</v>
      </c>
      <c r="D4" s="65"/>
      <c r="E4" s="66"/>
      <c r="F4" s="64" t="s">
        <v>2</v>
      </c>
      <c r="G4" s="65"/>
      <c r="H4" s="66"/>
      <c r="I4" s="11" t="s">
        <v>3</v>
      </c>
      <c r="J4" s="60"/>
      <c r="K4" s="61"/>
      <c r="L4" s="11" t="s">
        <v>4</v>
      </c>
      <c r="M4" s="60"/>
      <c r="N4" s="61"/>
      <c r="O4" s="64" t="s">
        <v>25</v>
      </c>
      <c r="P4" s="65"/>
      <c r="Q4" s="66"/>
      <c r="R4" s="11" t="s">
        <v>10</v>
      </c>
      <c r="S4" s="60"/>
      <c r="T4" s="61"/>
      <c r="U4" s="64" t="s">
        <v>26</v>
      </c>
      <c r="V4" s="65"/>
      <c r="W4" s="66"/>
      <c r="X4" s="11" t="s">
        <v>6</v>
      </c>
      <c r="Y4" s="60"/>
      <c r="Z4" s="61"/>
      <c r="AA4" s="11" t="s">
        <v>9</v>
      </c>
      <c r="AB4" s="60"/>
      <c r="AC4" s="61"/>
      <c r="AD4" s="67" t="s">
        <v>92</v>
      </c>
      <c r="AE4" s="65"/>
      <c r="AF4" s="66"/>
    </row>
    <row r="5" spans="1:33" s="54" customFormat="1" x14ac:dyDescent="0.2">
      <c r="A5" s="10"/>
      <c r="B5" s="10"/>
      <c r="C5" s="10"/>
      <c r="D5" s="22"/>
      <c r="E5" s="22"/>
      <c r="F5" s="10"/>
      <c r="G5" s="22"/>
      <c r="H5" s="22"/>
      <c r="I5" s="10"/>
      <c r="J5" s="22"/>
      <c r="K5" s="22"/>
      <c r="L5" s="10"/>
      <c r="M5" s="22"/>
      <c r="N5" s="22"/>
      <c r="O5" s="10"/>
      <c r="P5" s="22"/>
      <c r="Q5" s="22"/>
      <c r="R5" s="10"/>
      <c r="S5" s="22"/>
      <c r="T5" s="22"/>
      <c r="U5" s="10"/>
      <c r="V5" s="22"/>
      <c r="W5" s="22"/>
      <c r="X5" s="10"/>
      <c r="Y5" s="22"/>
      <c r="Z5" s="22"/>
      <c r="AA5" s="10"/>
      <c r="AB5" s="22"/>
      <c r="AC5" s="22"/>
      <c r="AD5" s="39"/>
      <c r="AE5" s="19"/>
      <c r="AF5" s="32"/>
      <c r="AG5" s="53"/>
    </row>
    <row r="6" spans="1:33" s="37" customFormat="1" ht="28.5" customHeight="1" x14ac:dyDescent="0.2">
      <c r="A6" s="13"/>
      <c r="B6" s="13"/>
      <c r="C6" s="34" t="s">
        <v>85</v>
      </c>
      <c r="D6" s="24" t="s">
        <v>89</v>
      </c>
      <c r="E6" s="24" t="s">
        <v>96</v>
      </c>
      <c r="F6" s="34" t="s">
        <v>85</v>
      </c>
      <c r="G6" s="24" t="s">
        <v>89</v>
      </c>
      <c r="H6" s="24" t="s">
        <v>96</v>
      </c>
      <c r="I6" s="34" t="s">
        <v>85</v>
      </c>
      <c r="J6" s="24" t="s">
        <v>89</v>
      </c>
      <c r="K6" s="24" t="s">
        <v>96</v>
      </c>
      <c r="L6" s="34" t="s">
        <v>85</v>
      </c>
      <c r="M6" s="24" t="s">
        <v>89</v>
      </c>
      <c r="N6" s="24" t="s">
        <v>96</v>
      </c>
      <c r="O6" s="34" t="s">
        <v>85</v>
      </c>
      <c r="P6" s="24" t="s">
        <v>89</v>
      </c>
      <c r="Q6" s="24" t="s">
        <v>96</v>
      </c>
      <c r="R6" s="34" t="s">
        <v>85</v>
      </c>
      <c r="S6" s="24" t="s">
        <v>89</v>
      </c>
      <c r="T6" s="24" t="s">
        <v>96</v>
      </c>
      <c r="U6" s="34" t="s">
        <v>85</v>
      </c>
      <c r="V6" s="24" t="s">
        <v>89</v>
      </c>
      <c r="W6" s="24" t="s">
        <v>96</v>
      </c>
      <c r="X6" s="34" t="s">
        <v>85</v>
      </c>
      <c r="Y6" s="24" t="s">
        <v>89</v>
      </c>
      <c r="Z6" s="24" t="s">
        <v>96</v>
      </c>
      <c r="AA6" s="34" t="s">
        <v>85</v>
      </c>
      <c r="AB6" s="24" t="s">
        <v>89</v>
      </c>
      <c r="AC6" s="24" t="s">
        <v>96</v>
      </c>
      <c r="AD6" s="34" t="s">
        <v>85</v>
      </c>
      <c r="AE6" s="24" t="s">
        <v>89</v>
      </c>
      <c r="AF6" s="24" t="s">
        <v>96</v>
      </c>
    </row>
    <row r="7" spans="1:33" s="9" customFormat="1" x14ac:dyDescent="0.2">
      <c r="A7" s="10" t="s">
        <v>23</v>
      </c>
      <c r="B7" s="12" t="s">
        <v>31</v>
      </c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>
        <f t="shared" ref="AA7:AC38" si="0">C7+F7+I7+L7+O7+R7+U7+X7</f>
        <v>0</v>
      </c>
      <c r="AB7" s="23"/>
      <c r="AC7" s="23"/>
      <c r="AD7" s="39"/>
      <c r="AE7" s="39"/>
      <c r="AF7" s="40"/>
    </row>
    <row r="8" spans="1:33" s="9" customFormat="1" x14ac:dyDescent="0.2">
      <c r="A8" s="10" t="s">
        <v>29</v>
      </c>
      <c r="B8" s="10" t="s">
        <v>32</v>
      </c>
      <c r="C8" s="23">
        <v>2527200</v>
      </c>
      <c r="D8" s="23">
        <f>2527200+22669</f>
        <v>2549869</v>
      </c>
      <c r="E8" s="23">
        <v>2817105</v>
      </c>
      <c r="F8" s="23">
        <v>442260</v>
      </c>
      <c r="G8" s="23">
        <v>442260</v>
      </c>
      <c r="H8" s="23">
        <v>474225</v>
      </c>
      <c r="I8" s="23">
        <f>447000+601290+1780000</f>
        <v>2828290</v>
      </c>
      <c r="J8" s="23">
        <f>447000+601290+1780000+100000</f>
        <v>2928290</v>
      </c>
      <c r="K8" s="23">
        <v>742666</v>
      </c>
      <c r="L8" s="23"/>
      <c r="M8" s="23"/>
      <c r="N8" s="23"/>
      <c r="O8" s="23"/>
      <c r="P8" s="23"/>
      <c r="Q8" s="23"/>
      <c r="R8" s="23"/>
      <c r="S8" s="23"/>
      <c r="T8" s="23">
        <v>24000</v>
      </c>
      <c r="U8" s="23"/>
      <c r="V8" s="23"/>
      <c r="W8" s="23"/>
      <c r="X8" s="23"/>
      <c r="Y8" s="23"/>
      <c r="Z8" s="23"/>
      <c r="AA8" s="23">
        <f t="shared" si="0"/>
        <v>5797750</v>
      </c>
      <c r="AB8" s="23">
        <f t="shared" si="0"/>
        <v>5920419</v>
      </c>
      <c r="AC8" s="23">
        <f t="shared" si="0"/>
        <v>4057996</v>
      </c>
      <c r="AD8" s="39">
        <v>1</v>
      </c>
      <c r="AE8" s="39">
        <v>1</v>
      </c>
      <c r="AF8" s="40"/>
    </row>
    <row r="9" spans="1:33" s="9" customFormat="1" x14ac:dyDescent="0.2">
      <c r="A9" s="10" t="s">
        <v>30</v>
      </c>
      <c r="B9" s="10" t="s">
        <v>32</v>
      </c>
      <c r="C9" s="23"/>
      <c r="D9" s="23"/>
      <c r="E9" s="23"/>
      <c r="F9" s="23"/>
      <c r="G9" s="23"/>
      <c r="H9" s="23"/>
      <c r="I9" s="23">
        <v>1941000</v>
      </c>
      <c r="J9" s="23">
        <v>1941000</v>
      </c>
      <c r="K9" s="23">
        <v>495800</v>
      </c>
      <c r="L9" s="23"/>
      <c r="M9" s="23"/>
      <c r="N9" s="23"/>
      <c r="O9" s="23"/>
      <c r="P9" s="23"/>
      <c r="Q9" s="23"/>
      <c r="R9" s="23"/>
      <c r="S9" s="23">
        <v>50253000</v>
      </c>
      <c r="T9" s="23">
        <v>118500</v>
      </c>
      <c r="U9" s="23"/>
      <c r="V9" s="23"/>
      <c r="W9" s="23"/>
      <c r="X9" s="23"/>
      <c r="Y9" s="23"/>
      <c r="Z9" s="23"/>
      <c r="AA9" s="23">
        <f t="shared" si="0"/>
        <v>1941000</v>
      </c>
      <c r="AB9" s="23">
        <f t="shared" si="0"/>
        <v>52194000</v>
      </c>
      <c r="AC9" s="23">
        <f t="shared" si="0"/>
        <v>614300</v>
      </c>
      <c r="AD9" s="39"/>
      <c r="AE9" s="39"/>
      <c r="AF9" s="40"/>
    </row>
    <row r="10" spans="1:33" s="9" customFormat="1" x14ac:dyDescent="0.2">
      <c r="A10" s="10" t="s">
        <v>72</v>
      </c>
      <c r="B10" s="10" t="s">
        <v>32</v>
      </c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>
        <f>44469347+10749252</f>
        <v>55218599</v>
      </c>
      <c r="T10" s="23"/>
      <c r="U10" s="23"/>
      <c r="V10" s="23"/>
      <c r="W10" s="23"/>
      <c r="X10" s="23"/>
      <c r="Y10" s="23"/>
      <c r="Z10" s="23"/>
      <c r="AA10" s="23">
        <f t="shared" si="0"/>
        <v>0</v>
      </c>
      <c r="AB10" s="23">
        <f t="shared" si="0"/>
        <v>55218599</v>
      </c>
      <c r="AC10" s="23">
        <f t="shared" si="0"/>
        <v>0</v>
      </c>
      <c r="AD10" s="39"/>
      <c r="AE10" s="39"/>
      <c r="AF10" s="40"/>
    </row>
    <row r="11" spans="1:33" s="9" customFormat="1" x14ac:dyDescent="0.2">
      <c r="A11" s="10" t="s">
        <v>88</v>
      </c>
      <c r="B11" s="10" t="s">
        <v>32</v>
      </c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>
        <f t="shared" si="0"/>
        <v>0</v>
      </c>
      <c r="AB11" s="23">
        <f t="shared" si="0"/>
        <v>0</v>
      </c>
      <c r="AC11" s="23">
        <f t="shared" si="0"/>
        <v>0</v>
      </c>
      <c r="AD11" s="39"/>
      <c r="AE11" s="39"/>
      <c r="AF11" s="40"/>
    </row>
    <row r="12" spans="1:33" s="9" customFormat="1" x14ac:dyDescent="0.2">
      <c r="A12" s="10" t="s">
        <v>64</v>
      </c>
      <c r="B12" s="10" t="s">
        <v>32</v>
      </c>
      <c r="C12" s="23"/>
      <c r="D12" s="23"/>
      <c r="E12" s="23"/>
      <c r="F12" s="23"/>
      <c r="G12" s="23"/>
      <c r="H12" s="23"/>
      <c r="I12" s="23"/>
      <c r="J12" s="23">
        <v>551</v>
      </c>
      <c r="K12" s="23">
        <v>14551</v>
      </c>
      <c r="L12" s="23"/>
      <c r="M12" s="23"/>
      <c r="N12" s="23"/>
      <c r="O12" s="23"/>
      <c r="P12" s="23"/>
      <c r="Q12" s="23"/>
      <c r="R12" s="23"/>
      <c r="S12" s="23">
        <v>270000</v>
      </c>
      <c r="T12" s="23">
        <v>270000</v>
      </c>
      <c r="U12" s="23"/>
      <c r="V12" s="23"/>
      <c r="W12" s="23"/>
      <c r="X12" s="23"/>
      <c r="Y12" s="23"/>
      <c r="Z12" s="23"/>
      <c r="AA12" s="23">
        <f t="shared" si="0"/>
        <v>0</v>
      </c>
      <c r="AB12" s="23">
        <f t="shared" si="0"/>
        <v>270551</v>
      </c>
      <c r="AC12" s="23">
        <f t="shared" si="0"/>
        <v>284551</v>
      </c>
      <c r="AD12" s="39"/>
      <c r="AE12" s="39"/>
      <c r="AF12" s="40"/>
    </row>
    <row r="13" spans="1:33" s="9" customFormat="1" x14ac:dyDescent="0.2">
      <c r="A13" s="10" t="s">
        <v>37</v>
      </c>
      <c r="B13" s="10" t="s">
        <v>32</v>
      </c>
      <c r="C13" s="23"/>
      <c r="D13" s="23"/>
      <c r="E13" s="23"/>
      <c r="F13" s="23"/>
      <c r="G13" s="23"/>
      <c r="H13" s="23"/>
      <c r="I13" s="23">
        <v>216000</v>
      </c>
      <c r="J13" s="23">
        <v>552290</v>
      </c>
      <c r="K13" s="23">
        <v>879862</v>
      </c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>
        <f t="shared" si="0"/>
        <v>216000</v>
      </c>
      <c r="AB13" s="23">
        <f t="shared" si="0"/>
        <v>552290</v>
      </c>
      <c r="AC13" s="23">
        <f t="shared" si="0"/>
        <v>879862</v>
      </c>
      <c r="AD13" s="39"/>
      <c r="AE13" s="39"/>
      <c r="AF13" s="40"/>
    </row>
    <row r="14" spans="1:33" s="9" customFormat="1" x14ac:dyDescent="0.2">
      <c r="A14" s="10" t="s">
        <v>38</v>
      </c>
      <c r="B14" s="10" t="s">
        <v>32</v>
      </c>
      <c r="C14" s="23"/>
      <c r="D14" s="23"/>
      <c r="E14" s="23"/>
      <c r="F14" s="23"/>
      <c r="G14" s="23"/>
      <c r="H14" s="23"/>
      <c r="I14" s="23">
        <v>206000</v>
      </c>
      <c r="J14" s="23">
        <v>206000</v>
      </c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>
        <f t="shared" si="0"/>
        <v>206000</v>
      </c>
      <c r="AB14" s="23">
        <f t="shared" si="0"/>
        <v>206000</v>
      </c>
      <c r="AC14" s="23">
        <f t="shared" si="0"/>
        <v>0</v>
      </c>
      <c r="AD14" s="39"/>
      <c r="AE14" s="39"/>
      <c r="AF14" s="40"/>
    </row>
    <row r="15" spans="1:33" s="9" customFormat="1" x14ac:dyDescent="0.2">
      <c r="A15" s="10" t="s">
        <v>66</v>
      </c>
      <c r="B15" s="10" t="s">
        <v>32</v>
      </c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>
        <f t="shared" si="0"/>
        <v>0</v>
      </c>
      <c r="AB15" s="23">
        <f t="shared" si="0"/>
        <v>0</v>
      </c>
      <c r="AC15" s="23">
        <f t="shared" si="0"/>
        <v>0</v>
      </c>
      <c r="AD15" s="39"/>
      <c r="AE15" s="39"/>
      <c r="AF15" s="40"/>
    </row>
    <row r="16" spans="1:33" s="9" customFormat="1" x14ac:dyDescent="0.2">
      <c r="A16" s="10" t="s">
        <v>18</v>
      </c>
      <c r="B16" s="10" t="s">
        <v>32</v>
      </c>
      <c r="C16" s="23"/>
      <c r="D16" s="23"/>
      <c r="E16" s="23"/>
      <c r="F16" s="23"/>
      <c r="G16" s="23"/>
      <c r="H16" s="23"/>
      <c r="I16" s="23">
        <v>1446530</v>
      </c>
      <c r="J16" s="23">
        <v>1446530</v>
      </c>
      <c r="K16" s="23">
        <v>385313</v>
      </c>
      <c r="L16" s="23"/>
      <c r="M16" s="23"/>
      <c r="N16" s="23"/>
      <c r="O16" s="23"/>
      <c r="P16" s="23"/>
      <c r="Q16" s="23"/>
      <c r="R16" s="23"/>
      <c r="S16" s="23"/>
      <c r="T16" s="23">
        <v>457200</v>
      </c>
      <c r="U16" s="23"/>
      <c r="V16" s="23"/>
      <c r="W16" s="23"/>
      <c r="X16" s="23"/>
      <c r="Y16" s="23"/>
      <c r="Z16" s="23"/>
      <c r="AA16" s="23">
        <f t="shared" si="0"/>
        <v>1446530</v>
      </c>
      <c r="AB16" s="23">
        <f t="shared" si="0"/>
        <v>1446530</v>
      </c>
      <c r="AC16" s="23">
        <f t="shared" si="0"/>
        <v>842513</v>
      </c>
      <c r="AD16" s="39"/>
      <c r="AE16" s="39"/>
      <c r="AF16" s="40"/>
    </row>
    <row r="17" spans="1:32" s="9" customFormat="1" x14ac:dyDescent="0.2">
      <c r="A17" s="10" t="s">
        <v>5</v>
      </c>
      <c r="B17" s="10" t="s">
        <v>32</v>
      </c>
      <c r="C17" s="23"/>
      <c r="D17" s="23"/>
      <c r="E17" s="23"/>
      <c r="F17" s="23"/>
      <c r="G17" s="23"/>
      <c r="H17" s="23"/>
      <c r="I17" s="23">
        <v>3683000</v>
      </c>
      <c r="J17" s="23">
        <v>3683000</v>
      </c>
      <c r="K17" s="23">
        <v>1150799</v>
      </c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>
        <f t="shared" si="0"/>
        <v>3683000</v>
      </c>
      <c r="AB17" s="23">
        <f t="shared" si="0"/>
        <v>3683000</v>
      </c>
      <c r="AC17" s="23">
        <f t="shared" si="0"/>
        <v>1150799</v>
      </c>
      <c r="AD17" s="39"/>
      <c r="AE17" s="39"/>
      <c r="AF17" s="40"/>
    </row>
    <row r="18" spans="1:32" s="9" customFormat="1" x14ac:dyDescent="0.2">
      <c r="A18" s="10" t="s">
        <v>22</v>
      </c>
      <c r="B18" s="10" t="s">
        <v>32</v>
      </c>
      <c r="C18" s="23"/>
      <c r="D18" s="23"/>
      <c r="E18" s="23"/>
      <c r="F18" s="23"/>
      <c r="G18" s="23"/>
      <c r="H18" s="23"/>
      <c r="I18" s="23"/>
      <c r="J18" s="23">
        <v>37621054</v>
      </c>
      <c r="K18" s="23">
        <v>38061187</v>
      </c>
      <c r="L18" s="23"/>
      <c r="M18" s="23"/>
      <c r="N18" s="23"/>
      <c r="O18" s="23"/>
      <c r="P18" s="23"/>
      <c r="Q18" s="23"/>
      <c r="R18" s="23"/>
      <c r="S18" s="23">
        <f>169700000+52264599</f>
        <v>221964599</v>
      </c>
      <c r="T18" s="23">
        <f>206338390</f>
        <v>206338390</v>
      </c>
      <c r="U18" s="23"/>
      <c r="V18" s="23"/>
      <c r="W18" s="23"/>
      <c r="X18" s="23"/>
      <c r="Y18" s="23"/>
      <c r="Z18" s="23"/>
      <c r="AA18" s="23">
        <f t="shared" si="0"/>
        <v>0</v>
      </c>
      <c r="AB18" s="23">
        <f t="shared" si="0"/>
        <v>259585653</v>
      </c>
      <c r="AC18" s="23">
        <f t="shared" si="0"/>
        <v>244399577</v>
      </c>
      <c r="AD18" s="39"/>
      <c r="AE18" s="39"/>
      <c r="AF18" s="40"/>
    </row>
    <row r="19" spans="1:32" s="9" customFormat="1" x14ac:dyDescent="0.2">
      <c r="A19" s="10" t="s">
        <v>7</v>
      </c>
      <c r="B19" s="10" t="s">
        <v>32</v>
      </c>
      <c r="C19" s="23"/>
      <c r="D19" s="23"/>
      <c r="E19" s="23"/>
      <c r="F19" s="23"/>
      <c r="G19" s="23"/>
      <c r="H19" s="23"/>
      <c r="I19" s="23">
        <v>1440000</v>
      </c>
      <c r="J19" s="23">
        <v>1742000</v>
      </c>
      <c r="K19" s="23">
        <v>2131068</v>
      </c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>
        <f t="shared" si="0"/>
        <v>1440000</v>
      </c>
      <c r="AB19" s="23">
        <f t="shared" si="0"/>
        <v>1742000</v>
      </c>
      <c r="AC19" s="23">
        <f t="shared" si="0"/>
        <v>2131068</v>
      </c>
      <c r="AD19" s="39"/>
      <c r="AE19" s="39"/>
      <c r="AF19" s="40"/>
    </row>
    <row r="20" spans="1:32" s="9" customFormat="1" x14ac:dyDescent="0.2">
      <c r="A20" s="10" t="s">
        <v>98</v>
      </c>
      <c r="B20" s="10" t="s">
        <v>32</v>
      </c>
      <c r="C20" s="23"/>
      <c r="D20" s="23"/>
      <c r="E20" s="23"/>
      <c r="F20" s="23"/>
      <c r="G20" s="23"/>
      <c r="H20" s="23"/>
      <c r="I20" s="23"/>
      <c r="J20" s="23"/>
      <c r="K20" s="23">
        <v>1018596</v>
      </c>
      <c r="L20" s="23"/>
      <c r="M20" s="23"/>
      <c r="N20" s="23"/>
      <c r="O20" s="23"/>
      <c r="P20" s="23"/>
      <c r="Q20" s="23"/>
      <c r="R20" s="23"/>
      <c r="S20" s="23"/>
      <c r="T20" s="23">
        <v>25000</v>
      </c>
      <c r="U20" s="23"/>
      <c r="V20" s="23"/>
      <c r="W20" s="23"/>
      <c r="X20" s="23"/>
      <c r="Y20" s="23"/>
      <c r="Z20" s="23"/>
      <c r="AA20" s="23">
        <f t="shared" si="0"/>
        <v>0</v>
      </c>
      <c r="AB20" s="23">
        <f t="shared" si="0"/>
        <v>0</v>
      </c>
      <c r="AC20" s="23">
        <f t="shared" si="0"/>
        <v>1043596</v>
      </c>
      <c r="AD20" s="39"/>
      <c r="AE20" s="39"/>
      <c r="AF20" s="40"/>
    </row>
    <row r="21" spans="1:32" s="9" customFormat="1" x14ac:dyDescent="0.2">
      <c r="A21" s="10" t="s">
        <v>39</v>
      </c>
      <c r="B21" s="10" t="s">
        <v>32</v>
      </c>
      <c r="C21" s="23"/>
      <c r="D21" s="23"/>
      <c r="E21" s="23"/>
      <c r="F21" s="23"/>
      <c r="G21" s="23"/>
      <c r="H21" s="23"/>
      <c r="I21" s="23"/>
      <c r="J21" s="23">
        <v>425000</v>
      </c>
      <c r="K21" s="23">
        <v>920056</v>
      </c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>
        <f t="shared" si="0"/>
        <v>0</v>
      </c>
      <c r="AB21" s="23">
        <f t="shared" si="0"/>
        <v>425000</v>
      </c>
      <c r="AC21" s="23">
        <f t="shared" si="0"/>
        <v>920056</v>
      </c>
      <c r="AD21" s="39"/>
      <c r="AE21" s="39"/>
      <c r="AF21" s="40"/>
    </row>
    <row r="22" spans="1:32" s="9" customFormat="1" x14ac:dyDescent="0.2">
      <c r="A22" s="10" t="s">
        <v>40</v>
      </c>
      <c r="B22" s="10" t="s">
        <v>32</v>
      </c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>
        <f>94552680+1000000+300000</f>
        <v>95852680</v>
      </c>
      <c r="P22" s="23">
        <v>102743308</v>
      </c>
      <c r="Q22" s="23">
        <v>101534102</v>
      </c>
      <c r="R22" s="23"/>
      <c r="S22" s="23">
        <v>100000</v>
      </c>
      <c r="T22" s="23">
        <v>100000</v>
      </c>
      <c r="U22" s="23"/>
      <c r="V22" s="23"/>
      <c r="W22" s="23"/>
      <c r="X22" s="23"/>
      <c r="Y22" s="23"/>
      <c r="Z22" s="23"/>
      <c r="AA22" s="23">
        <f t="shared" si="0"/>
        <v>95852680</v>
      </c>
      <c r="AB22" s="23">
        <f t="shared" si="0"/>
        <v>102843308</v>
      </c>
      <c r="AC22" s="23">
        <f t="shared" si="0"/>
        <v>101634102</v>
      </c>
      <c r="AD22" s="39"/>
      <c r="AE22" s="39"/>
      <c r="AF22" s="40"/>
    </row>
    <row r="23" spans="1:32" s="9" customFormat="1" x14ac:dyDescent="0.2">
      <c r="A23" s="10" t="s">
        <v>99</v>
      </c>
      <c r="B23" s="10" t="s">
        <v>32</v>
      </c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>
        <f>320000</f>
        <v>320000</v>
      </c>
      <c r="Q23" s="23">
        <v>624015</v>
      </c>
      <c r="R23" s="23"/>
      <c r="S23" s="23"/>
      <c r="T23" s="23"/>
      <c r="U23" s="23"/>
      <c r="V23" s="23">
        <v>6084055</v>
      </c>
      <c r="W23" s="23">
        <v>6084055</v>
      </c>
      <c r="X23" s="23"/>
      <c r="Y23" s="23"/>
      <c r="Z23" s="23"/>
      <c r="AA23" s="23">
        <f t="shared" si="0"/>
        <v>0</v>
      </c>
      <c r="AB23" s="23">
        <f t="shared" si="0"/>
        <v>6404055</v>
      </c>
      <c r="AC23" s="23">
        <f t="shared" si="0"/>
        <v>6708070</v>
      </c>
      <c r="AD23" s="39"/>
      <c r="AE23" s="39"/>
      <c r="AF23" s="40"/>
    </row>
    <row r="24" spans="1:32" s="9" customFormat="1" x14ac:dyDescent="0.2">
      <c r="A24" s="10" t="s">
        <v>75</v>
      </c>
      <c r="B24" s="10" t="s">
        <v>32</v>
      </c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>
        <f t="shared" si="0"/>
        <v>0</v>
      </c>
      <c r="AB24" s="23">
        <f t="shared" si="0"/>
        <v>0</v>
      </c>
      <c r="AC24" s="23">
        <f t="shared" si="0"/>
        <v>0</v>
      </c>
      <c r="AD24" s="39"/>
      <c r="AE24" s="39"/>
      <c r="AF24" s="40"/>
    </row>
    <row r="25" spans="1:32" s="9" customFormat="1" x14ac:dyDescent="0.2">
      <c r="A25" s="10" t="s">
        <v>76</v>
      </c>
      <c r="B25" s="10" t="s">
        <v>32</v>
      </c>
      <c r="C25" s="23"/>
      <c r="D25" s="23"/>
      <c r="E25" s="23"/>
      <c r="F25" s="23"/>
      <c r="G25" s="23"/>
      <c r="H25" s="23"/>
      <c r="I25" s="23"/>
      <c r="J25" s="23"/>
      <c r="K25" s="23">
        <v>50039</v>
      </c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>
        <f t="shared" si="0"/>
        <v>0</v>
      </c>
      <c r="AB25" s="23">
        <f t="shared" si="0"/>
        <v>0</v>
      </c>
      <c r="AC25" s="23">
        <f t="shared" si="0"/>
        <v>50039</v>
      </c>
      <c r="AD25" s="39"/>
      <c r="AE25" s="39"/>
      <c r="AF25" s="40"/>
    </row>
    <row r="26" spans="1:32" s="9" customFormat="1" x14ac:dyDescent="0.2">
      <c r="A26" s="10" t="s">
        <v>83</v>
      </c>
      <c r="B26" s="10" t="s">
        <v>33</v>
      </c>
      <c r="C26" s="23"/>
      <c r="D26" s="23"/>
      <c r="E26" s="23"/>
      <c r="F26" s="23"/>
      <c r="G26" s="23"/>
      <c r="H26" s="23"/>
      <c r="I26" s="23"/>
      <c r="J26" s="23">
        <v>11000000</v>
      </c>
      <c r="K26" s="23">
        <v>13175875</v>
      </c>
      <c r="L26" s="23"/>
      <c r="M26" s="23"/>
      <c r="N26" s="23"/>
      <c r="O26" s="23"/>
      <c r="P26" s="23"/>
      <c r="Q26" s="23"/>
      <c r="R26" s="23"/>
      <c r="S26" s="23">
        <f>6015000+5011000</f>
        <v>11026000</v>
      </c>
      <c r="T26" s="23">
        <f>6131393+54899568</f>
        <v>61030961</v>
      </c>
      <c r="U26" s="23"/>
      <c r="V26" s="23">
        <v>0</v>
      </c>
      <c r="W26" s="23">
        <v>0</v>
      </c>
      <c r="X26" s="23"/>
      <c r="Y26" s="23"/>
      <c r="Z26" s="23"/>
      <c r="AA26" s="23">
        <f t="shared" si="0"/>
        <v>0</v>
      </c>
      <c r="AB26" s="23">
        <f t="shared" si="0"/>
        <v>22026000</v>
      </c>
      <c r="AC26" s="23">
        <f t="shared" si="0"/>
        <v>74206836</v>
      </c>
      <c r="AD26" s="39"/>
      <c r="AE26" s="39"/>
      <c r="AF26" s="40"/>
    </row>
    <row r="27" spans="1:32" s="9" customFormat="1" x14ac:dyDescent="0.2">
      <c r="A27" s="10" t="s">
        <v>41</v>
      </c>
      <c r="B27" s="10" t="s">
        <v>33</v>
      </c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>
        <f t="shared" si="0"/>
        <v>0</v>
      </c>
      <c r="AB27" s="23">
        <f t="shared" si="0"/>
        <v>0</v>
      </c>
      <c r="AC27" s="23">
        <f t="shared" si="0"/>
        <v>0</v>
      </c>
      <c r="AD27" s="39"/>
      <c r="AE27" s="39"/>
      <c r="AF27" s="40"/>
    </row>
    <row r="28" spans="1:32" s="9" customFormat="1" x14ac:dyDescent="0.2">
      <c r="A28" s="10" t="s">
        <v>60</v>
      </c>
      <c r="B28" s="10" t="s">
        <v>33</v>
      </c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>
        <f t="shared" si="0"/>
        <v>0</v>
      </c>
      <c r="AB28" s="23">
        <f t="shared" si="0"/>
        <v>0</v>
      </c>
      <c r="AC28" s="23">
        <f t="shared" si="0"/>
        <v>0</v>
      </c>
      <c r="AD28" s="39"/>
      <c r="AE28" s="39"/>
      <c r="AF28" s="40"/>
    </row>
    <row r="29" spans="1:32" s="9" customFormat="1" x14ac:dyDescent="0.2">
      <c r="A29" s="10" t="s">
        <v>42</v>
      </c>
      <c r="B29" s="10" t="s">
        <v>33</v>
      </c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>
        <f t="shared" si="0"/>
        <v>0</v>
      </c>
      <c r="AB29" s="23">
        <f t="shared" si="0"/>
        <v>0</v>
      </c>
      <c r="AC29" s="23">
        <f t="shared" si="0"/>
        <v>0</v>
      </c>
      <c r="AD29" s="39"/>
      <c r="AE29" s="39"/>
      <c r="AF29" s="40"/>
    </row>
    <row r="30" spans="1:32" s="9" customFormat="1" x14ac:dyDescent="0.2">
      <c r="A30" s="10" t="s">
        <v>43</v>
      </c>
      <c r="B30" s="10" t="s">
        <v>32</v>
      </c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>
        <f t="shared" si="0"/>
        <v>0</v>
      </c>
      <c r="AB30" s="23">
        <f t="shared" si="0"/>
        <v>0</v>
      </c>
      <c r="AC30" s="23">
        <f t="shared" si="0"/>
        <v>0</v>
      </c>
      <c r="AD30" s="39"/>
      <c r="AE30" s="39"/>
      <c r="AF30" s="40"/>
    </row>
    <row r="31" spans="1:32" s="9" customFormat="1" x14ac:dyDescent="0.2">
      <c r="A31" s="10" t="s">
        <v>44</v>
      </c>
      <c r="B31" s="10" t="s">
        <v>32</v>
      </c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>
        <f t="shared" si="0"/>
        <v>0</v>
      </c>
      <c r="AB31" s="23">
        <f t="shared" si="0"/>
        <v>0</v>
      </c>
      <c r="AC31" s="23">
        <f t="shared" si="0"/>
        <v>0</v>
      </c>
      <c r="AD31" s="39"/>
      <c r="AE31" s="39"/>
      <c r="AF31" s="40"/>
    </row>
    <row r="32" spans="1:32" s="9" customFormat="1" x14ac:dyDescent="0.2">
      <c r="A32" s="10" t="s">
        <v>45</v>
      </c>
      <c r="B32" s="10" t="s">
        <v>32</v>
      </c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>
        <f t="shared" si="0"/>
        <v>0</v>
      </c>
      <c r="AB32" s="23">
        <f t="shared" si="0"/>
        <v>0</v>
      </c>
      <c r="AC32" s="23">
        <f t="shared" si="0"/>
        <v>0</v>
      </c>
      <c r="AD32" s="39"/>
      <c r="AE32" s="39"/>
      <c r="AF32" s="40"/>
    </row>
    <row r="33" spans="1:32" s="9" customFormat="1" x14ac:dyDescent="0.2">
      <c r="A33" s="10" t="s">
        <v>46</v>
      </c>
      <c r="B33" s="10" t="s">
        <v>32</v>
      </c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>
        <f t="shared" si="0"/>
        <v>0</v>
      </c>
      <c r="AB33" s="23">
        <f t="shared" si="0"/>
        <v>0</v>
      </c>
      <c r="AC33" s="23">
        <v>0</v>
      </c>
      <c r="AD33" s="39"/>
      <c r="AE33" s="39"/>
      <c r="AF33" s="40"/>
    </row>
    <row r="34" spans="1:32" s="9" customFormat="1" x14ac:dyDescent="0.2">
      <c r="A34" s="10" t="s">
        <v>49</v>
      </c>
      <c r="B34" s="10" t="s">
        <v>33</v>
      </c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>
        <f t="shared" si="0"/>
        <v>0</v>
      </c>
      <c r="AB34" s="23">
        <f t="shared" si="0"/>
        <v>0</v>
      </c>
      <c r="AC34" s="23">
        <f t="shared" si="0"/>
        <v>0</v>
      </c>
      <c r="AD34" s="39"/>
      <c r="AE34" s="39"/>
      <c r="AF34" s="40"/>
    </row>
    <row r="35" spans="1:32" s="9" customFormat="1" x14ac:dyDescent="0.2">
      <c r="A35" s="10" t="s">
        <v>80</v>
      </c>
      <c r="B35" s="10" t="s">
        <v>33</v>
      </c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>
        <v>0</v>
      </c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>
        <f t="shared" si="0"/>
        <v>0</v>
      </c>
      <c r="AB35" s="23">
        <f t="shared" si="0"/>
        <v>0</v>
      </c>
      <c r="AC35" s="23">
        <f t="shared" si="0"/>
        <v>0</v>
      </c>
      <c r="AD35" s="39"/>
      <c r="AE35" s="39"/>
      <c r="AF35" s="40"/>
    </row>
    <row r="36" spans="1:32" s="9" customFormat="1" x14ac:dyDescent="0.2">
      <c r="A36" s="10" t="s">
        <v>47</v>
      </c>
      <c r="B36" s="10" t="s">
        <v>33</v>
      </c>
      <c r="C36" s="23"/>
      <c r="D36" s="23"/>
      <c r="E36" s="23"/>
      <c r="F36" s="23"/>
      <c r="G36" s="23"/>
      <c r="H36" s="23"/>
      <c r="I36" s="23"/>
      <c r="J36" s="23"/>
      <c r="K36" s="23"/>
      <c r="L36" s="23">
        <v>8010000</v>
      </c>
      <c r="M36" s="23">
        <v>8010000</v>
      </c>
      <c r="N36" s="23">
        <v>5308518</v>
      </c>
      <c r="O36" s="23"/>
      <c r="P36" s="23">
        <v>140000</v>
      </c>
      <c r="Q36" s="23">
        <v>905000</v>
      </c>
      <c r="R36" s="23"/>
      <c r="S36" s="23"/>
      <c r="T36" s="23"/>
      <c r="U36" s="23"/>
      <c r="V36" s="23"/>
      <c r="W36" s="23"/>
      <c r="X36" s="23"/>
      <c r="Y36" s="23"/>
      <c r="Z36" s="23"/>
      <c r="AA36" s="23">
        <f t="shared" si="0"/>
        <v>8010000</v>
      </c>
      <c r="AB36" s="23">
        <f t="shared" si="0"/>
        <v>8150000</v>
      </c>
      <c r="AC36" s="23">
        <f t="shared" si="0"/>
        <v>6213518</v>
      </c>
      <c r="AD36" s="39"/>
      <c r="AE36" s="39"/>
      <c r="AF36" s="40"/>
    </row>
    <row r="37" spans="1:32" s="9" customFormat="1" x14ac:dyDescent="0.2">
      <c r="A37" s="10" t="s">
        <v>84</v>
      </c>
      <c r="B37" s="10" t="s">
        <v>33</v>
      </c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>
        <f t="shared" si="0"/>
        <v>0</v>
      </c>
      <c r="AB37" s="23">
        <f t="shared" si="0"/>
        <v>0</v>
      </c>
      <c r="AC37" s="23">
        <f t="shared" si="0"/>
        <v>0</v>
      </c>
      <c r="AD37" s="39"/>
      <c r="AE37" s="39"/>
      <c r="AF37" s="40"/>
    </row>
    <row r="38" spans="1:32" s="9" customFormat="1" x14ac:dyDescent="0.2">
      <c r="A38" s="10" t="s">
        <v>97</v>
      </c>
      <c r="B38" s="10" t="s">
        <v>33</v>
      </c>
      <c r="C38" s="23"/>
      <c r="D38" s="23"/>
      <c r="E38" s="23"/>
      <c r="F38" s="23"/>
      <c r="G38" s="23"/>
      <c r="H38" s="23"/>
      <c r="I38" s="23"/>
      <c r="J38" s="23">
        <v>8340000</v>
      </c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>
        <f t="shared" si="0"/>
        <v>0</v>
      </c>
      <c r="AB38" s="23">
        <f t="shared" si="0"/>
        <v>8340000</v>
      </c>
      <c r="AC38" s="23">
        <f t="shared" si="0"/>
        <v>0</v>
      </c>
      <c r="AD38" s="39"/>
      <c r="AE38" s="39"/>
      <c r="AF38" s="40"/>
    </row>
    <row r="39" spans="1:32" s="9" customFormat="1" x14ac:dyDescent="0.2">
      <c r="A39" s="10" t="s">
        <v>69</v>
      </c>
      <c r="B39" s="10" t="s">
        <v>33</v>
      </c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>
        <v>0</v>
      </c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>
        <f t="shared" ref="AA39:AC64" si="1">C39+F39+I39+L39+O39+R39+U39+X39</f>
        <v>0</v>
      </c>
      <c r="AB39" s="23">
        <f t="shared" si="1"/>
        <v>0</v>
      </c>
      <c r="AC39" s="23">
        <f t="shared" si="1"/>
        <v>0</v>
      </c>
      <c r="AD39" s="39"/>
      <c r="AE39" s="39"/>
      <c r="AF39" s="40"/>
    </row>
    <row r="40" spans="1:32" s="9" customFormat="1" x14ac:dyDescent="0.2">
      <c r="A40" s="10" t="s">
        <v>70</v>
      </c>
      <c r="B40" s="10" t="s">
        <v>33</v>
      </c>
      <c r="C40" s="23">
        <v>3187800</v>
      </c>
      <c r="D40" s="23">
        <f>3187800+13662</f>
        <v>3201462</v>
      </c>
      <c r="E40" s="23">
        <v>2148970</v>
      </c>
      <c r="F40" s="23">
        <v>567865</v>
      </c>
      <c r="G40" s="23">
        <v>567865</v>
      </c>
      <c r="H40" s="23">
        <v>54099</v>
      </c>
      <c r="I40" s="23">
        <v>8258048</v>
      </c>
      <c r="J40" s="23">
        <v>8258048</v>
      </c>
      <c r="K40" s="23">
        <v>2881100</v>
      </c>
      <c r="L40" s="23"/>
      <c r="M40" s="23"/>
      <c r="N40" s="23"/>
      <c r="O40" s="23"/>
      <c r="P40" s="23"/>
      <c r="Q40" s="23"/>
      <c r="R40" s="23"/>
      <c r="S40" s="23">
        <v>2704490</v>
      </c>
      <c r="T40" s="23"/>
      <c r="U40" s="23"/>
      <c r="V40" s="23"/>
      <c r="W40" s="23"/>
      <c r="X40" s="23"/>
      <c r="Y40" s="23"/>
      <c r="Z40" s="23"/>
      <c r="AA40" s="23">
        <f t="shared" si="1"/>
        <v>12013713</v>
      </c>
      <c r="AB40" s="23">
        <f t="shared" si="1"/>
        <v>14731865</v>
      </c>
      <c r="AC40" s="23">
        <f t="shared" si="1"/>
        <v>5084169</v>
      </c>
      <c r="AD40" s="39">
        <v>1</v>
      </c>
      <c r="AE40" s="39">
        <v>1</v>
      </c>
      <c r="AF40" s="40">
        <v>0</v>
      </c>
    </row>
    <row r="41" spans="1:32" s="9" customFormat="1" x14ac:dyDescent="0.2">
      <c r="A41" s="10" t="s">
        <v>16</v>
      </c>
      <c r="B41" s="10" t="s">
        <v>32</v>
      </c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>
        <v>73200</v>
      </c>
      <c r="P41" s="23">
        <v>73200</v>
      </c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>
        <f t="shared" si="1"/>
        <v>73200</v>
      </c>
      <c r="AB41" s="23">
        <f t="shared" si="1"/>
        <v>73200</v>
      </c>
      <c r="AC41" s="23">
        <f t="shared" si="1"/>
        <v>0</v>
      </c>
      <c r="AD41" s="39"/>
      <c r="AE41" s="39"/>
      <c r="AF41" s="40"/>
    </row>
    <row r="42" spans="1:32" s="9" customFormat="1" x14ac:dyDescent="0.2">
      <c r="A42" s="10" t="s">
        <v>78</v>
      </c>
      <c r="B42" s="10" t="s">
        <v>33</v>
      </c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>
        <v>100000</v>
      </c>
      <c r="R42" s="23"/>
      <c r="S42" s="23"/>
      <c r="T42" s="23">
        <v>700000</v>
      </c>
      <c r="U42" s="23"/>
      <c r="V42" s="23"/>
      <c r="W42" s="23"/>
      <c r="X42" s="23"/>
      <c r="Y42" s="23"/>
      <c r="Z42" s="23"/>
      <c r="AA42" s="23">
        <f t="shared" si="1"/>
        <v>0</v>
      </c>
      <c r="AB42" s="23">
        <f t="shared" si="1"/>
        <v>0</v>
      </c>
      <c r="AC42" s="23">
        <f t="shared" si="1"/>
        <v>800000</v>
      </c>
      <c r="AD42" s="39"/>
      <c r="AE42" s="39"/>
      <c r="AF42" s="40"/>
    </row>
    <row r="43" spans="1:32" s="9" customFormat="1" x14ac:dyDescent="0.2">
      <c r="A43" s="10" t="s">
        <v>17</v>
      </c>
      <c r="B43" s="10" t="s">
        <v>33</v>
      </c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>
        <v>2397000</v>
      </c>
      <c r="P43" s="23">
        <f>2397000-650000</f>
        <v>1747000</v>
      </c>
      <c r="Q43" s="23">
        <f>650000+200000</f>
        <v>850000</v>
      </c>
      <c r="R43" s="23"/>
      <c r="S43" s="23">
        <v>950000</v>
      </c>
      <c r="T43" s="23">
        <v>250000</v>
      </c>
      <c r="U43" s="23"/>
      <c r="V43" s="23"/>
      <c r="W43" s="23"/>
      <c r="X43" s="23"/>
      <c r="Y43" s="23"/>
      <c r="Z43" s="23"/>
      <c r="AA43" s="23">
        <f t="shared" si="1"/>
        <v>2397000</v>
      </c>
      <c r="AB43" s="23">
        <f t="shared" si="1"/>
        <v>2697000</v>
      </c>
      <c r="AC43" s="23">
        <f t="shared" si="1"/>
        <v>1100000</v>
      </c>
      <c r="AD43" s="39"/>
      <c r="AE43" s="39"/>
      <c r="AF43" s="40"/>
    </row>
    <row r="44" spans="1:32" s="9" customFormat="1" x14ac:dyDescent="0.2">
      <c r="A44" s="10" t="s">
        <v>51</v>
      </c>
      <c r="B44" s="10" t="s">
        <v>32</v>
      </c>
      <c r="C44" s="23"/>
      <c r="D44" s="23"/>
      <c r="E44" s="23"/>
      <c r="F44" s="23"/>
      <c r="G44" s="23"/>
      <c r="H44" s="23"/>
      <c r="I44" s="23">
        <v>100000</v>
      </c>
      <c r="J44" s="23">
        <v>100000</v>
      </c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>
        <f t="shared" si="1"/>
        <v>100000</v>
      </c>
      <c r="AB44" s="23">
        <f t="shared" si="1"/>
        <v>100000</v>
      </c>
      <c r="AC44" s="23">
        <f t="shared" si="1"/>
        <v>0</v>
      </c>
      <c r="AD44" s="39"/>
      <c r="AE44" s="39"/>
      <c r="AF44" s="40"/>
    </row>
    <row r="45" spans="1:32" s="37" customFormat="1" x14ac:dyDescent="0.2">
      <c r="A45" s="13" t="s">
        <v>52</v>
      </c>
      <c r="B45" s="14" t="s">
        <v>63</v>
      </c>
      <c r="C45" s="59"/>
      <c r="D45" s="59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3">
        <f t="shared" si="1"/>
        <v>0</v>
      </c>
      <c r="AB45" s="24">
        <f t="shared" si="1"/>
        <v>0</v>
      </c>
      <c r="AC45" s="24">
        <f t="shared" si="1"/>
        <v>0</v>
      </c>
      <c r="AD45" s="41"/>
      <c r="AE45" s="41"/>
      <c r="AF45" s="42"/>
    </row>
    <row r="46" spans="1:32" s="9" customFormat="1" ht="14.25" customHeight="1" x14ac:dyDescent="0.2">
      <c r="A46" s="10" t="s">
        <v>54</v>
      </c>
      <c r="B46" s="10" t="s">
        <v>32</v>
      </c>
      <c r="C46" s="23">
        <v>100000</v>
      </c>
      <c r="D46" s="23">
        <v>100000</v>
      </c>
      <c r="E46" s="23"/>
      <c r="F46" s="23">
        <v>19750</v>
      </c>
      <c r="G46" s="23">
        <v>19750</v>
      </c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>
        <f t="shared" si="1"/>
        <v>119750</v>
      </c>
      <c r="AB46" s="23">
        <f t="shared" si="1"/>
        <v>119750</v>
      </c>
      <c r="AC46" s="23">
        <f t="shared" si="1"/>
        <v>0</v>
      </c>
      <c r="AD46" s="39">
        <v>1</v>
      </c>
      <c r="AE46" s="39">
        <v>1</v>
      </c>
      <c r="AF46" s="40"/>
    </row>
    <row r="47" spans="1:32" s="9" customFormat="1" x14ac:dyDescent="0.2">
      <c r="A47" s="10" t="s">
        <v>53</v>
      </c>
      <c r="B47" s="10" t="s">
        <v>32</v>
      </c>
      <c r="C47" s="23">
        <v>3913440</v>
      </c>
      <c r="D47" s="23">
        <f>1993868</f>
        <v>1993868</v>
      </c>
      <c r="E47" s="23">
        <v>1304872</v>
      </c>
      <c r="F47" s="23">
        <v>381560</v>
      </c>
      <c r="G47" s="23">
        <v>-152535</v>
      </c>
      <c r="H47" s="23">
        <v>122126</v>
      </c>
      <c r="I47" s="23"/>
      <c r="J47" s="23">
        <v>381560</v>
      </c>
      <c r="K47" s="23">
        <v>15260</v>
      </c>
      <c r="L47" s="23"/>
      <c r="M47" s="23"/>
      <c r="N47" s="23"/>
      <c r="O47" s="23"/>
      <c r="P47" s="23"/>
      <c r="Q47" s="23"/>
      <c r="R47" s="23"/>
      <c r="S47" s="23">
        <v>0</v>
      </c>
      <c r="T47" s="23"/>
      <c r="U47" s="23"/>
      <c r="V47" s="23"/>
      <c r="W47" s="23"/>
      <c r="X47" s="23"/>
      <c r="Y47" s="23"/>
      <c r="Z47" s="23"/>
      <c r="AA47" s="23">
        <f t="shared" si="1"/>
        <v>4295000</v>
      </c>
      <c r="AB47" s="23">
        <f t="shared" si="1"/>
        <v>2222893</v>
      </c>
      <c r="AC47" s="23">
        <f t="shared" si="1"/>
        <v>1442258</v>
      </c>
      <c r="AD47" s="39">
        <v>4</v>
      </c>
      <c r="AE47" s="39">
        <v>4</v>
      </c>
      <c r="AF47" s="40"/>
    </row>
    <row r="48" spans="1:32" s="9" customFormat="1" x14ac:dyDescent="0.2">
      <c r="A48" s="10" t="s">
        <v>55</v>
      </c>
      <c r="B48" s="10" t="s">
        <v>33</v>
      </c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>
        <v>400000</v>
      </c>
      <c r="S48" s="23">
        <v>0</v>
      </c>
      <c r="T48" s="23">
        <v>0</v>
      </c>
      <c r="U48" s="23"/>
      <c r="V48" s="23"/>
      <c r="W48" s="23"/>
      <c r="X48" s="23"/>
      <c r="Y48" s="23"/>
      <c r="Z48" s="23"/>
      <c r="AA48" s="23">
        <f t="shared" si="1"/>
        <v>400000</v>
      </c>
      <c r="AB48" s="23">
        <f t="shared" si="1"/>
        <v>0</v>
      </c>
      <c r="AC48" s="23">
        <f t="shared" si="1"/>
        <v>0</v>
      </c>
      <c r="AD48" s="39"/>
      <c r="AE48" s="39"/>
      <c r="AF48" s="40"/>
    </row>
    <row r="49" spans="1:33" s="9" customFormat="1" x14ac:dyDescent="0.2">
      <c r="A49" s="10" t="s">
        <v>19</v>
      </c>
      <c r="B49" s="10" t="s">
        <v>32</v>
      </c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 t="s">
        <v>71</v>
      </c>
      <c r="T49" s="23"/>
      <c r="U49" s="23"/>
      <c r="V49" s="23"/>
      <c r="W49" s="23"/>
      <c r="X49" s="23"/>
      <c r="Y49" s="23"/>
      <c r="Z49" s="23"/>
      <c r="AA49" s="23">
        <f t="shared" si="1"/>
        <v>0</v>
      </c>
      <c r="AB49" s="23">
        <v>0</v>
      </c>
      <c r="AC49" s="23">
        <f t="shared" si="1"/>
        <v>0</v>
      </c>
      <c r="AD49" s="39"/>
      <c r="AE49" s="39"/>
      <c r="AF49" s="40"/>
    </row>
    <row r="50" spans="1:33" s="9" customFormat="1" x14ac:dyDescent="0.2">
      <c r="A50" s="10" t="s">
        <v>20</v>
      </c>
      <c r="B50" s="10" t="s">
        <v>32</v>
      </c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>
        <f t="shared" si="1"/>
        <v>0</v>
      </c>
      <c r="AB50" s="23">
        <f t="shared" si="1"/>
        <v>0</v>
      </c>
      <c r="AC50" s="23">
        <f t="shared" si="1"/>
        <v>0</v>
      </c>
      <c r="AD50" s="39"/>
      <c r="AE50" s="39"/>
      <c r="AF50" s="40"/>
    </row>
    <row r="51" spans="1:33" s="9" customFormat="1" x14ac:dyDescent="0.2">
      <c r="A51" s="10" t="s">
        <v>15</v>
      </c>
      <c r="B51" s="10" t="s">
        <v>32</v>
      </c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>
        <f t="shared" si="1"/>
        <v>0</v>
      </c>
      <c r="AB51" s="23">
        <f t="shared" si="1"/>
        <v>0</v>
      </c>
      <c r="AC51" s="23">
        <f t="shared" si="1"/>
        <v>0</v>
      </c>
      <c r="AD51" s="39"/>
      <c r="AE51" s="39"/>
      <c r="AF51" s="40"/>
    </row>
    <row r="52" spans="1:33" s="9" customFormat="1" x14ac:dyDescent="0.2">
      <c r="A52" s="10" t="s">
        <v>67</v>
      </c>
      <c r="B52" s="10" t="s">
        <v>33</v>
      </c>
      <c r="C52" s="23"/>
      <c r="D52" s="23"/>
      <c r="E52" s="23">
        <v>13862</v>
      </c>
      <c r="F52" s="23"/>
      <c r="G52" s="23"/>
      <c r="H52" s="23">
        <v>6336</v>
      </c>
      <c r="I52" s="23">
        <v>1905000</v>
      </c>
      <c r="J52" s="23">
        <v>0</v>
      </c>
      <c r="K52" s="23">
        <v>554976</v>
      </c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>
        <f t="shared" si="1"/>
        <v>1905000</v>
      </c>
      <c r="AB52" s="23">
        <f t="shared" si="1"/>
        <v>0</v>
      </c>
      <c r="AC52" s="23">
        <f t="shared" si="1"/>
        <v>575174</v>
      </c>
      <c r="AD52" s="39"/>
      <c r="AE52" s="39"/>
      <c r="AF52" s="40"/>
    </row>
    <row r="53" spans="1:33" s="9" customFormat="1" ht="15" customHeight="1" x14ac:dyDescent="0.2">
      <c r="A53" s="10" t="s">
        <v>34</v>
      </c>
      <c r="B53" s="10" t="s">
        <v>33</v>
      </c>
      <c r="C53" s="23">
        <f>2063600+1543000</f>
        <v>3606600</v>
      </c>
      <c r="D53" s="23">
        <f>2063600+1543000+39988+499000</f>
        <v>4145588</v>
      </c>
      <c r="E53" s="23">
        <f>1080349+1284424-244590</f>
        <v>2120183</v>
      </c>
      <c r="F53" s="23">
        <f>(C53*19.5%)+128000+156000</f>
        <v>987287</v>
      </c>
      <c r="G53" s="23">
        <v>987287</v>
      </c>
      <c r="H53" s="23">
        <v>387165</v>
      </c>
      <c r="I53" s="23">
        <f>2310000+2849000+3310000+1119000+2491000+3000000</f>
        <v>15079000</v>
      </c>
      <c r="J53" s="23">
        <v>37806640</v>
      </c>
      <c r="K53" s="23">
        <v>9704018</v>
      </c>
      <c r="L53" s="23"/>
      <c r="M53" s="23"/>
      <c r="N53" s="23"/>
      <c r="O53" s="23"/>
      <c r="P53" s="23">
        <v>300000</v>
      </c>
      <c r="Q53" s="23"/>
      <c r="R53" s="23">
        <v>0</v>
      </c>
      <c r="S53" s="23">
        <v>763900</v>
      </c>
      <c r="T53" s="23">
        <v>1010338</v>
      </c>
      <c r="U53" s="23"/>
      <c r="V53" s="23">
        <v>0</v>
      </c>
      <c r="W53" s="23"/>
      <c r="X53" s="23">
        <v>1205373</v>
      </c>
      <c r="Y53" s="23">
        <f>427192272-52264599</f>
        <v>374927673</v>
      </c>
      <c r="Z53" s="23"/>
      <c r="AA53" s="23">
        <f t="shared" si="1"/>
        <v>20878260</v>
      </c>
      <c r="AB53" s="23">
        <f>D53+G53+J53+M53+P53+S53+V53+Y53</f>
        <v>418931088</v>
      </c>
      <c r="AC53" s="23">
        <f t="shared" si="1"/>
        <v>13221704</v>
      </c>
      <c r="AD53" s="39">
        <v>8</v>
      </c>
      <c r="AE53" s="39">
        <v>8</v>
      </c>
      <c r="AF53" s="40"/>
      <c r="AG53" s="6"/>
    </row>
    <row r="54" spans="1:33" s="9" customFormat="1" x14ac:dyDescent="0.2">
      <c r="A54" s="10"/>
      <c r="B54" s="10" t="s">
        <v>32</v>
      </c>
      <c r="C54" s="23">
        <f>14044612-1543000</f>
        <v>12501612</v>
      </c>
      <c r="D54" s="23">
        <f>14044612-1543000</f>
        <v>12501612</v>
      </c>
      <c r="E54" s="23">
        <v>12092170</v>
      </c>
      <c r="F54" s="23">
        <f>(C54*19.5%)-141000</f>
        <v>2296814.34</v>
      </c>
      <c r="G54" s="23">
        <f>(D54*19.5%)-141000</f>
        <v>2296814.34</v>
      </c>
      <c r="H54" s="23">
        <v>2221591</v>
      </c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>
        <f t="shared" si="1"/>
        <v>14798426.34</v>
      </c>
      <c r="AB54" s="23">
        <f t="shared" si="1"/>
        <v>14798426.34</v>
      </c>
      <c r="AC54" s="23">
        <f t="shared" si="1"/>
        <v>14313761</v>
      </c>
      <c r="AD54" s="39">
        <v>7</v>
      </c>
      <c r="AE54" s="39">
        <v>7</v>
      </c>
      <c r="AF54" s="40"/>
    </row>
    <row r="55" spans="1:33" s="9" customFormat="1" x14ac:dyDescent="0.2">
      <c r="A55" s="10" t="s">
        <v>77</v>
      </c>
      <c r="B55" s="10" t="s">
        <v>32</v>
      </c>
      <c r="C55" s="23">
        <v>3224000</v>
      </c>
      <c r="D55" s="23">
        <f>3224000-22088</f>
        <v>3201912</v>
      </c>
      <c r="E55" s="23">
        <v>1419294</v>
      </c>
      <c r="F55" s="23">
        <v>660680</v>
      </c>
      <c r="G55" s="23">
        <v>660680</v>
      </c>
      <c r="H55" s="23">
        <v>113062</v>
      </c>
      <c r="I55" s="23">
        <f>2832000+765000</f>
        <v>3597000</v>
      </c>
      <c r="J55" s="23">
        <f>2832000+765000</f>
        <v>3597000</v>
      </c>
      <c r="K55" s="23">
        <v>2192111</v>
      </c>
      <c r="L55" s="23"/>
      <c r="M55" s="23"/>
      <c r="N55" s="23"/>
      <c r="O55" s="23"/>
      <c r="P55" s="23"/>
      <c r="Q55" s="23"/>
      <c r="R55" s="23"/>
      <c r="S55" s="23">
        <v>353104</v>
      </c>
      <c r="T55" s="23">
        <v>353104</v>
      </c>
      <c r="U55" s="23"/>
      <c r="V55" s="23"/>
      <c r="W55" s="23"/>
      <c r="X55" s="23"/>
      <c r="Y55" s="23"/>
      <c r="Z55" s="23"/>
      <c r="AA55" s="23">
        <f t="shared" si="1"/>
        <v>7481680</v>
      </c>
      <c r="AB55" s="23">
        <f t="shared" si="1"/>
        <v>7812696</v>
      </c>
      <c r="AC55" s="23">
        <f t="shared" si="1"/>
        <v>4077571</v>
      </c>
      <c r="AD55" s="39"/>
      <c r="AE55" s="39"/>
      <c r="AF55" s="40"/>
    </row>
    <row r="56" spans="1:33" s="9" customFormat="1" x14ac:dyDescent="0.2">
      <c r="A56" s="10" t="s">
        <v>68</v>
      </c>
      <c r="B56" s="10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>
        <v>0</v>
      </c>
      <c r="T56" s="23"/>
      <c r="U56" s="23"/>
      <c r="V56" s="23"/>
      <c r="W56" s="23"/>
      <c r="X56" s="23"/>
      <c r="Y56" s="23"/>
      <c r="Z56" s="23"/>
      <c r="AA56" s="23">
        <f t="shared" si="1"/>
        <v>0</v>
      </c>
      <c r="AB56" s="23">
        <f t="shared" si="1"/>
        <v>0</v>
      </c>
      <c r="AC56" s="23">
        <f t="shared" si="1"/>
        <v>0</v>
      </c>
      <c r="AD56" s="39">
        <v>2</v>
      </c>
      <c r="AE56" s="39">
        <v>2</v>
      </c>
      <c r="AF56" s="40"/>
    </row>
    <row r="57" spans="1:33" s="9" customFormat="1" x14ac:dyDescent="0.2">
      <c r="A57" s="10" t="s">
        <v>62</v>
      </c>
      <c r="B57" s="10" t="s">
        <v>32</v>
      </c>
      <c r="C57" s="23"/>
      <c r="D57" s="23"/>
      <c r="E57" s="23"/>
      <c r="F57" s="23"/>
      <c r="G57" s="23"/>
      <c r="H57" s="23"/>
      <c r="I57" s="23">
        <v>1485</v>
      </c>
      <c r="J57" s="23">
        <v>1485</v>
      </c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>
        <f t="shared" si="1"/>
        <v>1485</v>
      </c>
      <c r="AB57" s="23">
        <f t="shared" si="1"/>
        <v>1485</v>
      </c>
      <c r="AC57" s="23">
        <f t="shared" si="1"/>
        <v>0</v>
      </c>
      <c r="AD57" s="39"/>
      <c r="AE57" s="39"/>
      <c r="AF57" s="40"/>
    </row>
    <row r="58" spans="1:33" s="9" customFormat="1" x14ac:dyDescent="0.2">
      <c r="A58" s="10" t="s">
        <v>57</v>
      </c>
      <c r="B58" s="10" t="s">
        <v>32</v>
      </c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>
        <f t="shared" si="1"/>
        <v>0</v>
      </c>
      <c r="AB58" s="23">
        <f t="shared" si="1"/>
        <v>0</v>
      </c>
      <c r="AC58" s="23">
        <f t="shared" si="1"/>
        <v>0</v>
      </c>
      <c r="AD58" s="39"/>
      <c r="AE58" s="39"/>
      <c r="AF58" s="40"/>
    </row>
    <row r="59" spans="1:33" s="9" customFormat="1" x14ac:dyDescent="0.2">
      <c r="A59" s="10" t="s">
        <v>56</v>
      </c>
      <c r="B59" s="10" t="s">
        <v>32</v>
      </c>
      <c r="C59" s="23">
        <v>384000</v>
      </c>
      <c r="D59" s="23">
        <v>384000</v>
      </c>
      <c r="E59" s="23">
        <v>285351</v>
      </c>
      <c r="F59" s="23">
        <v>74880</v>
      </c>
      <c r="G59" s="23">
        <v>74880</v>
      </c>
      <c r="H59" s="23">
        <v>42063</v>
      </c>
      <c r="I59" s="23">
        <f>25000+20000+350000+167940+127000+100000</f>
        <v>789940</v>
      </c>
      <c r="J59" s="23">
        <f>25000+20000+350000+167940+127000+100000</f>
        <v>789940</v>
      </c>
      <c r="K59" s="23">
        <v>135601</v>
      </c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>
        <f t="shared" si="1"/>
        <v>1248820</v>
      </c>
      <c r="AB59" s="23">
        <f t="shared" si="1"/>
        <v>1248820</v>
      </c>
      <c r="AC59" s="23">
        <f t="shared" si="1"/>
        <v>463015</v>
      </c>
      <c r="AD59" s="39">
        <v>1</v>
      </c>
      <c r="AE59" s="39">
        <v>1</v>
      </c>
      <c r="AF59" s="40"/>
    </row>
    <row r="60" spans="1:33" s="9" customFormat="1" x14ac:dyDescent="0.2">
      <c r="A60" s="10" t="s">
        <v>21</v>
      </c>
      <c r="B60" s="10"/>
      <c r="C60" s="23">
        <f t="shared" ref="C60:Z60" si="2">SUM(C8:C59)</f>
        <v>29444652</v>
      </c>
      <c r="D60" s="23">
        <f t="shared" si="2"/>
        <v>28078311</v>
      </c>
      <c r="E60" s="23">
        <f t="shared" si="2"/>
        <v>22201807</v>
      </c>
      <c r="F60" s="23">
        <f t="shared" si="2"/>
        <v>5431096.3399999999</v>
      </c>
      <c r="G60" s="23">
        <f t="shared" si="2"/>
        <v>4897001.34</v>
      </c>
      <c r="H60" s="23">
        <f t="shared" si="2"/>
        <v>3420667</v>
      </c>
      <c r="I60" s="23">
        <f t="shared" si="2"/>
        <v>41491293</v>
      </c>
      <c r="J60" s="23">
        <f t="shared" si="2"/>
        <v>120820388</v>
      </c>
      <c r="K60" s="23">
        <f t="shared" si="2"/>
        <v>74508878</v>
      </c>
      <c r="L60" s="23">
        <f t="shared" si="2"/>
        <v>8010000</v>
      </c>
      <c r="M60" s="23">
        <f t="shared" si="2"/>
        <v>8010000</v>
      </c>
      <c r="N60" s="23">
        <f t="shared" si="2"/>
        <v>5308518</v>
      </c>
      <c r="O60" s="23">
        <f t="shared" si="2"/>
        <v>98322880</v>
      </c>
      <c r="P60" s="23">
        <f t="shared" si="2"/>
        <v>105323508</v>
      </c>
      <c r="Q60" s="23">
        <f t="shared" si="2"/>
        <v>104013117</v>
      </c>
      <c r="R60" s="23">
        <f t="shared" si="2"/>
        <v>400000</v>
      </c>
      <c r="S60" s="23">
        <f>SUM(S8:S59)</f>
        <v>343603692</v>
      </c>
      <c r="T60" s="23">
        <f t="shared" si="2"/>
        <v>270677493</v>
      </c>
      <c r="U60" s="23">
        <f t="shared" si="2"/>
        <v>0</v>
      </c>
      <c r="V60" s="23">
        <f t="shared" si="2"/>
        <v>6084055</v>
      </c>
      <c r="W60" s="23">
        <f t="shared" si="2"/>
        <v>6084055</v>
      </c>
      <c r="X60" s="23">
        <f t="shared" si="2"/>
        <v>1205373</v>
      </c>
      <c r="Y60" s="23">
        <f t="shared" si="2"/>
        <v>374927673</v>
      </c>
      <c r="Z60" s="23">
        <f t="shared" si="2"/>
        <v>0</v>
      </c>
      <c r="AA60" s="23">
        <f t="shared" si="1"/>
        <v>184305294.34</v>
      </c>
      <c r="AB60" s="23">
        <f t="shared" si="1"/>
        <v>991744628.34000003</v>
      </c>
      <c r="AC60" s="23">
        <f t="shared" si="1"/>
        <v>486214535</v>
      </c>
      <c r="AD60" s="39">
        <f>SUM(AD7:AD59)</f>
        <v>25</v>
      </c>
      <c r="AE60" s="39">
        <f>SUM(AE7:AE59)</f>
        <v>25</v>
      </c>
      <c r="AF60" s="40">
        <f>SUM(AF7:AF59)</f>
        <v>0</v>
      </c>
      <c r="AG60" s="38"/>
    </row>
    <row r="61" spans="1:33" s="9" customFormat="1" x14ac:dyDescent="0.2">
      <c r="A61" s="10" t="s">
        <v>50</v>
      </c>
      <c r="B61" s="10" t="s">
        <v>32</v>
      </c>
      <c r="C61" s="23">
        <f>4842144+50000</f>
        <v>4892144</v>
      </c>
      <c r="D61" s="23">
        <v>7888918</v>
      </c>
      <c r="E61" s="23">
        <v>5967440</v>
      </c>
      <c r="F61" s="23">
        <v>866415</v>
      </c>
      <c r="G61" s="23">
        <v>1337792</v>
      </c>
      <c r="H61" s="23">
        <v>1003817</v>
      </c>
      <c r="I61" s="23">
        <f>320000+1040000+380000</f>
        <v>1740000</v>
      </c>
      <c r="J61" s="23">
        <v>1740000</v>
      </c>
      <c r="K61" s="23">
        <v>1193344</v>
      </c>
      <c r="L61" s="23"/>
      <c r="M61" s="23"/>
      <c r="N61" s="23"/>
      <c r="O61" s="23"/>
      <c r="P61" s="23"/>
      <c r="Q61" s="23"/>
      <c r="R61" s="23">
        <v>175000</v>
      </c>
      <c r="S61" s="23">
        <v>175000</v>
      </c>
      <c r="T61" s="23">
        <v>44967</v>
      </c>
      <c r="U61" s="23"/>
      <c r="V61" s="23"/>
      <c r="W61" s="23"/>
      <c r="X61" s="23"/>
      <c r="Y61" s="23">
        <v>0</v>
      </c>
      <c r="Z61" s="23"/>
      <c r="AA61" s="23">
        <f t="shared" si="1"/>
        <v>7673559</v>
      </c>
      <c r="AB61" s="23">
        <f t="shared" si="1"/>
        <v>11141710</v>
      </c>
      <c r="AC61" s="23">
        <f t="shared" si="1"/>
        <v>8209568</v>
      </c>
      <c r="AD61" s="39">
        <v>1</v>
      </c>
      <c r="AE61" s="39">
        <v>1</v>
      </c>
      <c r="AF61" s="40"/>
    </row>
    <row r="62" spans="1:33" s="9" customFormat="1" x14ac:dyDescent="0.2">
      <c r="A62" s="10" t="s">
        <v>11</v>
      </c>
      <c r="B62" s="10"/>
      <c r="C62" s="23">
        <f t="shared" ref="C62:Z62" si="3">SUM(C61)</f>
        <v>4892144</v>
      </c>
      <c r="D62" s="23">
        <f t="shared" si="3"/>
        <v>7888918</v>
      </c>
      <c r="E62" s="23">
        <f t="shared" si="3"/>
        <v>5967440</v>
      </c>
      <c r="F62" s="23">
        <f t="shared" si="3"/>
        <v>866415</v>
      </c>
      <c r="G62" s="23">
        <f t="shared" si="3"/>
        <v>1337792</v>
      </c>
      <c r="H62" s="23">
        <f>SUM(H61)</f>
        <v>1003817</v>
      </c>
      <c r="I62" s="23">
        <f>SUM(I61)</f>
        <v>1740000</v>
      </c>
      <c r="J62" s="23">
        <f t="shared" si="3"/>
        <v>1740000</v>
      </c>
      <c r="K62" s="23">
        <f t="shared" si="3"/>
        <v>1193344</v>
      </c>
      <c r="L62" s="23">
        <f t="shared" si="3"/>
        <v>0</v>
      </c>
      <c r="M62" s="23">
        <f t="shared" si="3"/>
        <v>0</v>
      </c>
      <c r="N62" s="23">
        <f t="shared" si="3"/>
        <v>0</v>
      </c>
      <c r="O62" s="23">
        <f t="shared" si="3"/>
        <v>0</v>
      </c>
      <c r="P62" s="23">
        <f t="shared" si="3"/>
        <v>0</v>
      </c>
      <c r="Q62" s="23">
        <f t="shared" si="3"/>
        <v>0</v>
      </c>
      <c r="R62" s="23">
        <f t="shared" si="3"/>
        <v>175000</v>
      </c>
      <c r="S62" s="23">
        <f t="shared" si="3"/>
        <v>175000</v>
      </c>
      <c r="T62" s="23">
        <f t="shared" si="3"/>
        <v>44967</v>
      </c>
      <c r="U62" s="23">
        <f t="shared" si="3"/>
        <v>0</v>
      </c>
      <c r="V62" s="23">
        <f t="shared" si="3"/>
        <v>0</v>
      </c>
      <c r="W62" s="23">
        <f t="shared" si="3"/>
        <v>0</v>
      </c>
      <c r="X62" s="23">
        <f t="shared" si="3"/>
        <v>0</v>
      </c>
      <c r="Y62" s="23">
        <f t="shared" si="3"/>
        <v>0</v>
      </c>
      <c r="Z62" s="23">
        <f t="shared" si="3"/>
        <v>0</v>
      </c>
      <c r="AA62" s="23">
        <f t="shared" si="1"/>
        <v>7673559</v>
      </c>
      <c r="AB62" s="23">
        <f t="shared" si="1"/>
        <v>11141710</v>
      </c>
      <c r="AC62" s="23">
        <f t="shared" si="1"/>
        <v>8209568</v>
      </c>
      <c r="AD62" s="39">
        <f>SUM(AD61)</f>
        <v>1</v>
      </c>
      <c r="AE62" s="39">
        <f>SUM(AE61)</f>
        <v>1</v>
      </c>
      <c r="AF62" s="39">
        <f>SUM(AF61)</f>
        <v>0</v>
      </c>
    </row>
    <row r="63" spans="1:33" s="9" customFormat="1" x14ac:dyDescent="0.2">
      <c r="A63" s="10" t="s">
        <v>12</v>
      </c>
      <c r="B63" s="10" t="s">
        <v>32</v>
      </c>
      <c r="C63" s="23"/>
      <c r="D63" s="23"/>
      <c r="E63" s="23"/>
      <c r="F63" s="23"/>
      <c r="G63" s="23">
        <v>0</v>
      </c>
      <c r="H63" s="23">
        <v>0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>
        <f t="shared" si="1"/>
        <v>0</v>
      </c>
      <c r="AB63" s="23">
        <f t="shared" si="1"/>
        <v>0</v>
      </c>
      <c r="AC63" s="23">
        <f t="shared" si="1"/>
        <v>0</v>
      </c>
      <c r="AD63" s="39"/>
      <c r="AE63" s="39"/>
      <c r="AF63" s="40"/>
    </row>
    <row r="64" spans="1:33" x14ac:dyDescent="0.2">
      <c r="A64" s="10" t="s">
        <v>13</v>
      </c>
      <c r="B64" s="10"/>
      <c r="C64" s="23">
        <f t="shared" ref="C64:Z64" si="4">SUM(C63)</f>
        <v>0</v>
      </c>
      <c r="D64" s="23">
        <f t="shared" si="4"/>
        <v>0</v>
      </c>
      <c r="E64" s="23">
        <f t="shared" si="4"/>
        <v>0</v>
      </c>
      <c r="F64" s="23">
        <f t="shared" si="4"/>
        <v>0</v>
      </c>
      <c r="G64" s="23">
        <f t="shared" si="4"/>
        <v>0</v>
      </c>
      <c r="H64" s="23">
        <f t="shared" si="4"/>
        <v>0</v>
      </c>
      <c r="I64" s="23">
        <f t="shared" si="4"/>
        <v>0</v>
      </c>
      <c r="J64" s="23">
        <f t="shared" si="4"/>
        <v>0</v>
      </c>
      <c r="K64" s="23">
        <f t="shared" si="4"/>
        <v>0</v>
      </c>
      <c r="L64" s="23">
        <f t="shared" si="4"/>
        <v>0</v>
      </c>
      <c r="M64" s="23">
        <f t="shared" si="4"/>
        <v>0</v>
      </c>
      <c r="N64" s="23">
        <f t="shared" si="4"/>
        <v>0</v>
      </c>
      <c r="O64" s="23">
        <f t="shared" si="4"/>
        <v>0</v>
      </c>
      <c r="P64" s="23">
        <f t="shared" si="4"/>
        <v>0</v>
      </c>
      <c r="Q64" s="23">
        <f t="shared" si="4"/>
        <v>0</v>
      </c>
      <c r="R64" s="23">
        <f t="shared" si="4"/>
        <v>0</v>
      </c>
      <c r="S64" s="23">
        <f t="shared" si="4"/>
        <v>0</v>
      </c>
      <c r="T64" s="23">
        <f t="shared" si="4"/>
        <v>0</v>
      </c>
      <c r="U64" s="23">
        <f t="shared" si="4"/>
        <v>0</v>
      </c>
      <c r="V64" s="23">
        <f t="shared" si="4"/>
        <v>0</v>
      </c>
      <c r="W64" s="23">
        <f t="shared" si="4"/>
        <v>0</v>
      </c>
      <c r="X64" s="23">
        <f t="shared" si="4"/>
        <v>0</v>
      </c>
      <c r="Y64" s="23">
        <f t="shared" si="4"/>
        <v>0</v>
      </c>
      <c r="Z64" s="23">
        <f t="shared" si="4"/>
        <v>0</v>
      </c>
      <c r="AA64" s="23">
        <f t="shared" si="1"/>
        <v>0</v>
      </c>
      <c r="AB64" s="23">
        <f t="shared" si="1"/>
        <v>0</v>
      </c>
      <c r="AC64" s="23">
        <f t="shared" si="1"/>
        <v>0</v>
      </c>
      <c r="AD64" s="39"/>
      <c r="AE64" s="39"/>
      <c r="AF64" s="40"/>
      <c r="AG64" s="3"/>
    </row>
    <row r="65" spans="1:35" s="8" customFormat="1" x14ac:dyDescent="0.2">
      <c r="A65" s="7" t="s">
        <v>24</v>
      </c>
      <c r="B65" s="7"/>
      <c r="C65" s="25">
        <f t="shared" ref="C65:AF65" si="5">C60+C62+C64</f>
        <v>34336796</v>
      </c>
      <c r="D65" s="25">
        <f>D60+D62+D64</f>
        <v>35967229</v>
      </c>
      <c r="E65" s="25">
        <f t="shared" si="5"/>
        <v>28169247</v>
      </c>
      <c r="F65" s="25">
        <f t="shared" si="5"/>
        <v>6297511.3399999999</v>
      </c>
      <c r="G65" s="25">
        <f t="shared" si="5"/>
        <v>6234793.3399999999</v>
      </c>
      <c r="H65" s="25">
        <f t="shared" si="5"/>
        <v>4424484</v>
      </c>
      <c r="I65" s="25">
        <f t="shared" si="5"/>
        <v>43231293</v>
      </c>
      <c r="J65" s="25">
        <f t="shared" si="5"/>
        <v>122560388</v>
      </c>
      <c r="K65" s="25">
        <f t="shared" si="5"/>
        <v>75702222</v>
      </c>
      <c r="L65" s="25">
        <f t="shared" si="5"/>
        <v>8010000</v>
      </c>
      <c r="M65" s="25">
        <f t="shared" si="5"/>
        <v>8010000</v>
      </c>
      <c r="N65" s="25">
        <f t="shared" si="5"/>
        <v>5308518</v>
      </c>
      <c r="O65" s="25">
        <f t="shared" si="5"/>
        <v>98322880</v>
      </c>
      <c r="P65" s="25">
        <f t="shared" si="5"/>
        <v>105323508</v>
      </c>
      <c r="Q65" s="25">
        <f t="shared" si="5"/>
        <v>104013117</v>
      </c>
      <c r="R65" s="25">
        <f t="shared" si="5"/>
        <v>575000</v>
      </c>
      <c r="S65" s="25">
        <f t="shared" si="5"/>
        <v>343778692</v>
      </c>
      <c r="T65" s="25">
        <f t="shared" si="5"/>
        <v>270722460</v>
      </c>
      <c r="U65" s="25">
        <f t="shared" si="5"/>
        <v>0</v>
      </c>
      <c r="V65" s="25">
        <f t="shared" si="5"/>
        <v>6084055</v>
      </c>
      <c r="W65" s="25">
        <f t="shared" si="5"/>
        <v>6084055</v>
      </c>
      <c r="X65" s="25">
        <f t="shared" si="5"/>
        <v>1205373</v>
      </c>
      <c r="Y65" s="25">
        <f t="shared" si="5"/>
        <v>374927673</v>
      </c>
      <c r="Z65" s="25">
        <f t="shared" si="5"/>
        <v>0</v>
      </c>
      <c r="AA65" s="25">
        <f t="shared" si="5"/>
        <v>191978853.34</v>
      </c>
      <c r="AB65" s="25">
        <f>AB60+AB62+AB64</f>
        <v>1002886338.34</v>
      </c>
      <c r="AC65" s="25">
        <f>AC60+AC62+AC64</f>
        <v>494424103</v>
      </c>
      <c r="AD65" s="43">
        <f>AD60+AD62+AD64</f>
        <v>26</v>
      </c>
      <c r="AE65" s="43">
        <f>AE60+AE62+AE64</f>
        <v>26</v>
      </c>
      <c r="AF65" s="44">
        <f t="shared" si="5"/>
        <v>0</v>
      </c>
      <c r="AI65" s="35"/>
    </row>
    <row r="66" spans="1:35" s="2" customFormat="1" x14ac:dyDescent="0.2">
      <c r="A66" s="15" t="s">
        <v>58</v>
      </c>
      <c r="B66" s="7"/>
      <c r="C66" s="25"/>
      <c r="D66" s="26"/>
      <c r="E66" s="26"/>
      <c r="F66" s="26"/>
      <c r="G66" s="26"/>
      <c r="H66" s="26"/>
      <c r="I66" s="26"/>
      <c r="J66" s="26"/>
      <c r="K66" s="26"/>
      <c r="L66" s="26"/>
      <c r="M66" s="26"/>
      <c r="N66" s="23"/>
      <c r="O66" s="23"/>
      <c r="P66" s="26"/>
      <c r="Q66" s="23"/>
      <c r="R66" s="23"/>
      <c r="S66" s="26"/>
      <c r="T66" s="23"/>
      <c r="U66" s="23"/>
      <c r="V66" s="26"/>
      <c r="W66" s="26"/>
      <c r="X66" s="26"/>
      <c r="Y66" s="26"/>
      <c r="Z66" s="26"/>
      <c r="AA66" s="26"/>
      <c r="AB66" s="27">
        <f t="shared" ref="AB66:AC69" si="6">D66+G66+J66+M66+P66+S66+V66+Y66</f>
        <v>0</v>
      </c>
      <c r="AC66" s="28">
        <f t="shared" si="6"/>
        <v>0</v>
      </c>
      <c r="AD66" s="58"/>
      <c r="AE66" s="45"/>
      <c r="AF66" s="46"/>
      <c r="AG66" s="36"/>
      <c r="AH66" s="36"/>
    </row>
    <row r="67" spans="1:35" s="5" customFormat="1" x14ac:dyDescent="0.2">
      <c r="A67" s="15" t="s">
        <v>8</v>
      </c>
      <c r="B67" s="10" t="s">
        <v>32</v>
      </c>
      <c r="C67" s="23">
        <v>32098981</v>
      </c>
      <c r="D67" s="27">
        <f>32098981+12121956</f>
        <v>44220937</v>
      </c>
      <c r="E67" s="27">
        <v>30623939</v>
      </c>
      <c r="F67" s="27">
        <v>5380083</v>
      </c>
      <c r="G67" s="27">
        <f>5380083+2977410</f>
        <v>8357493</v>
      </c>
      <c r="H67" s="27">
        <v>5435985</v>
      </c>
      <c r="I67" s="27">
        <v>445936</v>
      </c>
      <c r="J67" s="27">
        <v>2409413</v>
      </c>
      <c r="K67" s="27">
        <v>1595795</v>
      </c>
      <c r="L67" s="27"/>
      <c r="M67" s="27"/>
      <c r="N67" s="27"/>
      <c r="O67" s="27"/>
      <c r="P67" s="27">
        <v>0</v>
      </c>
      <c r="Q67" s="27"/>
      <c r="R67" s="27"/>
      <c r="S67" s="27">
        <v>0</v>
      </c>
      <c r="T67" s="27">
        <v>0</v>
      </c>
      <c r="U67" s="27"/>
      <c r="V67" s="27"/>
      <c r="W67" s="27"/>
      <c r="X67" s="27"/>
      <c r="Y67" s="27">
        <v>0</v>
      </c>
      <c r="Z67" s="27"/>
      <c r="AA67" s="27">
        <f>C67+F67+I67+L67+O67+R67+U67+X67</f>
        <v>37925000</v>
      </c>
      <c r="AB67" s="27">
        <f t="shared" si="6"/>
        <v>54987843</v>
      </c>
      <c r="AC67" s="27">
        <f t="shared" si="6"/>
        <v>37655719</v>
      </c>
      <c r="AD67" s="45">
        <v>6.5</v>
      </c>
      <c r="AE67" s="45">
        <v>6.5</v>
      </c>
      <c r="AF67" s="46"/>
    </row>
    <row r="68" spans="1:35" s="5" customFormat="1" x14ac:dyDescent="0.2">
      <c r="A68" s="15" t="s">
        <v>87</v>
      </c>
      <c r="B68" s="10" t="s">
        <v>32</v>
      </c>
      <c r="C68" s="23"/>
      <c r="D68" s="27">
        <v>0</v>
      </c>
      <c r="E68" s="27"/>
      <c r="F68" s="27"/>
      <c r="G68" s="27">
        <v>0</v>
      </c>
      <c r="H68" s="27"/>
      <c r="I68" s="27"/>
      <c r="J68" s="27">
        <v>0</v>
      </c>
      <c r="K68" s="27"/>
      <c r="L68" s="27"/>
      <c r="M68" s="27"/>
      <c r="N68" s="27"/>
      <c r="O68" s="27"/>
      <c r="P68" s="27"/>
      <c r="Q68" s="27"/>
      <c r="R68" s="27"/>
      <c r="S68" s="27"/>
      <c r="T68" s="27"/>
      <c r="U68" s="27"/>
      <c r="V68" s="27"/>
      <c r="W68" s="27"/>
      <c r="X68" s="27"/>
      <c r="Y68" s="27"/>
      <c r="Z68" s="27"/>
      <c r="AA68" s="27"/>
      <c r="AB68" s="27">
        <f t="shared" si="6"/>
        <v>0</v>
      </c>
      <c r="AC68" s="27">
        <f t="shared" si="6"/>
        <v>0</v>
      </c>
      <c r="AD68" s="45"/>
      <c r="AE68" s="45"/>
      <c r="AF68" s="46"/>
    </row>
    <row r="69" spans="1:35" s="8" customFormat="1" x14ac:dyDescent="0.2">
      <c r="A69" s="7" t="s">
        <v>35</v>
      </c>
      <c r="B69" s="7"/>
      <c r="C69" s="26">
        <f>SUM(C67:C68)</f>
        <v>32098981</v>
      </c>
      <c r="D69" s="26">
        <f t="shared" ref="D69:Z69" si="7">SUM(D67:D68)</f>
        <v>44220937</v>
      </c>
      <c r="E69" s="26">
        <f t="shared" si="7"/>
        <v>30623939</v>
      </c>
      <c r="F69" s="26">
        <f t="shared" si="7"/>
        <v>5380083</v>
      </c>
      <c r="G69" s="26">
        <f t="shared" si="7"/>
        <v>8357493</v>
      </c>
      <c r="H69" s="26">
        <f t="shared" si="7"/>
        <v>5435985</v>
      </c>
      <c r="I69" s="26">
        <f t="shared" si="7"/>
        <v>445936</v>
      </c>
      <c r="J69" s="26">
        <f t="shared" si="7"/>
        <v>2409413</v>
      </c>
      <c r="K69" s="26">
        <f t="shared" si="7"/>
        <v>1595795</v>
      </c>
      <c r="L69" s="26">
        <f t="shared" si="7"/>
        <v>0</v>
      </c>
      <c r="M69" s="26">
        <f t="shared" si="7"/>
        <v>0</v>
      </c>
      <c r="N69" s="26">
        <f t="shared" si="7"/>
        <v>0</v>
      </c>
      <c r="O69" s="26">
        <f t="shared" si="7"/>
        <v>0</v>
      </c>
      <c r="P69" s="26">
        <f t="shared" si="7"/>
        <v>0</v>
      </c>
      <c r="Q69" s="26">
        <f t="shared" si="7"/>
        <v>0</v>
      </c>
      <c r="R69" s="26">
        <f t="shared" si="7"/>
        <v>0</v>
      </c>
      <c r="S69" s="26">
        <f t="shared" si="7"/>
        <v>0</v>
      </c>
      <c r="T69" s="26">
        <f t="shared" si="7"/>
        <v>0</v>
      </c>
      <c r="U69" s="26">
        <f t="shared" si="7"/>
        <v>0</v>
      </c>
      <c r="V69" s="26">
        <f t="shared" si="7"/>
        <v>0</v>
      </c>
      <c r="W69" s="26">
        <f t="shared" si="7"/>
        <v>0</v>
      </c>
      <c r="X69" s="26">
        <f t="shared" si="7"/>
        <v>0</v>
      </c>
      <c r="Y69" s="26">
        <f t="shared" si="7"/>
        <v>0</v>
      </c>
      <c r="Z69" s="26">
        <f t="shared" si="7"/>
        <v>0</v>
      </c>
      <c r="AA69" s="28">
        <f>C69+F69+I69+L69+O69+R69+U69+X69</f>
        <v>37925000</v>
      </c>
      <c r="AB69" s="28">
        <f t="shared" si="6"/>
        <v>54987843</v>
      </c>
      <c r="AC69" s="28">
        <f t="shared" si="6"/>
        <v>37655719</v>
      </c>
      <c r="AD69" s="47">
        <f>SUM(AD66:AD67)</f>
        <v>6.5</v>
      </c>
      <c r="AE69" s="47">
        <f>SUM(AE66:AE67)</f>
        <v>6.5</v>
      </c>
      <c r="AF69" s="48">
        <f>SUM(AF66:AF67)</f>
        <v>0</v>
      </c>
    </row>
    <row r="70" spans="1:35" s="1" customFormat="1" x14ac:dyDescent="0.2">
      <c r="A70" s="16" t="s">
        <v>59</v>
      </c>
      <c r="B70" s="16"/>
      <c r="C70" s="29">
        <f>C65+C69</f>
        <v>66435777</v>
      </c>
      <c r="D70" s="29">
        <f t="shared" ref="D70:AF70" si="8">D65+D69</f>
        <v>80188166</v>
      </c>
      <c r="E70" s="29">
        <f t="shared" si="8"/>
        <v>58793186</v>
      </c>
      <c r="F70" s="29">
        <f t="shared" si="8"/>
        <v>11677594.34</v>
      </c>
      <c r="G70" s="29">
        <f t="shared" si="8"/>
        <v>14592286.34</v>
      </c>
      <c r="H70" s="29">
        <f t="shared" si="8"/>
        <v>9860469</v>
      </c>
      <c r="I70" s="29">
        <f t="shared" si="8"/>
        <v>43677229</v>
      </c>
      <c r="J70" s="29">
        <f t="shared" si="8"/>
        <v>124969801</v>
      </c>
      <c r="K70" s="29">
        <f t="shared" si="8"/>
        <v>77298017</v>
      </c>
      <c r="L70" s="29">
        <f t="shared" si="8"/>
        <v>8010000</v>
      </c>
      <c r="M70" s="29">
        <f t="shared" si="8"/>
        <v>8010000</v>
      </c>
      <c r="N70" s="29">
        <f t="shared" si="8"/>
        <v>5308518</v>
      </c>
      <c r="O70" s="29">
        <f t="shared" si="8"/>
        <v>98322880</v>
      </c>
      <c r="P70" s="29">
        <f t="shared" si="8"/>
        <v>105323508</v>
      </c>
      <c r="Q70" s="29">
        <f t="shared" si="8"/>
        <v>104013117</v>
      </c>
      <c r="R70" s="29">
        <f t="shared" si="8"/>
        <v>575000</v>
      </c>
      <c r="S70" s="29">
        <f t="shared" si="8"/>
        <v>343778692</v>
      </c>
      <c r="T70" s="29">
        <f t="shared" si="8"/>
        <v>270722460</v>
      </c>
      <c r="U70" s="29">
        <f t="shared" si="8"/>
        <v>0</v>
      </c>
      <c r="V70" s="29">
        <f t="shared" si="8"/>
        <v>6084055</v>
      </c>
      <c r="W70" s="29">
        <f t="shared" si="8"/>
        <v>6084055</v>
      </c>
      <c r="X70" s="29">
        <f t="shared" si="8"/>
        <v>1205373</v>
      </c>
      <c r="Y70" s="29">
        <f t="shared" si="8"/>
        <v>374927673</v>
      </c>
      <c r="Z70" s="29">
        <f t="shared" si="8"/>
        <v>0</v>
      </c>
      <c r="AA70" s="29">
        <f>AA65+AA69</f>
        <v>229903853.34</v>
      </c>
      <c r="AB70" s="29">
        <f t="shared" si="8"/>
        <v>1057874181.34</v>
      </c>
      <c r="AC70" s="29">
        <f t="shared" si="8"/>
        <v>532079822</v>
      </c>
      <c r="AD70" s="49">
        <f t="shared" si="8"/>
        <v>32.5</v>
      </c>
      <c r="AE70" s="49">
        <f t="shared" si="8"/>
        <v>32.5</v>
      </c>
      <c r="AF70" s="50">
        <f t="shared" si="8"/>
        <v>0</v>
      </c>
    </row>
    <row r="71" spans="1:35" x14ac:dyDescent="0.2">
      <c r="A71" s="15" t="s">
        <v>28</v>
      </c>
      <c r="B71" s="15"/>
      <c r="C71" s="27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8"/>
      <c r="AD71" s="58"/>
      <c r="AE71" s="39"/>
      <c r="AF71" s="40"/>
    </row>
    <row r="72" spans="1:35" x14ac:dyDescent="0.2">
      <c r="A72" s="15" t="s">
        <v>36</v>
      </c>
      <c r="B72" s="15"/>
      <c r="C72" s="27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8"/>
      <c r="AD72" s="58"/>
      <c r="AE72" s="39"/>
      <c r="AF72" s="40"/>
    </row>
    <row r="73" spans="1:35" s="4" customFormat="1" ht="17.25" x14ac:dyDescent="0.4">
      <c r="A73" s="16" t="s">
        <v>59</v>
      </c>
      <c r="B73" s="16"/>
      <c r="C73" s="30">
        <f t="shared" ref="C73:Z73" si="9">C70+C71</f>
        <v>66435777</v>
      </c>
      <c r="D73" s="30">
        <f t="shared" si="9"/>
        <v>80188166</v>
      </c>
      <c r="E73" s="30">
        <f t="shared" si="9"/>
        <v>58793186</v>
      </c>
      <c r="F73" s="30">
        <f t="shared" si="9"/>
        <v>11677594.34</v>
      </c>
      <c r="G73" s="30">
        <f t="shared" si="9"/>
        <v>14592286.34</v>
      </c>
      <c r="H73" s="30">
        <f t="shared" si="9"/>
        <v>9860469</v>
      </c>
      <c r="I73" s="30">
        <f t="shared" si="9"/>
        <v>43677229</v>
      </c>
      <c r="J73" s="30">
        <f t="shared" si="9"/>
        <v>124969801</v>
      </c>
      <c r="K73" s="30">
        <f t="shared" si="9"/>
        <v>77298017</v>
      </c>
      <c r="L73" s="30">
        <f t="shared" si="9"/>
        <v>8010000</v>
      </c>
      <c r="M73" s="30">
        <f t="shared" si="9"/>
        <v>8010000</v>
      </c>
      <c r="N73" s="30">
        <f t="shared" si="9"/>
        <v>5308518</v>
      </c>
      <c r="O73" s="30">
        <f t="shared" si="9"/>
        <v>98322880</v>
      </c>
      <c r="P73" s="30">
        <f t="shared" si="9"/>
        <v>105323508</v>
      </c>
      <c r="Q73" s="30">
        <f t="shared" si="9"/>
        <v>104013117</v>
      </c>
      <c r="R73" s="30">
        <f t="shared" si="9"/>
        <v>575000</v>
      </c>
      <c r="S73" s="30">
        <f t="shared" si="9"/>
        <v>343778692</v>
      </c>
      <c r="T73" s="30">
        <f t="shared" si="9"/>
        <v>270722460</v>
      </c>
      <c r="U73" s="30">
        <f t="shared" si="9"/>
        <v>0</v>
      </c>
      <c r="V73" s="30">
        <f t="shared" si="9"/>
        <v>6084055</v>
      </c>
      <c r="W73" s="30">
        <f t="shared" si="9"/>
        <v>6084055</v>
      </c>
      <c r="X73" s="30">
        <f t="shared" si="9"/>
        <v>1205373</v>
      </c>
      <c r="Y73" s="30">
        <f t="shared" si="9"/>
        <v>374927673</v>
      </c>
      <c r="Z73" s="30">
        <f t="shared" si="9"/>
        <v>0</v>
      </c>
      <c r="AA73" s="30">
        <f t="shared" ref="AA73:AF73" si="10">AA70+AA71+AA72</f>
        <v>229903853.34</v>
      </c>
      <c r="AB73" s="30">
        <f t="shared" si="10"/>
        <v>1057874181.34</v>
      </c>
      <c r="AC73" s="30">
        <f t="shared" si="10"/>
        <v>532079822</v>
      </c>
      <c r="AD73" s="51">
        <f t="shared" si="10"/>
        <v>32.5</v>
      </c>
      <c r="AE73" s="51">
        <f t="shared" si="10"/>
        <v>32.5</v>
      </c>
      <c r="AF73" s="52">
        <f t="shared" si="10"/>
        <v>0</v>
      </c>
    </row>
  </sheetData>
  <mergeCells count="10">
    <mergeCell ref="U4:W4"/>
    <mergeCell ref="Y4:Z4"/>
    <mergeCell ref="AB4:AC4"/>
    <mergeCell ref="AD4:AF4"/>
    <mergeCell ref="C4:E4"/>
    <mergeCell ref="F4:H4"/>
    <mergeCell ref="J4:K4"/>
    <mergeCell ref="M4:N4"/>
    <mergeCell ref="O4:Q4"/>
    <mergeCell ref="S4:T4"/>
  </mergeCells>
  <pageMargins left="0" right="0" top="0" bottom="0" header="0.27559055118110237" footer="0.35433070866141736"/>
  <pageSetup paperSize="8" scale="39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73"/>
  <sheetViews>
    <sheetView tabSelected="1" workbookViewId="0">
      <pane xSplit="1" ySplit="1" topLeftCell="B50" activePane="bottomRight" state="frozen"/>
      <selection pane="topRight" activeCell="B1" sqref="B1"/>
      <selection pane="bottomLeft" activeCell="A2" sqref="A2"/>
      <selection pane="bottomRight" activeCell="I48" sqref="I48"/>
    </sheetView>
  </sheetViews>
  <sheetFormatPr defaultRowHeight="12.75" x14ac:dyDescent="0.2"/>
  <cols>
    <col min="1" max="1" width="53.85546875" customWidth="1"/>
    <col min="2" max="3" width="11.85546875" customWidth="1"/>
    <col min="4" max="9" width="11.5703125" style="21" customWidth="1"/>
    <col min="10" max="10" width="12.7109375" style="21" customWidth="1"/>
    <col min="11" max="12" width="11.5703125" style="21" customWidth="1"/>
    <col min="13" max="13" width="10.5703125" style="21" customWidth="1"/>
    <col min="14" max="14" width="10.42578125" style="21" customWidth="1"/>
    <col min="15" max="15" width="11" style="21" customWidth="1"/>
    <col min="16" max="16" width="13.28515625" style="21" customWidth="1"/>
    <col min="17" max="17" width="13.42578125" style="21" customWidth="1"/>
    <col min="18" max="18" width="11.7109375" style="21" customWidth="1"/>
    <col min="19" max="19" width="12.28515625" style="21" customWidth="1"/>
    <col min="20" max="21" width="12.5703125" style="21" customWidth="1"/>
    <col min="22" max="22" width="12.42578125" style="21" customWidth="1"/>
    <col min="23" max="24" width="12.5703125" style="21" customWidth="1"/>
    <col min="25" max="25" width="12.28515625" style="21" customWidth="1"/>
    <col min="26" max="26" width="10.140625" style="21" customWidth="1"/>
    <col min="27" max="27" width="13.28515625" style="21" customWidth="1"/>
    <col min="28" max="28" width="14.140625" style="21" customWidth="1"/>
    <col min="29" max="29" width="12.28515625" style="21" customWidth="1"/>
    <col min="30" max="30" width="12.28515625" style="55" customWidth="1"/>
    <col min="31" max="31" width="10.140625" style="20" customWidth="1"/>
    <col min="32" max="32" width="7.85546875" style="33" customWidth="1"/>
    <col min="33" max="33" width="10.5703125" bestFit="1" customWidth="1"/>
    <col min="34" max="35" width="11.28515625" bestFit="1" customWidth="1"/>
  </cols>
  <sheetData>
    <row r="1" spans="1:33" s="9" customFormat="1" x14ac:dyDescent="0.2">
      <c r="A1" s="9" t="s">
        <v>86</v>
      </c>
      <c r="D1" s="21"/>
      <c r="E1" s="21"/>
      <c r="F1" s="21"/>
      <c r="G1" s="21"/>
      <c r="H1" s="21"/>
      <c r="I1" s="21"/>
      <c r="J1" s="21" t="s">
        <v>27</v>
      </c>
      <c r="K1" s="21"/>
      <c r="L1" s="21"/>
      <c r="M1" s="21"/>
      <c r="N1" s="21"/>
      <c r="O1" s="21"/>
      <c r="P1" s="21"/>
      <c r="Q1" s="21"/>
      <c r="R1" s="21"/>
      <c r="S1" s="21"/>
      <c r="T1" s="21"/>
      <c r="U1" s="21"/>
      <c r="V1" s="21"/>
      <c r="W1" s="21"/>
      <c r="X1" s="21"/>
      <c r="Y1" s="21"/>
      <c r="Z1" s="21"/>
      <c r="AA1" s="21"/>
      <c r="AB1" s="21"/>
      <c r="AC1" s="21"/>
      <c r="AD1" s="55"/>
      <c r="AE1" s="17"/>
      <c r="AF1" s="31"/>
    </row>
    <row r="2" spans="1:33" s="9" customFormat="1" x14ac:dyDescent="0.2">
      <c r="D2" s="21"/>
      <c r="E2" s="21"/>
      <c r="F2" s="21"/>
      <c r="G2" s="21"/>
      <c r="H2" s="21"/>
      <c r="I2" s="21"/>
      <c r="J2" s="21" t="s">
        <v>100</v>
      </c>
      <c r="K2" s="21"/>
      <c r="L2" s="21"/>
      <c r="M2" s="21"/>
      <c r="N2" s="21"/>
      <c r="O2" s="21"/>
      <c r="P2" s="21"/>
      <c r="Q2" s="21"/>
      <c r="R2" s="21"/>
      <c r="S2" s="21"/>
      <c r="T2" s="21"/>
      <c r="U2" s="21"/>
      <c r="V2" s="21"/>
      <c r="W2" s="21"/>
      <c r="X2" s="21"/>
      <c r="Y2" s="21"/>
      <c r="Z2" s="21"/>
      <c r="AA2" s="21"/>
      <c r="AB2" s="21"/>
      <c r="AC2" s="21"/>
      <c r="AD2" s="55"/>
      <c r="AE2" s="17"/>
      <c r="AF2" s="31"/>
    </row>
    <row r="3" spans="1:33" s="9" customFormat="1" x14ac:dyDescent="0.2">
      <c r="D3" s="21"/>
      <c r="E3" s="21"/>
      <c r="F3" s="21"/>
      <c r="G3" s="21"/>
      <c r="H3" s="21"/>
      <c r="I3" s="21"/>
      <c r="J3" s="21" t="s">
        <v>65</v>
      </c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55"/>
      <c r="AE3" s="17"/>
      <c r="AF3" s="31"/>
    </row>
    <row r="4" spans="1:33" s="9" customFormat="1" x14ac:dyDescent="0.2">
      <c r="A4" s="10" t="s">
        <v>0</v>
      </c>
      <c r="B4" s="11"/>
      <c r="C4" s="64" t="s">
        <v>91</v>
      </c>
      <c r="D4" s="65"/>
      <c r="E4" s="66"/>
      <c r="F4" s="64" t="s">
        <v>2</v>
      </c>
      <c r="G4" s="65"/>
      <c r="H4" s="66"/>
      <c r="I4" s="11" t="s">
        <v>3</v>
      </c>
      <c r="J4" s="60"/>
      <c r="K4" s="61"/>
      <c r="L4" s="11" t="s">
        <v>4</v>
      </c>
      <c r="M4" s="60"/>
      <c r="N4" s="61"/>
      <c r="O4" s="64" t="s">
        <v>25</v>
      </c>
      <c r="P4" s="65"/>
      <c r="Q4" s="66"/>
      <c r="R4" s="11" t="s">
        <v>10</v>
      </c>
      <c r="S4" s="60"/>
      <c r="T4" s="61"/>
      <c r="U4" s="64" t="s">
        <v>26</v>
      </c>
      <c r="V4" s="65"/>
      <c r="W4" s="66"/>
      <c r="X4" s="11" t="s">
        <v>6</v>
      </c>
      <c r="Y4" s="60"/>
      <c r="Z4" s="61"/>
      <c r="AA4" s="11" t="s">
        <v>9</v>
      </c>
      <c r="AB4" s="60"/>
      <c r="AC4" s="61"/>
      <c r="AD4" s="67" t="s">
        <v>92</v>
      </c>
      <c r="AE4" s="65"/>
      <c r="AF4" s="66"/>
    </row>
    <row r="5" spans="1:33" s="54" customFormat="1" x14ac:dyDescent="0.2">
      <c r="A5" s="10"/>
      <c r="B5" s="10"/>
      <c r="C5" s="10"/>
      <c r="D5" s="22"/>
      <c r="E5" s="22"/>
      <c r="F5" s="10"/>
      <c r="G5" s="22"/>
      <c r="H5" s="22"/>
      <c r="I5" s="10"/>
      <c r="J5" s="22"/>
      <c r="K5" s="22"/>
      <c r="L5" s="10"/>
      <c r="M5" s="22"/>
      <c r="N5" s="22"/>
      <c r="O5" s="10"/>
      <c r="P5" s="22"/>
      <c r="Q5" s="22"/>
      <c r="R5" s="10"/>
      <c r="S5" s="22"/>
      <c r="T5" s="22"/>
      <c r="U5" s="10"/>
      <c r="V5" s="22"/>
      <c r="W5" s="22"/>
      <c r="X5" s="10"/>
      <c r="Y5" s="22"/>
      <c r="Z5" s="22"/>
      <c r="AA5" s="10"/>
      <c r="AB5" s="22"/>
      <c r="AC5" s="22"/>
      <c r="AD5" s="39"/>
      <c r="AE5" s="19"/>
      <c r="AF5" s="32"/>
      <c r="AG5" s="53"/>
    </row>
    <row r="6" spans="1:33" s="37" customFormat="1" ht="28.5" customHeight="1" x14ac:dyDescent="0.2">
      <c r="A6" s="13"/>
      <c r="B6" s="13"/>
      <c r="C6" s="34" t="s">
        <v>85</v>
      </c>
      <c r="D6" s="24" t="s">
        <v>89</v>
      </c>
      <c r="E6" s="24" t="s">
        <v>90</v>
      </c>
      <c r="F6" s="34" t="s">
        <v>85</v>
      </c>
      <c r="G6" s="24" t="s">
        <v>89</v>
      </c>
      <c r="H6" s="24" t="s">
        <v>90</v>
      </c>
      <c r="I6" s="34" t="s">
        <v>85</v>
      </c>
      <c r="J6" s="24" t="s">
        <v>89</v>
      </c>
      <c r="K6" s="24" t="s">
        <v>90</v>
      </c>
      <c r="L6" s="34" t="s">
        <v>85</v>
      </c>
      <c r="M6" s="24" t="s">
        <v>89</v>
      </c>
      <c r="N6" s="24" t="s">
        <v>90</v>
      </c>
      <c r="O6" s="34" t="s">
        <v>85</v>
      </c>
      <c r="P6" s="24" t="s">
        <v>89</v>
      </c>
      <c r="Q6" s="24" t="s">
        <v>90</v>
      </c>
      <c r="R6" s="34" t="s">
        <v>85</v>
      </c>
      <c r="S6" s="24" t="s">
        <v>89</v>
      </c>
      <c r="T6" s="24" t="s">
        <v>90</v>
      </c>
      <c r="U6" s="34" t="s">
        <v>85</v>
      </c>
      <c r="V6" s="24" t="s">
        <v>89</v>
      </c>
      <c r="W6" s="24" t="s">
        <v>90</v>
      </c>
      <c r="X6" s="34" t="s">
        <v>85</v>
      </c>
      <c r="Y6" s="24" t="s">
        <v>89</v>
      </c>
      <c r="Z6" s="24" t="s">
        <v>90</v>
      </c>
      <c r="AA6" s="34" t="s">
        <v>85</v>
      </c>
      <c r="AB6" s="24" t="s">
        <v>89</v>
      </c>
      <c r="AC6" s="24" t="s">
        <v>90</v>
      </c>
      <c r="AD6" s="34" t="s">
        <v>85</v>
      </c>
      <c r="AE6" s="24" t="s">
        <v>89</v>
      </c>
      <c r="AF6" s="24" t="s">
        <v>90</v>
      </c>
    </row>
    <row r="7" spans="1:33" s="9" customFormat="1" x14ac:dyDescent="0.2">
      <c r="A7" s="10" t="s">
        <v>23</v>
      </c>
      <c r="B7" s="12" t="s">
        <v>31</v>
      </c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>
        <f t="shared" ref="AA7:AC38" si="0">C7+F7+I7+L7+O7+R7+U7+X7</f>
        <v>0</v>
      </c>
      <c r="AB7" s="23"/>
      <c r="AC7" s="23"/>
      <c r="AD7" s="39"/>
      <c r="AE7" s="39"/>
      <c r="AF7" s="40"/>
    </row>
    <row r="8" spans="1:33" s="9" customFormat="1" x14ac:dyDescent="0.2">
      <c r="A8" s="10" t="s">
        <v>29</v>
      </c>
      <c r="B8" s="10" t="s">
        <v>32</v>
      </c>
      <c r="C8" s="23">
        <v>2527200</v>
      </c>
      <c r="D8" s="23">
        <f>2527200+22669</f>
        <v>2549869</v>
      </c>
      <c r="E8" s="23">
        <v>2817105</v>
      </c>
      <c r="F8" s="23">
        <v>442260</v>
      </c>
      <c r="G8" s="23">
        <v>442260</v>
      </c>
      <c r="H8" s="23">
        <v>474225</v>
      </c>
      <c r="I8" s="23">
        <f>447000+601290+1780000</f>
        <v>2828290</v>
      </c>
      <c r="J8" s="23">
        <f>447000+601290+1780000+100000</f>
        <v>2928290</v>
      </c>
      <c r="K8" s="23">
        <v>742666</v>
      </c>
      <c r="L8" s="23"/>
      <c r="M8" s="23"/>
      <c r="N8" s="23"/>
      <c r="O8" s="23"/>
      <c r="P8" s="23"/>
      <c r="Q8" s="23"/>
      <c r="R8" s="23"/>
      <c r="S8" s="23"/>
      <c r="T8" s="23">
        <v>24000</v>
      </c>
      <c r="U8" s="23"/>
      <c r="V8" s="23"/>
      <c r="W8" s="23"/>
      <c r="X8" s="23"/>
      <c r="Y8" s="23"/>
      <c r="Z8" s="23"/>
      <c r="AA8" s="23">
        <f t="shared" si="0"/>
        <v>5797750</v>
      </c>
      <c r="AB8" s="23">
        <f t="shared" si="0"/>
        <v>5920419</v>
      </c>
      <c r="AC8" s="23">
        <f t="shared" si="0"/>
        <v>4057996</v>
      </c>
      <c r="AD8" s="39">
        <v>1</v>
      </c>
      <c r="AE8" s="39">
        <v>1</v>
      </c>
      <c r="AF8" s="40">
        <v>1</v>
      </c>
    </row>
    <row r="9" spans="1:33" s="9" customFormat="1" x14ac:dyDescent="0.2">
      <c r="A9" s="10" t="s">
        <v>30</v>
      </c>
      <c r="B9" s="10" t="s">
        <v>32</v>
      </c>
      <c r="C9" s="23"/>
      <c r="D9" s="23"/>
      <c r="E9" s="23"/>
      <c r="F9" s="23"/>
      <c r="G9" s="23"/>
      <c r="H9" s="23"/>
      <c r="I9" s="23">
        <v>1941000</v>
      </c>
      <c r="J9" s="23">
        <v>1941000</v>
      </c>
      <c r="K9" s="23">
        <v>495800</v>
      </c>
      <c r="L9" s="23"/>
      <c r="M9" s="23"/>
      <c r="N9" s="23"/>
      <c r="O9" s="23"/>
      <c r="P9" s="23"/>
      <c r="Q9" s="23"/>
      <c r="R9" s="23"/>
      <c r="S9" s="23">
        <v>50253000</v>
      </c>
      <c r="T9" s="23">
        <v>118500</v>
      </c>
      <c r="U9" s="23"/>
      <c r="V9" s="23"/>
      <c r="W9" s="23"/>
      <c r="X9" s="23"/>
      <c r="Y9" s="23"/>
      <c r="Z9" s="23"/>
      <c r="AA9" s="23">
        <f t="shared" si="0"/>
        <v>1941000</v>
      </c>
      <c r="AB9" s="23">
        <f t="shared" si="0"/>
        <v>52194000</v>
      </c>
      <c r="AC9" s="23">
        <f t="shared" si="0"/>
        <v>614300</v>
      </c>
      <c r="AD9" s="39"/>
      <c r="AE9" s="39"/>
      <c r="AF9" s="40"/>
    </row>
    <row r="10" spans="1:33" s="9" customFormat="1" x14ac:dyDescent="0.2">
      <c r="A10" s="10" t="s">
        <v>72</v>
      </c>
      <c r="B10" s="10" t="s">
        <v>32</v>
      </c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>
        <f>44469347+10749252</f>
        <v>55218599</v>
      </c>
      <c r="T10" s="23"/>
      <c r="U10" s="23"/>
      <c r="V10" s="23"/>
      <c r="W10" s="23"/>
      <c r="X10" s="23"/>
      <c r="Y10" s="23"/>
      <c r="Z10" s="23"/>
      <c r="AA10" s="23">
        <f t="shared" si="0"/>
        <v>0</v>
      </c>
      <c r="AB10" s="23">
        <f t="shared" si="0"/>
        <v>55218599</v>
      </c>
      <c r="AC10" s="23">
        <f t="shared" si="0"/>
        <v>0</v>
      </c>
      <c r="AD10" s="39"/>
      <c r="AE10" s="39"/>
      <c r="AF10" s="40"/>
    </row>
    <row r="11" spans="1:33" s="9" customFormat="1" x14ac:dyDescent="0.2">
      <c r="A11" s="10" t="s">
        <v>88</v>
      </c>
      <c r="B11" s="10" t="s">
        <v>32</v>
      </c>
      <c r="C11" s="23"/>
      <c r="D11" s="23"/>
      <c r="E11" s="23"/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>
        <f t="shared" si="0"/>
        <v>0</v>
      </c>
      <c r="AB11" s="23">
        <f t="shared" si="0"/>
        <v>0</v>
      </c>
      <c r="AC11" s="23">
        <f t="shared" si="0"/>
        <v>0</v>
      </c>
      <c r="AD11" s="39"/>
      <c r="AE11" s="39"/>
      <c r="AF11" s="40"/>
    </row>
    <row r="12" spans="1:33" s="9" customFormat="1" x14ac:dyDescent="0.2">
      <c r="A12" s="10" t="s">
        <v>64</v>
      </c>
      <c r="B12" s="10" t="s">
        <v>32</v>
      </c>
      <c r="C12" s="23"/>
      <c r="D12" s="23"/>
      <c r="E12" s="23"/>
      <c r="F12" s="23"/>
      <c r="G12" s="23"/>
      <c r="H12" s="23"/>
      <c r="I12" s="23"/>
      <c r="J12" s="23">
        <v>551</v>
      </c>
      <c r="K12" s="23">
        <v>14551</v>
      </c>
      <c r="L12" s="23"/>
      <c r="M12" s="23"/>
      <c r="N12" s="23"/>
      <c r="O12" s="23"/>
      <c r="P12" s="23"/>
      <c r="Q12" s="23"/>
      <c r="R12" s="23"/>
      <c r="S12" s="23">
        <v>270000</v>
      </c>
      <c r="T12" s="23">
        <v>270000</v>
      </c>
      <c r="U12" s="23"/>
      <c r="V12" s="23"/>
      <c r="W12" s="23"/>
      <c r="X12" s="23"/>
      <c r="Y12" s="23"/>
      <c r="Z12" s="23"/>
      <c r="AA12" s="23">
        <f t="shared" si="0"/>
        <v>0</v>
      </c>
      <c r="AB12" s="23">
        <f t="shared" si="0"/>
        <v>270551</v>
      </c>
      <c r="AC12" s="23">
        <f t="shared" si="0"/>
        <v>284551</v>
      </c>
      <c r="AD12" s="39"/>
      <c r="AE12" s="39"/>
      <c r="AF12" s="40"/>
    </row>
    <row r="13" spans="1:33" s="9" customFormat="1" x14ac:dyDescent="0.2">
      <c r="A13" s="10" t="s">
        <v>37</v>
      </c>
      <c r="B13" s="10" t="s">
        <v>32</v>
      </c>
      <c r="C13" s="23"/>
      <c r="D13" s="23"/>
      <c r="E13" s="23"/>
      <c r="F13" s="23"/>
      <c r="G13" s="23"/>
      <c r="H13" s="23"/>
      <c r="I13" s="23">
        <v>216000</v>
      </c>
      <c r="J13" s="23">
        <v>552290</v>
      </c>
      <c r="K13" s="23">
        <v>879862</v>
      </c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>
        <f t="shared" si="0"/>
        <v>216000</v>
      </c>
      <c r="AB13" s="23">
        <f t="shared" si="0"/>
        <v>552290</v>
      </c>
      <c r="AC13" s="23">
        <f t="shared" si="0"/>
        <v>879862</v>
      </c>
      <c r="AD13" s="39"/>
      <c r="AE13" s="39"/>
      <c r="AF13" s="40"/>
    </row>
    <row r="14" spans="1:33" s="9" customFormat="1" x14ac:dyDescent="0.2">
      <c r="A14" s="10" t="s">
        <v>38</v>
      </c>
      <c r="B14" s="10" t="s">
        <v>32</v>
      </c>
      <c r="C14" s="23"/>
      <c r="D14" s="23"/>
      <c r="E14" s="23"/>
      <c r="F14" s="23"/>
      <c r="G14" s="23"/>
      <c r="H14" s="23"/>
      <c r="I14" s="23">
        <v>206000</v>
      </c>
      <c r="J14" s="23">
        <v>206000</v>
      </c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>
        <f t="shared" si="0"/>
        <v>206000</v>
      </c>
      <c r="AB14" s="23">
        <f t="shared" si="0"/>
        <v>206000</v>
      </c>
      <c r="AC14" s="23">
        <f t="shared" si="0"/>
        <v>0</v>
      </c>
      <c r="AD14" s="39"/>
      <c r="AE14" s="39"/>
      <c r="AF14" s="40"/>
    </row>
    <row r="15" spans="1:33" s="9" customFormat="1" x14ac:dyDescent="0.2">
      <c r="A15" s="10" t="s">
        <v>66</v>
      </c>
      <c r="B15" s="10" t="s">
        <v>32</v>
      </c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>
        <f t="shared" si="0"/>
        <v>0</v>
      </c>
      <c r="AB15" s="23">
        <f t="shared" si="0"/>
        <v>0</v>
      </c>
      <c r="AC15" s="23">
        <f t="shared" si="0"/>
        <v>0</v>
      </c>
      <c r="AD15" s="39"/>
      <c r="AE15" s="39"/>
      <c r="AF15" s="40"/>
    </row>
    <row r="16" spans="1:33" s="9" customFormat="1" x14ac:dyDescent="0.2">
      <c r="A16" s="10" t="s">
        <v>18</v>
      </c>
      <c r="B16" s="10" t="s">
        <v>32</v>
      </c>
      <c r="C16" s="23"/>
      <c r="D16" s="23"/>
      <c r="E16" s="23"/>
      <c r="F16" s="23"/>
      <c r="G16" s="23"/>
      <c r="H16" s="23"/>
      <c r="I16" s="23">
        <v>1446530</v>
      </c>
      <c r="J16" s="23">
        <v>1446530</v>
      </c>
      <c r="K16" s="23">
        <v>385313</v>
      </c>
      <c r="L16" s="23"/>
      <c r="M16" s="23"/>
      <c r="N16" s="23"/>
      <c r="O16" s="23"/>
      <c r="P16" s="23"/>
      <c r="Q16" s="23"/>
      <c r="R16" s="23"/>
      <c r="S16" s="23"/>
      <c r="T16" s="23">
        <v>457200</v>
      </c>
      <c r="U16" s="23"/>
      <c r="V16" s="23"/>
      <c r="W16" s="23"/>
      <c r="X16" s="23"/>
      <c r="Y16" s="23"/>
      <c r="Z16" s="23"/>
      <c r="AA16" s="23">
        <f t="shared" si="0"/>
        <v>1446530</v>
      </c>
      <c r="AB16" s="23">
        <f t="shared" si="0"/>
        <v>1446530</v>
      </c>
      <c r="AC16" s="23">
        <f t="shared" si="0"/>
        <v>842513</v>
      </c>
      <c r="AD16" s="39"/>
      <c r="AE16" s="39"/>
      <c r="AF16" s="40"/>
    </row>
    <row r="17" spans="1:32" s="9" customFormat="1" x14ac:dyDescent="0.2">
      <c r="A17" s="10" t="s">
        <v>5</v>
      </c>
      <c r="B17" s="10" t="s">
        <v>32</v>
      </c>
      <c r="C17" s="23"/>
      <c r="D17" s="23"/>
      <c r="E17" s="23"/>
      <c r="F17" s="23"/>
      <c r="G17" s="23"/>
      <c r="H17" s="23"/>
      <c r="I17" s="23">
        <v>3683000</v>
      </c>
      <c r="J17" s="23">
        <v>3683000</v>
      </c>
      <c r="K17" s="23">
        <v>1150799</v>
      </c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>
        <f t="shared" si="0"/>
        <v>3683000</v>
      </c>
      <c r="AB17" s="23">
        <f t="shared" si="0"/>
        <v>3683000</v>
      </c>
      <c r="AC17" s="23">
        <f t="shared" si="0"/>
        <v>1150799</v>
      </c>
      <c r="AD17" s="39"/>
      <c r="AE17" s="39"/>
      <c r="AF17" s="40"/>
    </row>
    <row r="18" spans="1:32" s="9" customFormat="1" x14ac:dyDescent="0.2">
      <c r="A18" s="10" t="s">
        <v>22</v>
      </c>
      <c r="B18" s="10" t="s">
        <v>32</v>
      </c>
      <c r="C18" s="23"/>
      <c r="D18" s="23"/>
      <c r="E18" s="23"/>
      <c r="F18" s="23"/>
      <c r="G18" s="23"/>
      <c r="H18" s="23"/>
      <c r="I18" s="23"/>
      <c r="J18" s="23">
        <v>37621054</v>
      </c>
      <c r="K18" s="23">
        <v>38061187</v>
      </c>
      <c r="L18" s="23"/>
      <c r="M18" s="23"/>
      <c r="N18" s="23"/>
      <c r="O18" s="23"/>
      <c r="P18" s="23"/>
      <c r="Q18" s="23"/>
      <c r="R18" s="23"/>
      <c r="S18" s="23">
        <f>169700000+52264599</f>
        <v>221964599</v>
      </c>
      <c r="T18" s="23">
        <f>206338390</f>
        <v>206338390</v>
      </c>
      <c r="U18" s="23"/>
      <c r="V18" s="23"/>
      <c r="W18" s="23"/>
      <c r="X18" s="23"/>
      <c r="Y18" s="23"/>
      <c r="Z18" s="23"/>
      <c r="AA18" s="23">
        <f t="shared" si="0"/>
        <v>0</v>
      </c>
      <c r="AB18" s="23">
        <f t="shared" si="0"/>
        <v>259585653</v>
      </c>
      <c r="AC18" s="23">
        <f t="shared" si="0"/>
        <v>244399577</v>
      </c>
      <c r="AD18" s="39"/>
      <c r="AE18" s="39"/>
      <c r="AF18" s="40"/>
    </row>
    <row r="19" spans="1:32" s="9" customFormat="1" x14ac:dyDescent="0.2">
      <c r="A19" s="10" t="s">
        <v>7</v>
      </c>
      <c r="B19" s="10" t="s">
        <v>32</v>
      </c>
      <c r="C19" s="23"/>
      <c r="D19" s="23"/>
      <c r="E19" s="23"/>
      <c r="F19" s="23"/>
      <c r="G19" s="23"/>
      <c r="H19" s="23"/>
      <c r="I19" s="23">
        <v>1440000</v>
      </c>
      <c r="J19" s="23">
        <v>1742000</v>
      </c>
      <c r="K19" s="23">
        <v>2131068</v>
      </c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>
        <f t="shared" si="0"/>
        <v>1440000</v>
      </c>
      <c r="AB19" s="23">
        <f t="shared" si="0"/>
        <v>1742000</v>
      </c>
      <c r="AC19" s="23">
        <f t="shared" si="0"/>
        <v>2131068</v>
      </c>
      <c r="AD19" s="39"/>
      <c r="AE19" s="39"/>
      <c r="AF19" s="40"/>
    </row>
    <row r="20" spans="1:32" s="9" customFormat="1" x14ac:dyDescent="0.2">
      <c r="A20" s="10" t="s">
        <v>98</v>
      </c>
      <c r="B20" s="10" t="s">
        <v>32</v>
      </c>
      <c r="C20" s="23"/>
      <c r="D20" s="23"/>
      <c r="E20" s="23"/>
      <c r="F20" s="23"/>
      <c r="G20" s="23"/>
      <c r="H20" s="23"/>
      <c r="I20" s="23"/>
      <c r="J20" s="23"/>
      <c r="K20" s="23">
        <v>1018596</v>
      </c>
      <c r="L20" s="23"/>
      <c r="M20" s="23"/>
      <c r="N20" s="23"/>
      <c r="O20" s="23"/>
      <c r="P20" s="23"/>
      <c r="Q20" s="23"/>
      <c r="R20" s="23"/>
      <c r="S20" s="23"/>
      <c r="T20" s="23">
        <v>25000</v>
      </c>
      <c r="U20" s="23"/>
      <c r="V20" s="23"/>
      <c r="W20" s="23"/>
      <c r="X20" s="23"/>
      <c r="Y20" s="23"/>
      <c r="Z20" s="23"/>
      <c r="AA20" s="23">
        <f t="shared" si="0"/>
        <v>0</v>
      </c>
      <c r="AB20" s="23">
        <f t="shared" si="0"/>
        <v>0</v>
      </c>
      <c r="AC20" s="23">
        <f t="shared" si="0"/>
        <v>1043596</v>
      </c>
      <c r="AD20" s="39"/>
      <c r="AE20" s="39"/>
      <c r="AF20" s="40"/>
    </row>
    <row r="21" spans="1:32" s="9" customFormat="1" x14ac:dyDescent="0.2">
      <c r="A21" s="10" t="s">
        <v>39</v>
      </c>
      <c r="B21" s="10" t="s">
        <v>32</v>
      </c>
      <c r="C21" s="23"/>
      <c r="D21" s="23"/>
      <c r="E21" s="23"/>
      <c r="F21" s="23"/>
      <c r="G21" s="23"/>
      <c r="H21" s="23"/>
      <c r="I21" s="23"/>
      <c r="J21" s="23">
        <v>425000</v>
      </c>
      <c r="K21" s="23">
        <v>920056</v>
      </c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>
        <f t="shared" si="0"/>
        <v>0</v>
      </c>
      <c r="AB21" s="23">
        <f t="shared" si="0"/>
        <v>425000</v>
      </c>
      <c r="AC21" s="23">
        <f t="shared" si="0"/>
        <v>920056</v>
      </c>
      <c r="AD21" s="39"/>
      <c r="AE21" s="39"/>
      <c r="AF21" s="40"/>
    </row>
    <row r="22" spans="1:32" s="9" customFormat="1" x14ac:dyDescent="0.2">
      <c r="A22" s="10" t="s">
        <v>40</v>
      </c>
      <c r="B22" s="10" t="s">
        <v>32</v>
      </c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>
        <f>94552680+1000000+300000</f>
        <v>95852680</v>
      </c>
      <c r="P22" s="23">
        <v>102743308</v>
      </c>
      <c r="Q22" s="23">
        <v>101534102</v>
      </c>
      <c r="R22" s="23"/>
      <c r="S22" s="23">
        <v>100000</v>
      </c>
      <c r="T22" s="23">
        <v>100000</v>
      </c>
      <c r="U22" s="23"/>
      <c r="V22" s="23"/>
      <c r="W22" s="23"/>
      <c r="X22" s="23"/>
      <c r="Y22" s="23"/>
      <c r="Z22" s="23"/>
      <c r="AA22" s="23">
        <f t="shared" si="0"/>
        <v>95852680</v>
      </c>
      <c r="AB22" s="23">
        <f t="shared" si="0"/>
        <v>102843308</v>
      </c>
      <c r="AC22" s="23">
        <f t="shared" si="0"/>
        <v>101634102</v>
      </c>
      <c r="AD22" s="39"/>
      <c r="AE22" s="39"/>
      <c r="AF22" s="40"/>
    </row>
    <row r="23" spans="1:32" s="9" customFormat="1" x14ac:dyDescent="0.2">
      <c r="A23" s="10" t="s">
        <v>99</v>
      </c>
      <c r="B23" s="10" t="s">
        <v>32</v>
      </c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>
        <f>320000</f>
        <v>320000</v>
      </c>
      <c r="Q23" s="23">
        <v>624015</v>
      </c>
      <c r="R23" s="23"/>
      <c r="S23" s="23"/>
      <c r="T23" s="23"/>
      <c r="U23" s="23"/>
      <c r="V23" s="23">
        <v>6084055</v>
      </c>
      <c r="W23" s="23">
        <v>6084055</v>
      </c>
      <c r="X23" s="23"/>
      <c r="Y23" s="23"/>
      <c r="Z23" s="23"/>
      <c r="AA23" s="23">
        <f t="shared" si="0"/>
        <v>0</v>
      </c>
      <c r="AB23" s="23">
        <f t="shared" si="0"/>
        <v>6404055</v>
      </c>
      <c r="AC23" s="23">
        <f t="shared" si="0"/>
        <v>6708070</v>
      </c>
      <c r="AD23" s="39"/>
      <c r="AE23" s="39"/>
      <c r="AF23" s="40"/>
    </row>
    <row r="24" spans="1:32" s="9" customFormat="1" x14ac:dyDescent="0.2">
      <c r="A24" s="10" t="s">
        <v>75</v>
      </c>
      <c r="B24" s="10" t="s">
        <v>32</v>
      </c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>
        <f t="shared" si="0"/>
        <v>0</v>
      </c>
      <c r="AB24" s="23">
        <f t="shared" si="0"/>
        <v>0</v>
      </c>
      <c r="AC24" s="23">
        <f t="shared" si="0"/>
        <v>0</v>
      </c>
      <c r="AD24" s="39"/>
      <c r="AE24" s="39"/>
      <c r="AF24" s="40"/>
    </row>
    <row r="25" spans="1:32" s="9" customFormat="1" x14ac:dyDescent="0.2">
      <c r="A25" s="10" t="s">
        <v>76</v>
      </c>
      <c r="B25" s="10" t="s">
        <v>32</v>
      </c>
      <c r="C25" s="23"/>
      <c r="D25" s="23"/>
      <c r="E25" s="23"/>
      <c r="F25" s="23"/>
      <c r="G25" s="23"/>
      <c r="H25" s="23"/>
      <c r="I25" s="23"/>
      <c r="J25" s="23"/>
      <c r="K25" s="23">
        <v>50039</v>
      </c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>
        <f t="shared" si="0"/>
        <v>0</v>
      </c>
      <c r="AB25" s="23">
        <f t="shared" si="0"/>
        <v>0</v>
      </c>
      <c r="AC25" s="23">
        <f t="shared" si="0"/>
        <v>50039</v>
      </c>
      <c r="AD25" s="39"/>
      <c r="AE25" s="39"/>
      <c r="AF25" s="40"/>
    </row>
    <row r="26" spans="1:32" s="9" customFormat="1" x14ac:dyDescent="0.2">
      <c r="A26" s="10" t="s">
        <v>83</v>
      </c>
      <c r="B26" s="10" t="s">
        <v>33</v>
      </c>
      <c r="C26" s="23"/>
      <c r="D26" s="23"/>
      <c r="E26" s="23"/>
      <c r="F26" s="23"/>
      <c r="G26" s="23"/>
      <c r="H26" s="23"/>
      <c r="I26" s="23"/>
      <c r="J26" s="23">
        <v>11000000</v>
      </c>
      <c r="K26" s="23">
        <v>13175875</v>
      </c>
      <c r="L26" s="23"/>
      <c r="M26" s="23"/>
      <c r="N26" s="23"/>
      <c r="O26" s="23"/>
      <c r="P26" s="23"/>
      <c r="Q26" s="23"/>
      <c r="R26" s="23"/>
      <c r="S26" s="23">
        <f>6015000+5011000</f>
        <v>11026000</v>
      </c>
      <c r="T26" s="23">
        <f>6131393+54899568</f>
        <v>61030961</v>
      </c>
      <c r="U26" s="23"/>
      <c r="V26" s="23">
        <v>0</v>
      </c>
      <c r="W26" s="23">
        <v>0</v>
      </c>
      <c r="X26" s="23"/>
      <c r="Y26" s="23"/>
      <c r="Z26" s="23"/>
      <c r="AA26" s="23">
        <f t="shared" si="0"/>
        <v>0</v>
      </c>
      <c r="AB26" s="23">
        <f t="shared" si="0"/>
        <v>22026000</v>
      </c>
      <c r="AC26" s="23">
        <f t="shared" si="0"/>
        <v>74206836</v>
      </c>
      <c r="AD26" s="39"/>
      <c r="AE26" s="39"/>
      <c r="AF26" s="40"/>
    </row>
    <row r="27" spans="1:32" s="9" customFormat="1" x14ac:dyDescent="0.2">
      <c r="A27" s="10" t="s">
        <v>41</v>
      </c>
      <c r="B27" s="10" t="s">
        <v>33</v>
      </c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>
        <f t="shared" si="0"/>
        <v>0</v>
      </c>
      <c r="AB27" s="23">
        <f t="shared" si="0"/>
        <v>0</v>
      </c>
      <c r="AC27" s="23">
        <f t="shared" si="0"/>
        <v>0</v>
      </c>
      <c r="AD27" s="39"/>
      <c r="AE27" s="39"/>
      <c r="AF27" s="40"/>
    </row>
    <row r="28" spans="1:32" s="9" customFormat="1" x14ac:dyDescent="0.2">
      <c r="A28" s="10" t="s">
        <v>60</v>
      </c>
      <c r="B28" s="10" t="s">
        <v>33</v>
      </c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>
        <f t="shared" si="0"/>
        <v>0</v>
      </c>
      <c r="AB28" s="23">
        <f t="shared" si="0"/>
        <v>0</v>
      </c>
      <c r="AC28" s="23">
        <f t="shared" si="0"/>
        <v>0</v>
      </c>
      <c r="AD28" s="39"/>
      <c r="AE28" s="39"/>
      <c r="AF28" s="40"/>
    </row>
    <row r="29" spans="1:32" s="9" customFormat="1" x14ac:dyDescent="0.2">
      <c r="A29" s="10" t="s">
        <v>42</v>
      </c>
      <c r="B29" s="10" t="s">
        <v>33</v>
      </c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>
        <f t="shared" si="0"/>
        <v>0</v>
      </c>
      <c r="AB29" s="23">
        <f t="shared" si="0"/>
        <v>0</v>
      </c>
      <c r="AC29" s="23">
        <f t="shared" si="0"/>
        <v>0</v>
      </c>
      <c r="AD29" s="39"/>
      <c r="AE29" s="39"/>
      <c r="AF29" s="40"/>
    </row>
    <row r="30" spans="1:32" s="9" customFormat="1" x14ac:dyDescent="0.2">
      <c r="A30" s="10" t="s">
        <v>43</v>
      </c>
      <c r="B30" s="10" t="s">
        <v>32</v>
      </c>
      <c r="C30" s="23"/>
      <c r="D30" s="23"/>
      <c r="E30" s="23"/>
      <c r="F30" s="23"/>
      <c r="G30" s="23"/>
      <c r="H30" s="23"/>
      <c r="I30" s="23"/>
      <c r="J30" s="23"/>
      <c r="K30" s="23"/>
      <c r="L30" s="23"/>
      <c r="M30" s="23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>
        <f t="shared" si="0"/>
        <v>0</v>
      </c>
      <c r="AB30" s="23">
        <f t="shared" si="0"/>
        <v>0</v>
      </c>
      <c r="AC30" s="23">
        <f t="shared" si="0"/>
        <v>0</v>
      </c>
      <c r="AD30" s="39"/>
      <c r="AE30" s="39"/>
      <c r="AF30" s="40"/>
    </row>
    <row r="31" spans="1:32" s="9" customFormat="1" x14ac:dyDescent="0.2">
      <c r="A31" s="10" t="s">
        <v>44</v>
      </c>
      <c r="B31" s="10" t="s">
        <v>32</v>
      </c>
      <c r="C31" s="23"/>
      <c r="D31" s="23"/>
      <c r="E31" s="23"/>
      <c r="F31" s="23"/>
      <c r="G31" s="23"/>
      <c r="H31" s="23"/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>
        <f t="shared" si="0"/>
        <v>0</v>
      </c>
      <c r="AB31" s="23">
        <f t="shared" si="0"/>
        <v>0</v>
      </c>
      <c r="AC31" s="23">
        <f t="shared" si="0"/>
        <v>0</v>
      </c>
      <c r="AD31" s="39"/>
      <c r="AE31" s="39"/>
      <c r="AF31" s="40"/>
    </row>
    <row r="32" spans="1:32" s="9" customFormat="1" x14ac:dyDescent="0.2">
      <c r="A32" s="10" t="s">
        <v>45</v>
      </c>
      <c r="B32" s="10" t="s">
        <v>32</v>
      </c>
      <c r="C32" s="23"/>
      <c r="D32" s="23"/>
      <c r="E32" s="23"/>
      <c r="F32" s="23"/>
      <c r="G32" s="23"/>
      <c r="H32" s="23"/>
      <c r="I32" s="23"/>
      <c r="J32" s="23"/>
      <c r="K32" s="23"/>
      <c r="L32" s="23"/>
      <c r="M32" s="23"/>
      <c r="N32" s="23"/>
      <c r="O32" s="23"/>
      <c r="P32" s="23"/>
      <c r="Q32" s="23"/>
      <c r="R32" s="23"/>
      <c r="S32" s="23"/>
      <c r="T32" s="23"/>
      <c r="U32" s="23"/>
      <c r="V32" s="23"/>
      <c r="W32" s="23"/>
      <c r="X32" s="23"/>
      <c r="Y32" s="23"/>
      <c r="Z32" s="23"/>
      <c r="AA32" s="23">
        <f t="shared" si="0"/>
        <v>0</v>
      </c>
      <c r="AB32" s="23">
        <f t="shared" si="0"/>
        <v>0</v>
      </c>
      <c r="AC32" s="23">
        <f t="shared" si="0"/>
        <v>0</v>
      </c>
      <c r="AD32" s="39"/>
      <c r="AE32" s="39"/>
      <c r="AF32" s="40"/>
    </row>
    <row r="33" spans="1:32" s="9" customFormat="1" x14ac:dyDescent="0.2">
      <c r="A33" s="10" t="s">
        <v>46</v>
      </c>
      <c r="B33" s="10" t="s">
        <v>32</v>
      </c>
      <c r="C33" s="23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23"/>
      <c r="Y33" s="23"/>
      <c r="Z33" s="23"/>
      <c r="AA33" s="23">
        <f t="shared" si="0"/>
        <v>0</v>
      </c>
      <c r="AB33" s="23">
        <f t="shared" si="0"/>
        <v>0</v>
      </c>
      <c r="AC33" s="23">
        <v>0</v>
      </c>
      <c r="AD33" s="39"/>
      <c r="AE33" s="39"/>
      <c r="AF33" s="40"/>
    </row>
    <row r="34" spans="1:32" s="9" customFormat="1" x14ac:dyDescent="0.2">
      <c r="A34" s="10" t="s">
        <v>49</v>
      </c>
      <c r="B34" s="10" t="s">
        <v>33</v>
      </c>
      <c r="C34" s="23"/>
      <c r="D34" s="23"/>
      <c r="E34" s="23"/>
      <c r="F34" s="23"/>
      <c r="G34" s="23"/>
      <c r="H34" s="23"/>
      <c r="I34" s="23"/>
      <c r="J34" s="23"/>
      <c r="K34" s="23"/>
      <c r="L34" s="23"/>
      <c r="M34" s="23"/>
      <c r="N34" s="23"/>
      <c r="O34" s="23"/>
      <c r="P34" s="23"/>
      <c r="Q34" s="23"/>
      <c r="R34" s="23"/>
      <c r="S34" s="23"/>
      <c r="T34" s="23"/>
      <c r="U34" s="23"/>
      <c r="V34" s="23"/>
      <c r="W34" s="23"/>
      <c r="X34" s="23"/>
      <c r="Y34" s="23"/>
      <c r="Z34" s="23"/>
      <c r="AA34" s="23">
        <f t="shared" si="0"/>
        <v>0</v>
      </c>
      <c r="AB34" s="23">
        <f t="shared" si="0"/>
        <v>0</v>
      </c>
      <c r="AC34" s="23">
        <f t="shared" si="0"/>
        <v>0</v>
      </c>
      <c r="AD34" s="39"/>
      <c r="AE34" s="39"/>
      <c r="AF34" s="40"/>
    </row>
    <row r="35" spans="1:32" s="9" customFormat="1" x14ac:dyDescent="0.2">
      <c r="A35" s="10" t="s">
        <v>80</v>
      </c>
      <c r="B35" s="10" t="s">
        <v>33</v>
      </c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>
        <v>0</v>
      </c>
      <c r="Q35" s="23"/>
      <c r="R35" s="23"/>
      <c r="S35" s="23"/>
      <c r="T35" s="23"/>
      <c r="U35" s="23"/>
      <c r="V35" s="23"/>
      <c r="W35" s="23"/>
      <c r="X35" s="23"/>
      <c r="Y35" s="23"/>
      <c r="Z35" s="23"/>
      <c r="AA35" s="23">
        <f t="shared" si="0"/>
        <v>0</v>
      </c>
      <c r="AB35" s="23">
        <f t="shared" si="0"/>
        <v>0</v>
      </c>
      <c r="AC35" s="23">
        <f t="shared" si="0"/>
        <v>0</v>
      </c>
      <c r="AD35" s="39"/>
      <c r="AE35" s="39"/>
      <c r="AF35" s="40"/>
    </row>
    <row r="36" spans="1:32" s="9" customFormat="1" x14ac:dyDescent="0.2">
      <c r="A36" s="10" t="s">
        <v>47</v>
      </c>
      <c r="B36" s="10" t="s">
        <v>33</v>
      </c>
      <c r="C36" s="23"/>
      <c r="D36" s="23"/>
      <c r="E36" s="23"/>
      <c r="F36" s="23"/>
      <c r="G36" s="23"/>
      <c r="H36" s="23"/>
      <c r="I36" s="23"/>
      <c r="J36" s="23"/>
      <c r="K36" s="23"/>
      <c r="L36" s="23">
        <v>8010000</v>
      </c>
      <c r="M36" s="23">
        <v>8010000</v>
      </c>
      <c r="N36" s="23">
        <v>5308518</v>
      </c>
      <c r="O36" s="23"/>
      <c r="P36" s="23">
        <v>140000</v>
      </c>
      <c r="Q36" s="23">
        <v>905000</v>
      </c>
      <c r="R36" s="23"/>
      <c r="S36" s="23"/>
      <c r="T36" s="23"/>
      <c r="U36" s="23"/>
      <c r="V36" s="23"/>
      <c r="W36" s="23"/>
      <c r="X36" s="23"/>
      <c r="Y36" s="23"/>
      <c r="Z36" s="23"/>
      <c r="AA36" s="23">
        <f t="shared" si="0"/>
        <v>8010000</v>
      </c>
      <c r="AB36" s="23">
        <f t="shared" si="0"/>
        <v>8150000</v>
      </c>
      <c r="AC36" s="23">
        <f t="shared" si="0"/>
        <v>6213518</v>
      </c>
      <c r="AD36" s="39"/>
      <c r="AE36" s="39"/>
      <c r="AF36" s="40"/>
    </row>
    <row r="37" spans="1:32" s="9" customFormat="1" x14ac:dyDescent="0.2">
      <c r="A37" s="10" t="s">
        <v>84</v>
      </c>
      <c r="B37" s="10" t="s">
        <v>33</v>
      </c>
      <c r="C37" s="23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3"/>
      <c r="V37" s="23"/>
      <c r="W37" s="23"/>
      <c r="X37" s="23"/>
      <c r="Y37" s="23"/>
      <c r="Z37" s="23"/>
      <c r="AA37" s="23">
        <f t="shared" si="0"/>
        <v>0</v>
      </c>
      <c r="AB37" s="23">
        <f t="shared" si="0"/>
        <v>0</v>
      </c>
      <c r="AC37" s="23">
        <f t="shared" si="0"/>
        <v>0</v>
      </c>
      <c r="AD37" s="39"/>
      <c r="AE37" s="39"/>
      <c r="AF37" s="40"/>
    </row>
    <row r="38" spans="1:32" s="9" customFormat="1" x14ac:dyDescent="0.2">
      <c r="A38" s="10" t="s">
        <v>97</v>
      </c>
      <c r="B38" s="10" t="s">
        <v>33</v>
      </c>
      <c r="C38" s="23"/>
      <c r="D38" s="23"/>
      <c r="E38" s="23"/>
      <c r="F38" s="23"/>
      <c r="G38" s="23"/>
      <c r="H38" s="23"/>
      <c r="I38" s="23"/>
      <c r="J38" s="23">
        <v>8340000</v>
      </c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>
        <f t="shared" si="0"/>
        <v>0</v>
      </c>
      <c r="AB38" s="23">
        <f t="shared" si="0"/>
        <v>8340000</v>
      </c>
      <c r="AC38" s="23">
        <f t="shared" si="0"/>
        <v>0</v>
      </c>
      <c r="AD38" s="39"/>
      <c r="AE38" s="39"/>
      <c r="AF38" s="40"/>
    </row>
    <row r="39" spans="1:32" s="9" customFormat="1" x14ac:dyDescent="0.2">
      <c r="A39" s="10" t="s">
        <v>69</v>
      </c>
      <c r="B39" s="10" t="s">
        <v>33</v>
      </c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>
        <v>0</v>
      </c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>
        <f t="shared" ref="AA39:AC64" si="1">C39+F39+I39+L39+O39+R39+U39+X39</f>
        <v>0</v>
      </c>
      <c r="AB39" s="23">
        <f t="shared" si="1"/>
        <v>0</v>
      </c>
      <c r="AC39" s="23">
        <f t="shared" si="1"/>
        <v>0</v>
      </c>
      <c r="AD39" s="39"/>
      <c r="AE39" s="39"/>
      <c r="AF39" s="40"/>
    </row>
    <row r="40" spans="1:32" s="9" customFormat="1" x14ac:dyDescent="0.2">
      <c r="A40" s="10" t="s">
        <v>70</v>
      </c>
      <c r="B40" s="10" t="s">
        <v>33</v>
      </c>
      <c r="C40" s="23">
        <v>3187800</v>
      </c>
      <c r="D40" s="23">
        <f>3187800+13662</f>
        <v>3201462</v>
      </c>
      <c r="E40" s="23">
        <v>2148970</v>
      </c>
      <c r="F40" s="23">
        <v>567865</v>
      </c>
      <c r="G40" s="23">
        <v>567865</v>
      </c>
      <c r="H40" s="23">
        <v>54099</v>
      </c>
      <c r="I40" s="23">
        <v>8258048</v>
      </c>
      <c r="J40" s="23">
        <v>8258048</v>
      </c>
      <c r="K40" s="23">
        <v>2881100</v>
      </c>
      <c r="L40" s="23"/>
      <c r="M40" s="23"/>
      <c r="N40" s="23"/>
      <c r="O40" s="23"/>
      <c r="P40" s="23"/>
      <c r="Q40" s="23"/>
      <c r="R40" s="23"/>
      <c r="S40" s="23">
        <v>2704490</v>
      </c>
      <c r="T40" s="23"/>
      <c r="U40" s="23"/>
      <c r="V40" s="23"/>
      <c r="W40" s="23"/>
      <c r="X40" s="23"/>
      <c r="Y40" s="23"/>
      <c r="Z40" s="23"/>
      <c r="AA40" s="23">
        <f t="shared" si="1"/>
        <v>12013713</v>
      </c>
      <c r="AB40" s="23">
        <f t="shared" si="1"/>
        <v>14731865</v>
      </c>
      <c r="AC40" s="23">
        <f t="shared" si="1"/>
        <v>5084169</v>
      </c>
      <c r="AD40" s="39">
        <v>1</v>
      </c>
      <c r="AE40" s="39">
        <v>1</v>
      </c>
      <c r="AF40" s="40">
        <v>1</v>
      </c>
    </row>
    <row r="41" spans="1:32" s="9" customFormat="1" x14ac:dyDescent="0.2">
      <c r="A41" s="10" t="s">
        <v>16</v>
      </c>
      <c r="B41" s="10" t="s">
        <v>32</v>
      </c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>
        <v>73200</v>
      </c>
      <c r="P41" s="23">
        <v>73200</v>
      </c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>
        <f t="shared" si="1"/>
        <v>73200</v>
      </c>
      <c r="AB41" s="23">
        <f t="shared" si="1"/>
        <v>73200</v>
      </c>
      <c r="AC41" s="23">
        <f t="shared" si="1"/>
        <v>0</v>
      </c>
      <c r="AD41" s="39"/>
      <c r="AE41" s="39"/>
      <c r="AF41" s="40"/>
    </row>
    <row r="42" spans="1:32" s="9" customFormat="1" x14ac:dyDescent="0.2">
      <c r="A42" s="10" t="s">
        <v>78</v>
      </c>
      <c r="B42" s="10" t="s">
        <v>33</v>
      </c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>
        <v>100000</v>
      </c>
      <c r="R42" s="23"/>
      <c r="S42" s="23"/>
      <c r="T42" s="23">
        <v>700000</v>
      </c>
      <c r="U42" s="23"/>
      <c r="V42" s="23"/>
      <c r="W42" s="23"/>
      <c r="X42" s="23"/>
      <c r="Y42" s="23"/>
      <c r="Z42" s="23"/>
      <c r="AA42" s="23">
        <f t="shared" si="1"/>
        <v>0</v>
      </c>
      <c r="AB42" s="23">
        <f t="shared" si="1"/>
        <v>0</v>
      </c>
      <c r="AC42" s="23">
        <f t="shared" si="1"/>
        <v>800000</v>
      </c>
      <c r="AD42" s="39"/>
      <c r="AE42" s="39"/>
      <c r="AF42" s="40"/>
    </row>
    <row r="43" spans="1:32" s="9" customFormat="1" x14ac:dyDescent="0.2">
      <c r="A43" s="10" t="s">
        <v>17</v>
      </c>
      <c r="B43" s="10" t="s">
        <v>33</v>
      </c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>
        <v>2397000</v>
      </c>
      <c r="P43" s="23">
        <f>2397000-650000</f>
        <v>1747000</v>
      </c>
      <c r="Q43" s="23">
        <f>650000+200000</f>
        <v>850000</v>
      </c>
      <c r="R43" s="23"/>
      <c r="S43" s="23">
        <v>950000</v>
      </c>
      <c r="T43" s="23">
        <v>250000</v>
      </c>
      <c r="U43" s="23"/>
      <c r="V43" s="23"/>
      <c r="W43" s="23"/>
      <c r="X43" s="23"/>
      <c r="Y43" s="23"/>
      <c r="Z43" s="23"/>
      <c r="AA43" s="23">
        <f t="shared" si="1"/>
        <v>2397000</v>
      </c>
      <c r="AB43" s="23">
        <f t="shared" si="1"/>
        <v>2697000</v>
      </c>
      <c r="AC43" s="23">
        <f t="shared" si="1"/>
        <v>1100000</v>
      </c>
      <c r="AD43" s="39"/>
      <c r="AE43" s="39"/>
      <c r="AF43" s="40"/>
    </row>
    <row r="44" spans="1:32" s="9" customFormat="1" x14ac:dyDescent="0.2">
      <c r="A44" s="10" t="s">
        <v>51</v>
      </c>
      <c r="B44" s="10" t="s">
        <v>32</v>
      </c>
      <c r="C44" s="23"/>
      <c r="D44" s="23"/>
      <c r="E44" s="23"/>
      <c r="F44" s="23"/>
      <c r="G44" s="23"/>
      <c r="H44" s="23"/>
      <c r="I44" s="23">
        <v>100000</v>
      </c>
      <c r="J44" s="23">
        <v>100000</v>
      </c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>
        <f t="shared" si="1"/>
        <v>100000</v>
      </c>
      <c r="AB44" s="23">
        <f t="shared" si="1"/>
        <v>100000</v>
      </c>
      <c r="AC44" s="23">
        <f t="shared" si="1"/>
        <v>0</v>
      </c>
      <c r="AD44" s="39"/>
      <c r="AE44" s="39"/>
      <c r="AF44" s="40"/>
    </row>
    <row r="45" spans="1:32" s="37" customFormat="1" x14ac:dyDescent="0.2">
      <c r="A45" s="13" t="s">
        <v>52</v>
      </c>
      <c r="B45" s="14" t="s">
        <v>63</v>
      </c>
      <c r="C45" s="59"/>
      <c r="D45" s="59"/>
      <c r="E45" s="24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3">
        <f t="shared" si="1"/>
        <v>0</v>
      </c>
      <c r="AB45" s="24">
        <f t="shared" si="1"/>
        <v>0</v>
      </c>
      <c r="AC45" s="24">
        <f t="shared" si="1"/>
        <v>0</v>
      </c>
      <c r="AD45" s="41"/>
      <c r="AE45" s="41"/>
      <c r="AF45" s="42"/>
    </row>
    <row r="46" spans="1:32" s="9" customFormat="1" ht="14.25" customHeight="1" x14ac:dyDescent="0.2">
      <c r="A46" s="10" t="s">
        <v>54</v>
      </c>
      <c r="B46" s="10" t="s">
        <v>32</v>
      </c>
      <c r="C46" s="23">
        <v>100000</v>
      </c>
      <c r="D46" s="23">
        <v>100000</v>
      </c>
      <c r="E46" s="23"/>
      <c r="F46" s="23">
        <v>19750</v>
      </c>
      <c r="G46" s="23">
        <v>19750</v>
      </c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>
        <f t="shared" si="1"/>
        <v>119750</v>
      </c>
      <c r="AB46" s="23">
        <f t="shared" si="1"/>
        <v>119750</v>
      </c>
      <c r="AC46" s="23">
        <f t="shared" si="1"/>
        <v>0</v>
      </c>
      <c r="AD46" s="39">
        <v>1</v>
      </c>
      <c r="AE46" s="39">
        <v>1</v>
      </c>
      <c r="AF46" s="40">
        <v>0</v>
      </c>
    </row>
    <row r="47" spans="1:32" s="9" customFormat="1" x14ac:dyDescent="0.2">
      <c r="A47" s="10" t="s">
        <v>53</v>
      </c>
      <c r="B47" s="10" t="s">
        <v>32</v>
      </c>
      <c r="C47" s="23">
        <v>3913440</v>
      </c>
      <c r="D47" s="23">
        <f>1993868</f>
        <v>1993868</v>
      </c>
      <c r="E47" s="23">
        <v>1304872</v>
      </c>
      <c r="F47" s="23">
        <f>381560-381560</f>
        <v>0</v>
      </c>
      <c r="G47" s="23">
        <v>-152535</v>
      </c>
      <c r="H47" s="23">
        <v>122126</v>
      </c>
      <c r="I47" s="23">
        <v>381560</v>
      </c>
      <c r="J47" s="23">
        <v>381560</v>
      </c>
      <c r="K47" s="23">
        <v>15260</v>
      </c>
      <c r="L47" s="23"/>
      <c r="M47" s="23"/>
      <c r="N47" s="23"/>
      <c r="O47" s="23"/>
      <c r="P47" s="23"/>
      <c r="Q47" s="23"/>
      <c r="R47" s="23"/>
      <c r="S47" s="23">
        <v>0</v>
      </c>
      <c r="T47" s="23"/>
      <c r="U47" s="23"/>
      <c r="V47" s="23"/>
      <c r="W47" s="23"/>
      <c r="X47" s="23"/>
      <c r="Y47" s="23"/>
      <c r="Z47" s="23"/>
      <c r="AA47" s="23">
        <f t="shared" si="1"/>
        <v>4295000</v>
      </c>
      <c r="AB47" s="23">
        <f t="shared" si="1"/>
        <v>2222893</v>
      </c>
      <c r="AC47" s="23">
        <f t="shared" si="1"/>
        <v>1442258</v>
      </c>
      <c r="AD47" s="39">
        <v>4</v>
      </c>
      <c r="AE47" s="39">
        <v>4</v>
      </c>
      <c r="AF47" s="40">
        <v>1</v>
      </c>
    </row>
    <row r="48" spans="1:32" s="9" customFormat="1" x14ac:dyDescent="0.2">
      <c r="A48" s="10" t="s">
        <v>55</v>
      </c>
      <c r="B48" s="10" t="s">
        <v>33</v>
      </c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>
        <v>400000</v>
      </c>
      <c r="S48" s="23">
        <v>0</v>
      </c>
      <c r="T48" s="23">
        <v>0</v>
      </c>
      <c r="U48" s="23"/>
      <c r="V48" s="23"/>
      <c r="W48" s="23"/>
      <c r="X48" s="23"/>
      <c r="Y48" s="23"/>
      <c r="Z48" s="23"/>
      <c r="AA48" s="23">
        <f t="shared" si="1"/>
        <v>400000</v>
      </c>
      <c r="AB48" s="23">
        <f t="shared" si="1"/>
        <v>0</v>
      </c>
      <c r="AC48" s="23">
        <f t="shared" si="1"/>
        <v>0</v>
      </c>
      <c r="AD48" s="39"/>
      <c r="AE48" s="39"/>
      <c r="AF48" s="40"/>
    </row>
    <row r="49" spans="1:33" s="9" customFormat="1" x14ac:dyDescent="0.2">
      <c r="A49" s="10" t="s">
        <v>19</v>
      </c>
      <c r="B49" s="10" t="s">
        <v>32</v>
      </c>
      <c r="C49" s="23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/>
      <c r="Q49" s="23"/>
      <c r="R49" s="23"/>
      <c r="S49" s="23" t="s">
        <v>71</v>
      </c>
      <c r="T49" s="23"/>
      <c r="U49" s="23"/>
      <c r="V49" s="23"/>
      <c r="W49" s="23"/>
      <c r="X49" s="23"/>
      <c r="Y49" s="23"/>
      <c r="Z49" s="23"/>
      <c r="AA49" s="23">
        <f t="shared" si="1"/>
        <v>0</v>
      </c>
      <c r="AB49" s="23">
        <v>0</v>
      </c>
      <c r="AC49" s="23">
        <f t="shared" si="1"/>
        <v>0</v>
      </c>
      <c r="AD49" s="39"/>
      <c r="AE49" s="39"/>
      <c r="AF49" s="40"/>
    </row>
    <row r="50" spans="1:33" s="9" customFormat="1" x14ac:dyDescent="0.2">
      <c r="A50" s="10" t="s">
        <v>20</v>
      </c>
      <c r="B50" s="10" t="s">
        <v>32</v>
      </c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>
        <f t="shared" si="1"/>
        <v>0</v>
      </c>
      <c r="AB50" s="23">
        <f t="shared" si="1"/>
        <v>0</v>
      </c>
      <c r="AC50" s="23">
        <f t="shared" si="1"/>
        <v>0</v>
      </c>
      <c r="AD50" s="39"/>
      <c r="AE50" s="39"/>
      <c r="AF50" s="40"/>
    </row>
    <row r="51" spans="1:33" s="9" customFormat="1" x14ac:dyDescent="0.2">
      <c r="A51" s="10" t="s">
        <v>15</v>
      </c>
      <c r="B51" s="10" t="s">
        <v>32</v>
      </c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>
        <f t="shared" si="1"/>
        <v>0</v>
      </c>
      <c r="AB51" s="23">
        <f t="shared" si="1"/>
        <v>0</v>
      </c>
      <c r="AC51" s="23">
        <f t="shared" si="1"/>
        <v>0</v>
      </c>
      <c r="AD51" s="39"/>
      <c r="AE51" s="39"/>
      <c r="AF51" s="40"/>
    </row>
    <row r="52" spans="1:33" s="9" customFormat="1" x14ac:dyDescent="0.2">
      <c r="A52" s="10" t="s">
        <v>67</v>
      </c>
      <c r="B52" s="10" t="s">
        <v>33</v>
      </c>
      <c r="C52" s="23"/>
      <c r="D52" s="23"/>
      <c r="E52" s="23">
        <v>13862</v>
      </c>
      <c r="F52" s="23"/>
      <c r="G52" s="23"/>
      <c r="H52" s="23">
        <v>6336</v>
      </c>
      <c r="I52" s="23">
        <v>1905000</v>
      </c>
      <c r="J52" s="23">
        <v>0</v>
      </c>
      <c r="K52" s="23">
        <v>554976</v>
      </c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>
        <f t="shared" si="1"/>
        <v>1905000</v>
      </c>
      <c r="AB52" s="23">
        <f t="shared" si="1"/>
        <v>0</v>
      </c>
      <c r="AC52" s="23">
        <f t="shared" si="1"/>
        <v>575174</v>
      </c>
      <c r="AD52" s="39"/>
      <c r="AE52" s="39"/>
      <c r="AF52" s="40"/>
    </row>
    <row r="53" spans="1:33" s="9" customFormat="1" ht="15" customHeight="1" x14ac:dyDescent="0.2">
      <c r="A53" s="10" t="s">
        <v>34</v>
      </c>
      <c r="B53" s="10" t="s">
        <v>33</v>
      </c>
      <c r="C53" s="23">
        <f>2063600+1543000</f>
        <v>3606600</v>
      </c>
      <c r="D53" s="23">
        <f>2063600+1543000+39988+499000</f>
        <v>4145588</v>
      </c>
      <c r="E53" s="23">
        <f>1080349+1284424-244590</f>
        <v>2120183</v>
      </c>
      <c r="F53" s="23">
        <f>(C53*19.5%)+128000+156000</f>
        <v>987287</v>
      </c>
      <c r="G53" s="23">
        <v>987287</v>
      </c>
      <c r="H53" s="23">
        <v>387165</v>
      </c>
      <c r="I53" s="23">
        <f>2310000+2849000+3310000+1119000+2491000+3000000</f>
        <v>15079000</v>
      </c>
      <c r="J53" s="23">
        <v>37806640</v>
      </c>
      <c r="K53" s="23">
        <v>9704018</v>
      </c>
      <c r="L53" s="23"/>
      <c r="M53" s="23"/>
      <c r="N53" s="23"/>
      <c r="O53" s="23"/>
      <c r="P53" s="23">
        <v>300000</v>
      </c>
      <c r="Q53" s="23"/>
      <c r="R53" s="23">
        <v>0</v>
      </c>
      <c r="S53" s="23">
        <v>763900</v>
      </c>
      <c r="T53" s="23">
        <v>1010338</v>
      </c>
      <c r="U53" s="23"/>
      <c r="V53" s="23">
        <v>0</v>
      </c>
      <c r="W53" s="23"/>
      <c r="X53" s="23">
        <v>1205373</v>
      </c>
      <c r="Y53" s="23">
        <f>427192272-52264599</f>
        <v>374927673</v>
      </c>
      <c r="Z53" s="23"/>
      <c r="AA53" s="23">
        <f t="shared" si="1"/>
        <v>20878260</v>
      </c>
      <c r="AB53" s="23">
        <f>D53+G53+J53+M53+P53+S53+V53+Y53</f>
        <v>418931088</v>
      </c>
      <c r="AC53" s="23">
        <f t="shared" si="1"/>
        <v>13221704</v>
      </c>
      <c r="AD53" s="39">
        <v>8</v>
      </c>
      <c r="AE53" s="39">
        <v>8</v>
      </c>
      <c r="AF53" s="40">
        <v>8.75</v>
      </c>
      <c r="AG53" s="6"/>
    </row>
    <row r="54" spans="1:33" s="9" customFormat="1" x14ac:dyDescent="0.2">
      <c r="A54" s="10"/>
      <c r="B54" s="10" t="s">
        <v>32</v>
      </c>
      <c r="C54" s="23">
        <f>14044612-1543000</f>
        <v>12501612</v>
      </c>
      <c r="D54" s="23">
        <f>14044612-1543000</f>
        <v>12501612</v>
      </c>
      <c r="E54" s="23">
        <v>12092170</v>
      </c>
      <c r="F54" s="23">
        <f>(C54*19.5%)-141000</f>
        <v>2296814.34</v>
      </c>
      <c r="G54" s="23">
        <f>(D54*19.5%)-141000</f>
        <v>2296814.34</v>
      </c>
      <c r="H54" s="23">
        <v>2221591</v>
      </c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>
        <f t="shared" si="1"/>
        <v>14798426.34</v>
      </c>
      <c r="AB54" s="23">
        <f t="shared" si="1"/>
        <v>14798426.34</v>
      </c>
      <c r="AC54" s="23">
        <f t="shared" si="1"/>
        <v>14313761</v>
      </c>
      <c r="AD54" s="39">
        <v>7</v>
      </c>
      <c r="AE54" s="39">
        <v>7</v>
      </c>
      <c r="AF54" s="40">
        <v>7</v>
      </c>
    </row>
    <row r="55" spans="1:33" s="9" customFormat="1" x14ac:dyDescent="0.2">
      <c r="A55" s="10" t="s">
        <v>77</v>
      </c>
      <c r="B55" s="10" t="s">
        <v>32</v>
      </c>
      <c r="C55" s="23">
        <v>3224000</v>
      </c>
      <c r="D55" s="23">
        <f>3224000-22088</f>
        <v>3201912</v>
      </c>
      <c r="E55" s="23">
        <v>1419294</v>
      </c>
      <c r="F55" s="23">
        <v>660680</v>
      </c>
      <c r="G55" s="23">
        <v>660680</v>
      </c>
      <c r="H55" s="23">
        <v>113062</v>
      </c>
      <c r="I55" s="23">
        <f>2832000+765000</f>
        <v>3597000</v>
      </c>
      <c r="J55" s="23">
        <f>2832000+765000</f>
        <v>3597000</v>
      </c>
      <c r="K55" s="23">
        <v>2192111</v>
      </c>
      <c r="L55" s="23"/>
      <c r="M55" s="23"/>
      <c r="N55" s="23"/>
      <c r="O55" s="23"/>
      <c r="P55" s="23"/>
      <c r="Q55" s="23"/>
      <c r="R55" s="23"/>
      <c r="S55" s="23">
        <v>353104</v>
      </c>
      <c r="T55" s="23">
        <v>353104</v>
      </c>
      <c r="U55" s="23"/>
      <c r="V55" s="23"/>
      <c r="W55" s="23"/>
      <c r="X55" s="23"/>
      <c r="Y55" s="23"/>
      <c r="Z55" s="23"/>
      <c r="AA55" s="23">
        <f t="shared" si="1"/>
        <v>7481680</v>
      </c>
      <c r="AB55" s="23">
        <f t="shared" si="1"/>
        <v>7812696</v>
      </c>
      <c r="AC55" s="23">
        <f t="shared" si="1"/>
        <v>4077571</v>
      </c>
      <c r="AD55" s="39"/>
      <c r="AE55" s="39"/>
      <c r="AF55" s="40"/>
    </row>
    <row r="56" spans="1:33" s="9" customFormat="1" x14ac:dyDescent="0.2">
      <c r="A56" s="10" t="s">
        <v>68</v>
      </c>
      <c r="B56" s="10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>
        <v>0</v>
      </c>
      <c r="T56" s="23"/>
      <c r="U56" s="23"/>
      <c r="V56" s="23"/>
      <c r="W56" s="23"/>
      <c r="X56" s="23"/>
      <c r="Y56" s="23"/>
      <c r="Z56" s="23"/>
      <c r="AA56" s="23">
        <f t="shared" si="1"/>
        <v>0</v>
      </c>
      <c r="AB56" s="23">
        <f t="shared" si="1"/>
        <v>0</v>
      </c>
      <c r="AC56" s="23">
        <f t="shared" si="1"/>
        <v>0</v>
      </c>
      <c r="AD56" s="39">
        <v>2</v>
      </c>
      <c r="AE56" s="39">
        <v>2</v>
      </c>
      <c r="AF56" s="40">
        <v>2</v>
      </c>
    </row>
    <row r="57" spans="1:33" s="9" customFormat="1" x14ac:dyDescent="0.2">
      <c r="A57" s="10" t="s">
        <v>62</v>
      </c>
      <c r="B57" s="10" t="s">
        <v>32</v>
      </c>
      <c r="C57" s="23"/>
      <c r="D57" s="23"/>
      <c r="E57" s="23"/>
      <c r="F57" s="23"/>
      <c r="G57" s="23"/>
      <c r="H57" s="23"/>
      <c r="I57" s="23">
        <v>1485</v>
      </c>
      <c r="J57" s="23">
        <v>1485</v>
      </c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>
        <f t="shared" si="1"/>
        <v>1485</v>
      </c>
      <c r="AB57" s="23">
        <f t="shared" si="1"/>
        <v>1485</v>
      </c>
      <c r="AC57" s="23">
        <f t="shared" si="1"/>
        <v>0</v>
      </c>
      <c r="AD57" s="39"/>
      <c r="AE57" s="39"/>
      <c r="AF57" s="40"/>
    </row>
    <row r="58" spans="1:33" s="9" customFormat="1" x14ac:dyDescent="0.2">
      <c r="A58" s="10" t="s">
        <v>57</v>
      </c>
      <c r="B58" s="10" t="s">
        <v>32</v>
      </c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>
        <f t="shared" si="1"/>
        <v>0</v>
      </c>
      <c r="AB58" s="23">
        <f t="shared" si="1"/>
        <v>0</v>
      </c>
      <c r="AC58" s="23">
        <f t="shared" si="1"/>
        <v>0</v>
      </c>
      <c r="AD58" s="39"/>
      <c r="AE58" s="39"/>
      <c r="AF58" s="40"/>
    </row>
    <row r="59" spans="1:33" s="9" customFormat="1" x14ac:dyDescent="0.2">
      <c r="A59" s="10" t="s">
        <v>56</v>
      </c>
      <c r="B59" s="10" t="s">
        <v>32</v>
      </c>
      <c r="C59" s="23">
        <v>384000</v>
      </c>
      <c r="D59" s="23">
        <v>384000</v>
      </c>
      <c r="E59" s="23">
        <v>285351</v>
      </c>
      <c r="F59" s="23">
        <v>74880</v>
      </c>
      <c r="G59" s="23">
        <v>74880</v>
      </c>
      <c r="H59" s="23">
        <v>42063</v>
      </c>
      <c r="I59" s="23">
        <f>25000+20000+350000+167940+127000+100000</f>
        <v>789940</v>
      </c>
      <c r="J59" s="23">
        <f>25000+20000+350000+167940+127000+100000</f>
        <v>789940</v>
      </c>
      <c r="K59" s="23">
        <v>135601</v>
      </c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>
        <f t="shared" si="1"/>
        <v>1248820</v>
      </c>
      <c r="AB59" s="23">
        <f t="shared" si="1"/>
        <v>1248820</v>
      </c>
      <c r="AC59" s="23">
        <f t="shared" si="1"/>
        <v>463015</v>
      </c>
      <c r="AD59" s="39">
        <v>1</v>
      </c>
      <c r="AE59" s="39">
        <v>1</v>
      </c>
      <c r="AF59" s="40">
        <v>1</v>
      </c>
    </row>
    <row r="60" spans="1:33" s="9" customFormat="1" x14ac:dyDescent="0.2">
      <c r="A60" s="10" t="s">
        <v>21</v>
      </c>
      <c r="B60" s="10"/>
      <c r="C60" s="23">
        <f t="shared" ref="C60:Z60" si="2">SUM(C8:C59)</f>
        <v>29444652</v>
      </c>
      <c r="D60" s="23">
        <f t="shared" si="2"/>
        <v>28078311</v>
      </c>
      <c r="E60" s="23">
        <f t="shared" si="2"/>
        <v>22201807</v>
      </c>
      <c r="F60" s="23">
        <f t="shared" si="2"/>
        <v>5049536.34</v>
      </c>
      <c r="G60" s="23">
        <f t="shared" si="2"/>
        <v>4897001.34</v>
      </c>
      <c r="H60" s="23">
        <f t="shared" si="2"/>
        <v>3420667</v>
      </c>
      <c r="I60" s="23">
        <f t="shared" si="2"/>
        <v>41872853</v>
      </c>
      <c r="J60" s="23">
        <f t="shared" si="2"/>
        <v>120820388</v>
      </c>
      <c r="K60" s="23">
        <f t="shared" si="2"/>
        <v>74508878</v>
      </c>
      <c r="L60" s="23">
        <f t="shared" si="2"/>
        <v>8010000</v>
      </c>
      <c r="M60" s="23">
        <f t="shared" si="2"/>
        <v>8010000</v>
      </c>
      <c r="N60" s="23">
        <f t="shared" si="2"/>
        <v>5308518</v>
      </c>
      <c r="O60" s="23">
        <f t="shared" si="2"/>
        <v>98322880</v>
      </c>
      <c r="P60" s="23">
        <f t="shared" si="2"/>
        <v>105323508</v>
      </c>
      <c r="Q60" s="23">
        <f t="shared" si="2"/>
        <v>104013117</v>
      </c>
      <c r="R60" s="23">
        <f t="shared" si="2"/>
        <v>400000</v>
      </c>
      <c r="S60" s="23">
        <f>SUM(S8:S59)</f>
        <v>343603692</v>
      </c>
      <c r="T60" s="23">
        <f t="shared" si="2"/>
        <v>270677493</v>
      </c>
      <c r="U60" s="23">
        <f t="shared" si="2"/>
        <v>0</v>
      </c>
      <c r="V60" s="23">
        <f t="shared" si="2"/>
        <v>6084055</v>
      </c>
      <c r="W60" s="23">
        <f t="shared" si="2"/>
        <v>6084055</v>
      </c>
      <c r="X60" s="23">
        <f t="shared" si="2"/>
        <v>1205373</v>
      </c>
      <c r="Y60" s="23">
        <f t="shared" si="2"/>
        <v>374927673</v>
      </c>
      <c r="Z60" s="23">
        <f t="shared" si="2"/>
        <v>0</v>
      </c>
      <c r="AA60" s="23">
        <f t="shared" si="1"/>
        <v>184305294.34</v>
      </c>
      <c r="AB60" s="23">
        <f t="shared" si="1"/>
        <v>991744628.34000003</v>
      </c>
      <c r="AC60" s="23">
        <f t="shared" si="1"/>
        <v>486214535</v>
      </c>
      <c r="AD60" s="39">
        <f>SUM(AD7:AD59)</f>
        <v>25</v>
      </c>
      <c r="AE60" s="39">
        <f>SUM(AE7:AE59)</f>
        <v>25</v>
      </c>
      <c r="AF60" s="40">
        <f>SUM(AF7:AF59)</f>
        <v>21.75</v>
      </c>
      <c r="AG60" s="38"/>
    </row>
    <row r="61" spans="1:33" s="9" customFormat="1" x14ac:dyDescent="0.2">
      <c r="A61" s="10" t="s">
        <v>50</v>
      </c>
      <c r="B61" s="10" t="s">
        <v>32</v>
      </c>
      <c r="C61" s="23">
        <f>4842144+50000</f>
        <v>4892144</v>
      </c>
      <c r="D61" s="23">
        <v>7888918</v>
      </c>
      <c r="E61" s="23">
        <v>5967440</v>
      </c>
      <c r="F61" s="23">
        <v>866415</v>
      </c>
      <c r="G61" s="23">
        <v>1337792</v>
      </c>
      <c r="H61" s="23">
        <v>1003817</v>
      </c>
      <c r="I61" s="23">
        <f>320000+1040000+380000</f>
        <v>1740000</v>
      </c>
      <c r="J61" s="23">
        <v>1740000</v>
      </c>
      <c r="K61" s="23">
        <v>1193344</v>
      </c>
      <c r="L61" s="23"/>
      <c r="M61" s="23"/>
      <c r="N61" s="23"/>
      <c r="O61" s="23"/>
      <c r="P61" s="23"/>
      <c r="Q61" s="23"/>
      <c r="R61" s="23">
        <v>175000</v>
      </c>
      <c r="S61" s="23">
        <v>175000</v>
      </c>
      <c r="T61" s="23">
        <v>44967</v>
      </c>
      <c r="U61" s="23"/>
      <c r="V61" s="23"/>
      <c r="W61" s="23"/>
      <c r="X61" s="23"/>
      <c r="Y61" s="23">
        <v>0</v>
      </c>
      <c r="Z61" s="23"/>
      <c r="AA61" s="23">
        <f t="shared" si="1"/>
        <v>7673559</v>
      </c>
      <c r="AB61" s="23">
        <f t="shared" si="1"/>
        <v>11141710</v>
      </c>
      <c r="AC61" s="23">
        <f t="shared" si="1"/>
        <v>8209568</v>
      </c>
      <c r="AD61" s="39">
        <v>1</v>
      </c>
      <c r="AE61" s="39">
        <v>1</v>
      </c>
      <c r="AF61" s="40">
        <v>1</v>
      </c>
    </row>
    <row r="62" spans="1:33" s="9" customFormat="1" x14ac:dyDescent="0.2">
      <c r="A62" s="10" t="s">
        <v>11</v>
      </c>
      <c r="B62" s="10"/>
      <c r="C62" s="23">
        <f t="shared" ref="C62:Z62" si="3">SUM(C61)</f>
        <v>4892144</v>
      </c>
      <c r="D62" s="23">
        <f t="shared" si="3"/>
        <v>7888918</v>
      </c>
      <c r="E62" s="23">
        <f t="shared" si="3"/>
        <v>5967440</v>
      </c>
      <c r="F62" s="23">
        <f t="shared" si="3"/>
        <v>866415</v>
      </c>
      <c r="G62" s="23">
        <f t="shared" si="3"/>
        <v>1337792</v>
      </c>
      <c r="H62" s="23">
        <f>SUM(H61)</f>
        <v>1003817</v>
      </c>
      <c r="I62" s="23">
        <f>SUM(I61)</f>
        <v>1740000</v>
      </c>
      <c r="J62" s="23">
        <f t="shared" si="3"/>
        <v>1740000</v>
      </c>
      <c r="K62" s="23">
        <f t="shared" si="3"/>
        <v>1193344</v>
      </c>
      <c r="L62" s="23">
        <f t="shared" si="3"/>
        <v>0</v>
      </c>
      <c r="M62" s="23">
        <f t="shared" si="3"/>
        <v>0</v>
      </c>
      <c r="N62" s="23">
        <f t="shared" si="3"/>
        <v>0</v>
      </c>
      <c r="O62" s="23">
        <f t="shared" si="3"/>
        <v>0</v>
      </c>
      <c r="P62" s="23">
        <f t="shared" si="3"/>
        <v>0</v>
      </c>
      <c r="Q62" s="23">
        <f t="shared" si="3"/>
        <v>0</v>
      </c>
      <c r="R62" s="23">
        <f t="shared" si="3"/>
        <v>175000</v>
      </c>
      <c r="S62" s="23">
        <f t="shared" si="3"/>
        <v>175000</v>
      </c>
      <c r="T62" s="23">
        <f t="shared" si="3"/>
        <v>44967</v>
      </c>
      <c r="U62" s="23">
        <f t="shared" si="3"/>
        <v>0</v>
      </c>
      <c r="V62" s="23">
        <f t="shared" si="3"/>
        <v>0</v>
      </c>
      <c r="W62" s="23">
        <f t="shared" si="3"/>
        <v>0</v>
      </c>
      <c r="X62" s="23">
        <f t="shared" si="3"/>
        <v>0</v>
      </c>
      <c r="Y62" s="23">
        <f t="shared" si="3"/>
        <v>0</v>
      </c>
      <c r="Z62" s="23">
        <f t="shared" si="3"/>
        <v>0</v>
      </c>
      <c r="AA62" s="23">
        <f t="shared" si="1"/>
        <v>7673559</v>
      </c>
      <c r="AB62" s="23">
        <f t="shared" si="1"/>
        <v>11141710</v>
      </c>
      <c r="AC62" s="23">
        <f t="shared" si="1"/>
        <v>8209568</v>
      </c>
      <c r="AD62" s="39">
        <f>SUM(AD61)</f>
        <v>1</v>
      </c>
      <c r="AE62" s="39">
        <f>SUM(AE61)</f>
        <v>1</v>
      </c>
      <c r="AF62" s="39">
        <f>SUM(AF61)</f>
        <v>1</v>
      </c>
    </row>
    <row r="63" spans="1:33" s="9" customFormat="1" x14ac:dyDescent="0.2">
      <c r="A63" s="10" t="s">
        <v>12</v>
      </c>
      <c r="B63" s="10" t="s">
        <v>32</v>
      </c>
      <c r="C63" s="23"/>
      <c r="D63" s="23"/>
      <c r="E63" s="23"/>
      <c r="F63" s="23"/>
      <c r="G63" s="23">
        <v>0</v>
      </c>
      <c r="H63" s="23">
        <v>0</v>
      </c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>
        <f t="shared" si="1"/>
        <v>0</v>
      </c>
      <c r="AB63" s="23">
        <f t="shared" si="1"/>
        <v>0</v>
      </c>
      <c r="AC63" s="23">
        <f t="shared" si="1"/>
        <v>0</v>
      </c>
      <c r="AD63" s="39"/>
      <c r="AE63" s="39"/>
      <c r="AF63" s="40"/>
    </row>
    <row r="64" spans="1:33" x14ac:dyDescent="0.2">
      <c r="A64" s="10" t="s">
        <v>13</v>
      </c>
      <c r="B64" s="10"/>
      <c r="C64" s="23">
        <f t="shared" ref="C64:Z64" si="4">SUM(C63)</f>
        <v>0</v>
      </c>
      <c r="D64" s="23">
        <f t="shared" si="4"/>
        <v>0</v>
      </c>
      <c r="E64" s="23">
        <f t="shared" si="4"/>
        <v>0</v>
      </c>
      <c r="F64" s="23">
        <f t="shared" si="4"/>
        <v>0</v>
      </c>
      <c r="G64" s="23">
        <f t="shared" si="4"/>
        <v>0</v>
      </c>
      <c r="H64" s="23">
        <f t="shared" si="4"/>
        <v>0</v>
      </c>
      <c r="I64" s="23">
        <f t="shared" si="4"/>
        <v>0</v>
      </c>
      <c r="J64" s="23">
        <f t="shared" si="4"/>
        <v>0</v>
      </c>
      <c r="K64" s="23">
        <f t="shared" si="4"/>
        <v>0</v>
      </c>
      <c r="L64" s="23">
        <f t="shared" si="4"/>
        <v>0</v>
      </c>
      <c r="M64" s="23">
        <f t="shared" si="4"/>
        <v>0</v>
      </c>
      <c r="N64" s="23">
        <f t="shared" si="4"/>
        <v>0</v>
      </c>
      <c r="O64" s="23">
        <f t="shared" si="4"/>
        <v>0</v>
      </c>
      <c r="P64" s="23">
        <f t="shared" si="4"/>
        <v>0</v>
      </c>
      <c r="Q64" s="23">
        <f t="shared" si="4"/>
        <v>0</v>
      </c>
      <c r="R64" s="23">
        <f t="shared" si="4"/>
        <v>0</v>
      </c>
      <c r="S64" s="23">
        <f t="shared" si="4"/>
        <v>0</v>
      </c>
      <c r="T64" s="23">
        <f t="shared" si="4"/>
        <v>0</v>
      </c>
      <c r="U64" s="23">
        <f t="shared" si="4"/>
        <v>0</v>
      </c>
      <c r="V64" s="23">
        <f t="shared" si="4"/>
        <v>0</v>
      </c>
      <c r="W64" s="23">
        <f t="shared" si="4"/>
        <v>0</v>
      </c>
      <c r="X64" s="23">
        <f t="shared" si="4"/>
        <v>0</v>
      </c>
      <c r="Y64" s="23">
        <f t="shared" si="4"/>
        <v>0</v>
      </c>
      <c r="Z64" s="23">
        <f t="shared" si="4"/>
        <v>0</v>
      </c>
      <c r="AA64" s="23">
        <f t="shared" si="1"/>
        <v>0</v>
      </c>
      <c r="AB64" s="23">
        <f t="shared" si="1"/>
        <v>0</v>
      </c>
      <c r="AC64" s="23">
        <f t="shared" si="1"/>
        <v>0</v>
      </c>
      <c r="AD64" s="39"/>
      <c r="AE64" s="39"/>
      <c r="AF64" s="40"/>
      <c r="AG64" s="3"/>
    </row>
    <row r="65" spans="1:35" s="8" customFormat="1" x14ac:dyDescent="0.2">
      <c r="A65" s="7" t="s">
        <v>24</v>
      </c>
      <c r="B65" s="7"/>
      <c r="C65" s="25">
        <f t="shared" ref="C65:AF65" si="5">C60+C62+C64</f>
        <v>34336796</v>
      </c>
      <c r="D65" s="25">
        <f>D60+D62+D64</f>
        <v>35967229</v>
      </c>
      <c r="E65" s="25">
        <f t="shared" si="5"/>
        <v>28169247</v>
      </c>
      <c r="F65" s="25">
        <f t="shared" si="5"/>
        <v>5915951.3399999999</v>
      </c>
      <c r="G65" s="25">
        <f t="shared" si="5"/>
        <v>6234793.3399999999</v>
      </c>
      <c r="H65" s="25">
        <f t="shared" si="5"/>
        <v>4424484</v>
      </c>
      <c r="I65" s="25">
        <f t="shared" si="5"/>
        <v>43612853</v>
      </c>
      <c r="J65" s="25">
        <f t="shared" si="5"/>
        <v>122560388</v>
      </c>
      <c r="K65" s="25">
        <f t="shared" si="5"/>
        <v>75702222</v>
      </c>
      <c r="L65" s="25">
        <f t="shared" si="5"/>
        <v>8010000</v>
      </c>
      <c r="M65" s="25">
        <f t="shared" si="5"/>
        <v>8010000</v>
      </c>
      <c r="N65" s="25">
        <f t="shared" si="5"/>
        <v>5308518</v>
      </c>
      <c r="O65" s="25">
        <f t="shared" si="5"/>
        <v>98322880</v>
      </c>
      <c r="P65" s="25">
        <f t="shared" si="5"/>
        <v>105323508</v>
      </c>
      <c r="Q65" s="25">
        <f t="shared" si="5"/>
        <v>104013117</v>
      </c>
      <c r="R65" s="25">
        <f t="shared" si="5"/>
        <v>575000</v>
      </c>
      <c r="S65" s="25">
        <f t="shared" si="5"/>
        <v>343778692</v>
      </c>
      <c r="T65" s="25">
        <f t="shared" si="5"/>
        <v>270722460</v>
      </c>
      <c r="U65" s="25">
        <f t="shared" si="5"/>
        <v>0</v>
      </c>
      <c r="V65" s="25">
        <f t="shared" si="5"/>
        <v>6084055</v>
      </c>
      <c r="W65" s="25">
        <f t="shared" si="5"/>
        <v>6084055</v>
      </c>
      <c r="X65" s="25">
        <f t="shared" si="5"/>
        <v>1205373</v>
      </c>
      <c r="Y65" s="25">
        <f t="shared" si="5"/>
        <v>374927673</v>
      </c>
      <c r="Z65" s="25">
        <f t="shared" si="5"/>
        <v>0</v>
      </c>
      <c r="AA65" s="25">
        <f t="shared" si="5"/>
        <v>191978853.34</v>
      </c>
      <c r="AB65" s="25">
        <f>AB60+AB62+AB64</f>
        <v>1002886338.34</v>
      </c>
      <c r="AC65" s="25">
        <f>AC60+AC62+AC64</f>
        <v>494424103</v>
      </c>
      <c r="AD65" s="43">
        <f>AD60+AD62+AD64</f>
        <v>26</v>
      </c>
      <c r="AE65" s="43">
        <f>AE60+AE62+AE64</f>
        <v>26</v>
      </c>
      <c r="AF65" s="44">
        <f t="shared" si="5"/>
        <v>22.75</v>
      </c>
      <c r="AI65" s="35"/>
    </row>
    <row r="66" spans="1:35" s="2" customFormat="1" x14ac:dyDescent="0.2">
      <c r="A66" s="15" t="s">
        <v>58</v>
      </c>
      <c r="B66" s="7"/>
      <c r="C66" s="25"/>
      <c r="D66" s="26"/>
      <c r="E66" s="26"/>
      <c r="F66" s="26"/>
      <c r="G66" s="26"/>
      <c r="H66" s="26"/>
      <c r="I66" s="26"/>
      <c r="J66" s="26"/>
      <c r="K66" s="26"/>
      <c r="L66" s="26"/>
      <c r="M66" s="26"/>
      <c r="N66" s="23"/>
      <c r="O66" s="23"/>
      <c r="P66" s="26"/>
      <c r="Q66" s="23"/>
      <c r="R66" s="23"/>
      <c r="S66" s="26"/>
      <c r="T66" s="23"/>
      <c r="U66" s="23"/>
      <c r="V66" s="26"/>
      <c r="W66" s="26"/>
      <c r="X66" s="26"/>
      <c r="Y66" s="26"/>
      <c r="Z66" s="26"/>
      <c r="AA66" s="26"/>
      <c r="AB66" s="27">
        <f t="shared" ref="AB66:AC69" si="6">D66+G66+J66+M66+P66+S66+V66+Y66</f>
        <v>0</v>
      </c>
      <c r="AC66" s="28">
        <f t="shared" si="6"/>
        <v>0</v>
      </c>
      <c r="AD66" s="58"/>
      <c r="AE66" s="45"/>
      <c r="AF66" s="46"/>
      <c r="AG66" s="36"/>
      <c r="AH66" s="36"/>
    </row>
    <row r="67" spans="1:35" s="5" customFormat="1" x14ac:dyDescent="0.2">
      <c r="A67" s="15" t="s">
        <v>8</v>
      </c>
      <c r="B67" s="10" t="s">
        <v>32</v>
      </c>
      <c r="C67" s="23">
        <v>32098981</v>
      </c>
      <c r="D67" s="27">
        <f>32098981+12121956</f>
        <v>44220937</v>
      </c>
      <c r="E67" s="27">
        <v>30623939</v>
      </c>
      <c r="F67" s="27">
        <v>5380083</v>
      </c>
      <c r="G67" s="27">
        <f>5380083+2977410</f>
        <v>8357493</v>
      </c>
      <c r="H67" s="27">
        <v>5435985</v>
      </c>
      <c r="I67" s="27">
        <v>445936</v>
      </c>
      <c r="J67" s="27">
        <v>2409413</v>
      </c>
      <c r="K67" s="27">
        <v>1595795</v>
      </c>
      <c r="L67" s="27"/>
      <c r="M67" s="27"/>
      <c r="N67" s="27"/>
      <c r="O67" s="27"/>
      <c r="P67" s="27">
        <v>0</v>
      </c>
      <c r="Q67" s="27"/>
      <c r="R67" s="27"/>
      <c r="S67" s="27">
        <v>0</v>
      </c>
      <c r="T67" s="27">
        <v>0</v>
      </c>
      <c r="U67" s="27"/>
      <c r="V67" s="27"/>
      <c r="W67" s="27"/>
      <c r="X67" s="27"/>
      <c r="Y67" s="27">
        <v>0</v>
      </c>
      <c r="Z67" s="27"/>
      <c r="AA67" s="27">
        <f>C67+F67+I67+L67+O67+R67+U67+X67</f>
        <v>37925000</v>
      </c>
      <c r="AB67" s="27">
        <f t="shared" si="6"/>
        <v>54987843</v>
      </c>
      <c r="AC67" s="27">
        <f t="shared" si="6"/>
        <v>37655719</v>
      </c>
      <c r="AD67" s="45">
        <v>6.5</v>
      </c>
      <c r="AE67" s="45">
        <v>6.5</v>
      </c>
      <c r="AF67" s="46">
        <v>6</v>
      </c>
    </row>
    <row r="68" spans="1:35" s="5" customFormat="1" x14ac:dyDescent="0.2">
      <c r="A68" s="15" t="s">
        <v>87</v>
      </c>
      <c r="B68" s="10" t="s">
        <v>32</v>
      </c>
      <c r="C68" s="23"/>
      <c r="D68" s="27">
        <v>0</v>
      </c>
      <c r="E68" s="27"/>
      <c r="F68" s="27"/>
      <c r="G68" s="27">
        <v>0</v>
      </c>
      <c r="H68" s="27"/>
      <c r="I68" s="27"/>
      <c r="J68" s="27">
        <v>0</v>
      </c>
      <c r="K68" s="27"/>
      <c r="L68" s="27"/>
      <c r="M68" s="27"/>
      <c r="N68" s="27"/>
      <c r="O68" s="27"/>
      <c r="P68" s="27"/>
      <c r="Q68" s="27"/>
      <c r="R68" s="27"/>
      <c r="S68" s="27"/>
      <c r="T68" s="27"/>
      <c r="U68" s="27"/>
      <c r="V68" s="27"/>
      <c r="W68" s="27"/>
      <c r="X68" s="27"/>
      <c r="Y68" s="27"/>
      <c r="Z68" s="27"/>
      <c r="AA68" s="27"/>
      <c r="AB68" s="27">
        <f t="shared" si="6"/>
        <v>0</v>
      </c>
      <c r="AC68" s="27">
        <f t="shared" si="6"/>
        <v>0</v>
      </c>
      <c r="AD68" s="45"/>
      <c r="AE68" s="45"/>
      <c r="AF68" s="46"/>
    </row>
    <row r="69" spans="1:35" s="8" customFormat="1" x14ac:dyDescent="0.2">
      <c r="A69" s="7" t="s">
        <v>35</v>
      </c>
      <c r="B69" s="7"/>
      <c r="C69" s="26">
        <f>SUM(C67:C68)</f>
        <v>32098981</v>
      </c>
      <c r="D69" s="26">
        <f t="shared" ref="D69:Z69" si="7">SUM(D67:D68)</f>
        <v>44220937</v>
      </c>
      <c r="E69" s="26">
        <f t="shared" si="7"/>
        <v>30623939</v>
      </c>
      <c r="F69" s="26">
        <f t="shared" si="7"/>
        <v>5380083</v>
      </c>
      <c r="G69" s="26">
        <f t="shared" si="7"/>
        <v>8357493</v>
      </c>
      <c r="H69" s="26">
        <f t="shared" si="7"/>
        <v>5435985</v>
      </c>
      <c r="I69" s="26">
        <f t="shared" si="7"/>
        <v>445936</v>
      </c>
      <c r="J69" s="26">
        <f t="shared" si="7"/>
        <v>2409413</v>
      </c>
      <c r="K69" s="26">
        <f t="shared" si="7"/>
        <v>1595795</v>
      </c>
      <c r="L69" s="26">
        <f t="shared" si="7"/>
        <v>0</v>
      </c>
      <c r="M69" s="26">
        <f t="shared" si="7"/>
        <v>0</v>
      </c>
      <c r="N69" s="26">
        <f t="shared" si="7"/>
        <v>0</v>
      </c>
      <c r="O69" s="26">
        <f t="shared" si="7"/>
        <v>0</v>
      </c>
      <c r="P69" s="26">
        <f t="shared" si="7"/>
        <v>0</v>
      </c>
      <c r="Q69" s="26">
        <f t="shared" si="7"/>
        <v>0</v>
      </c>
      <c r="R69" s="26">
        <f t="shared" si="7"/>
        <v>0</v>
      </c>
      <c r="S69" s="26">
        <f t="shared" si="7"/>
        <v>0</v>
      </c>
      <c r="T69" s="26">
        <f t="shared" si="7"/>
        <v>0</v>
      </c>
      <c r="U69" s="26">
        <f t="shared" si="7"/>
        <v>0</v>
      </c>
      <c r="V69" s="26">
        <f t="shared" si="7"/>
        <v>0</v>
      </c>
      <c r="W69" s="26">
        <f t="shared" si="7"/>
        <v>0</v>
      </c>
      <c r="X69" s="26">
        <f t="shared" si="7"/>
        <v>0</v>
      </c>
      <c r="Y69" s="26">
        <f t="shared" si="7"/>
        <v>0</v>
      </c>
      <c r="Z69" s="26">
        <f t="shared" si="7"/>
        <v>0</v>
      </c>
      <c r="AA69" s="28">
        <f>C69+F69+I69+L69+O69+R69+U69+X69</f>
        <v>37925000</v>
      </c>
      <c r="AB69" s="28">
        <f t="shared" si="6"/>
        <v>54987843</v>
      </c>
      <c r="AC69" s="28">
        <f t="shared" si="6"/>
        <v>37655719</v>
      </c>
      <c r="AD69" s="47">
        <f>SUM(AD66:AD67)</f>
        <v>6.5</v>
      </c>
      <c r="AE69" s="47">
        <f>SUM(AE66:AE67)</f>
        <v>6.5</v>
      </c>
      <c r="AF69" s="48">
        <f>SUM(AF66:AF67)</f>
        <v>6</v>
      </c>
    </row>
    <row r="70" spans="1:35" s="1" customFormat="1" x14ac:dyDescent="0.2">
      <c r="A70" s="16" t="s">
        <v>59</v>
      </c>
      <c r="B70" s="16"/>
      <c r="C70" s="29">
        <f>C65+C69</f>
        <v>66435777</v>
      </c>
      <c r="D70" s="29">
        <f t="shared" ref="D70:AF70" si="8">D65+D69</f>
        <v>80188166</v>
      </c>
      <c r="E70" s="29">
        <f t="shared" si="8"/>
        <v>58793186</v>
      </c>
      <c r="F70" s="29">
        <f t="shared" si="8"/>
        <v>11296034.34</v>
      </c>
      <c r="G70" s="29">
        <f t="shared" si="8"/>
        <v>14592286.34</v>
      </c>
      <c r="H70" s="29">
        <f t="shared" si="8"/>
        <v>9860469</v>
      </c>
      <c r="I70" s="29">
        <f t="shared" si="8"/>
        <v>44058789</v>
      </c>
      <c r="J70" s="29">
        <f t="shared" si="8"/>
        <v>124969801</v>
      </c>
      <c r="K70" s="29">
        <f t="shared" si="8"/>
        <v>77298017</v>
      </c>
      <c r="L70" s="29">
        <f t="shared" si="8"/>
        <v>8010000</v>
      </c>
      <c r="M70" s="29">
        <f t="shared" si="8"/>
        <v>8010000</v>
      </c>
      <c r="N70" s="29">
        <f t="shared" si="8"/>
        <v>5308518</v>
      </c>
      <c r="O70" s="29">
        <f t="shared" si="8"/>
        <v>98322880</v>
      </c>
      <c r="P70" s="29">
        <f t="shared" si="8"/>
        <v>105323508</v>
      </c>
      <c r="Q70" s="29">
        <f t="shared" si="8"/>
        <v>104013117</v>
      </c>
      <c r="R70" s="29">
        <f t="shared" si="8"/>
        <v>575000</v>
      </c>
      <c r="S70" s="29">
        <f t="shared" si="8"/>
        <v>343778692</v>
      </c>
      <c r="T70" s="29">
        <f t="shared" si="8"/>
        <v>270722460</v>
      </c>
      <c r="U70" s="29">
        <f t="shared" si="8"/>
        <v>0</v>
      </c>
      <c r="V70" s="29">
        <f t="shared" si="8"/>
        <v>6084055</v>
      </c>
      <c r="W70" s="29">
        <f t="shared" si="8"/>
        <v>6084055</v>
      </c>
      <c r="X70" s="29">
        <f t="shared" si="8"/>
        <v>1205373</v>
      </c>
      <c r="Y70" s="29">
        <f t="shared" si="8"/>
        <v>374927673</v>
      </c>
      <c r="Z70" s="29">
        <f t="shared" si="8"/>
        <v>0</v>
      </c>
      <c r="AA70" s="29">
        <f>AA65+AA69</f>
        <v>229903853.34</v>
      </c>
      <c r="AB70" s="29">
        <f t="shared" si="8"/>
        <v>1057874181.34</v>
      </c>
      <c r="AC70" s="29">
        <f t="shared" si="8"/>
        <v>532079822</v>
      </c>
      <c r="AD70" s="49">
        <f t="shared" si="8"/>
        <v>32.5</v>
      </c>
      <c r="AE70" s="49">
        <f t="shared" si="8"/>
        <v>32.5</v>
      </c>
      <c r="AF70" s="50">
        <f t="shared" si="8"/>
        <v>28.75</v>
      </c>
    </row>
    <row r="71" spans="1:35" x14ac:dyDescent="0.2">
      <c r="A71" s="15" t="s">
        <v>28</v>
      </c>
      <c r="B71" s="15"/>
      <c r="C71" s="27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8"/>
      <c r="AD71" s="58"/>
      <c r="AE71" s="39"/>
      <c r="AF71" s="40"/>
    </row>
    <row r="72" spans="1:35" x14ac:dyDescent="0.2">
      <c r="A72" s="15" t="s">
        <v>36</v>
      </c>
      <c r="B72" s="15"/>
      <c r="C72" s="27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8"/>
      <c r="AD72" s="58"/>
      <c r="AE72" s="39"/>
      <c r="AF72" s="40"/>
    </row>
    <row r="73" spans="1:35" s="4" customFormat="1" ht="17.25" x14ac:dyDescent="0.4">
      <c r="A73" s="16" t="s">
        <v>59</v>
      </c>
      <c r="B73" s="16"/>
      <c r="C73" s="30">
        <f t="shared" ref="C73:Z73" si="9">C70+C71</f>
        <v>66435777</v>
      </c>
      <c r="D73" s="30">
        <f t="shared" si="9"/>
        <v>80188166</v>
      </c>
      <c r="E73" s="30">
        <f t="shared" si="9"/>
        <v>58793186</v>
      </c>
      <c r="F73" s="30">
        <f t="shared" si="9"/>
        <v>11296034.34</v>
      </c>
      <c r="G73" s="30">
        <f t="shared" si="9"/>
        <v>14592286.34</v>
      </c>
      <c r="H73" s="30">
        <f t="shared" si="9"/>
        <v>9860469</v>
      </c>
      <c r="I73" s="30">
        <f t="shared" si="9"/>
        <v>44058789</v>
      </c>
      <c r="J73" s="30">
        <f t="shared" si="9"/>
        <v>124969801</v>
      </c>
      <c r="K73" s="30">
        <f t="shared" si="9"/>
        <v>77298017</v>
      </c>
      <c r="L73" s="30">
        <f t="shared" si="9"/>
        <v>8010000</v>
      </c>
      <c r="M73" s="30">
        <f t="shared" si="9"/>
        <v>8010000</v>
      </c>
      <c r="N73" s="30">
        <f t="shared" si="9"/>
        <v>5308518</v>
      </c>
      <c r="O73" s="30">
        <f t="shared" si="9"/>
        <v>98322880</v>
      </c>
      <c r="P73" s="30">
        <f t="shared" si="9"/>
        <v>105323508</v>
      </c>
      <c r="Q73" s="30">
        <f t="shared" si="9"/>
        <v>104013117</v>
      </c>
      <c r="R73" s="30">
        <f t="shared" si="9"/>
        <v>575000</v>
      </c>
      <c r="S73" s="30">
        <f t="shared" si="9"/>
        <v>343778692</v>
      </c>
      <c r="T73" s="30">
        <f t="shared" si="9"/>
        <v>270722460</v>
      </c>
      <c r="U73" s="30">
        <f t="shared" si="9"/>
        <v>0</v>
      </c>
      <c r="V73" s="30">
        <f t="shared" si="9"/>
        <v>6084055</v>
      </c>
      <c r="W73" s="30">
        <f t="shared" si="9"/>
        <v>6084055</v>
      </c>
      <c r="X73" s="30">
        <f t="shared" si="9"/>
        <v>1205373</v>
      </c>
      <c r="Y73" s="30">
        <f t="shared" si="9"/>
        <v>374927673</v>
      </c>
      <c r="Z73" s="30">
        <f t="shared" si="9"/>
        <v>0</v>
      </c>
      <c r="AA73" s="30">
        <f t="shared" ref="AA73:AF73" si="10">AA70+AA71+AA72</f>
        <v>229903853.34</v>
      </c>
      <c r="AB73" s="30">
        <f t="shared" si="10"/>
        <v>1057874181.34</v>
      </c>
      <c r="AC73" s="30">
        <f t="shared" si="10"/>
        <v>532079822</v>
      </c>
      <c r="AD73" s="51">
        <f t="shared" si="10"/>
        <v>32.5</v>
      </c>
      <c r="AE73" s="51">
        <f t="shared" si="10"/>
        <v>32.5</v>
      </c>
      <c r="AF73" s="52">
        <f t="shared" si="10"/>
        <v>28.75</v>
      </c>
    </row>
  </sheetData>
  <mergeCells count="10">
    <mergeCell ref="U4:W4"/>
    <mergeCell ref="Y4:Z4"/>
    <mergeCell ref="AB4:AC4"/>
    <mergeCell ref="AD4:AF4"/>
    <mergeCell ref="C4:E4"/>
    <mergeCell ref="F4:H4"/>
    <mergeCell ref="J4:K4"/>
    <mergeCell ref="M4:N4"/>
    <mergeCell ref="O4:Q4"/>
    <mergeCell ref="S4:T4"/>
  </mergeCells>
  <pageMargins left="0" right="0" top="0" bottom="0" header="0.27559055118110237" footer="0.35433070866141736"/>
  <pageSetup paperSize="8" scale="39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4</vt:i4>
      </vt:variant>
    </vt:vector>
  </HeadingPairs>
  <TitlesOfParts>
    <vt:vector size="4" baseType="lpstr">
      <vt:lpstr>2020.évi ktv.</vt:lpstr>
      <vt:lpstr>2020.évi ei mód.</vt:lpstr>
      <vt:lpstr>2020.évi ei mód.II.</vt:lpstr>
      <vt:lpstr>2020.évi beszámoló</vt:lpstr>
    </vt:vector>
  </TitlesOfParts>
  <Company>Kistérség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Vértestolna</dc:creator>
  <cp:lastModifiedBy>Jegyzőititkárság</cp:lastModifiedBy>
  <cp:lastPrinted>2020-02-11T12:04:30Z</cp:lastPrinted>
  <dcterms:created xsi:type="dcterms:W3CDTF">2006-02-13T12:38:33Z</dcterms:created>
  <dcterms:modified xsi:type="dcterms:W3CDTF">2021-05-31T07:29:17Z</dcterms:modified>
</cp:coreProperties>
</file>