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644" documentId="8_{D57BE6DE-8E06-414F-8F7F-1CF91A2516F4}" xr6:coauthVersionLast="46" xr6:coauthVersionMax="46" xr10:uidLastSave="{218B0885-45D8-444E-9AEF-F4BDE013A1B3}"/>
  <bookViews>
    <workbookView xWindow="-120" yWindow="-120" windowWidth="29040" windowHeight="15840" tabRatio="599" firstSheet="1" activeTab="1" xr2:uid="{00000000-000D-0000-FFFF-FFFF00000000}"/>
  </bookViews>
  <sheets>
    <sheet name="1A. melléklet_BEVÉTEL_KIADÁS" sheetId="62" state="hidden" r:id="rId1"/>
    <sheet name="3. sz. m._kiadások-bevételek" sheetId="70" r:id="rId2"/>
    <sheet name="4.sz.m.Bevételek" sheetId="42" r:id="rId3"/>
    <sheet name="4.2. sz.m_felh.bev." sheetId="73" r:id="rId4"/>
    <sheet name="3.2.sz.mfelh.bev.részl ÁFA külö" sheetId="61" state="hidden" r:id="rId5"/>
    <sheet name="5. sz. m. Állami támogatások" sheetId="71" r:id="rId6"/>
    <sheet name="6.sz.m.Kiadások" sheetId="23" r:id="rId7"/>
    <sheet name="6.2. sz.m.felh.kiadás" sheetId="74" r:id="rId8"/>
    <sheet name="6A.sz.m.létszám-előir. " sheetId="57" state="hidden" r:id="rId9"/>
    <sheet name="7.sz.Műk.c.átadott.pe. " sheetId="75" r:id="rId10"/>
    <sheet name="7.2.sz.Felh.c.átadott pe." sheetId="79" state="hidden" r:id="rId11"/>
    <sheet name="8.sz.m Tartalékok" sheetId="78" r:id="rId12"/>
    <sheet name="9.sz.m.ütemterv" sheetId="59" r:id="rId13"/>
    <sheet name="10.sz. m.hitelállomány" sheetId="76" r:id="rId14"/>
    <sheet name="10.sz. korábbi évek kötelezetts" sheetId="66" state="hidden" r:id="rId15"/>
    <sheet name="11.sz.m.EU-s projektek" sheetId="53" r:id="rId16"/>
    <sheet name="13.sz.m. Műk_felhalm mérleg" sheetId="69" state="hidden" r:id="rId17"/>
    <sheet name="12.sz.m.kedvezmények" sheetId="68" r:id="rId18"/>
    <sheet name="13.sz.m.létszám-előir. " sheetId="72" r:id="rId19"/>
    <sheet name="Tájékoztató 1. többéves kihatás" sheetId="82" state="hidden" r:id="rId20"/>
    <sheet name="15.sz. m Önként vállalt" sheetId="77" state="hidden" r:id="rId21"/>
  </sheets>
  <definedNames>
    <definedName name="_xlnm._FilterDatabase" localSheetId="7" hidden="1">'6.2. sz.m.felh.kiadás'!$B$2:$B$29</definedName>
    <definedName name="_xlnm._FilterDatabase" localSheetId="9" hidden="1">'7.sz.Műk.c.átadott.pe. '!$4:$7</definedName>
    <definedName name="_xlnm.Print_Titles" localSheetId="2">'4.sz.m.Bevételek'!$1:$4</definedName>
    <definedName name="_xlnm.Print_Area" localSheetId="14">'10.sz. korábbi évek kötelezetts'!$A$1:$Q$29</definedName>
    <definedName name="_xlnm.Print_Area" localSheetId="15">'11.sz.m.EU-s projektek'!$A$1:$C$5</definedName>
    <definedName name="_xlnm.Print_Area" localSheetId="16">'13.sz.m. Műk_felhalm mérleg'!$A$1:$D$34</definedName>
    <definedName name="_xlnm.Print_Area" localSheetId="20">'15.sz. m Önként vállalt'!$A$1:$B$53</definedName>
    <definedName name="_xlnm.Print_Area" localSheetId="0">'1A. melléklet_BEVÉTEL_KIADÁS'!$A$1:$D$37</definedName>
    <definedName name="_xlnm.Print_Area" localSheetId="1">'3. sz. m._kiadások-bevételek'!$A$1:$P$66</definedName>
    <definedName name="_xlnm.Print_Area" localSheetId="4">'3.2.sz.mfelh.bev.részl ÁFA külö'!$A$1:$H$32</definedName>
    <definedName name="_xlnm.Print_Area" localSheetId="3">'4.2. sz.m_felh.bev.'!$A$1:$K$11</definedName>
    <definedName name="_xlnm.Print_Area" localSheetId="2">'4.sz.m.Bevételek'!$A$1:$E$27</definedName>
    <definedName name="_xlnm.Print_Area" localSheetId="5">'5. sz. m. Állami támogatások'!$A$1:$I$30</definedName>
    <definedName name="_xlnm.Print_Area" localSheetId="7">'6.2. sz.m.felh.kiadás'!$A$1:$C$27</definedName>
    <definedName name="_xlnm.Print_Area" localSheetId="6">'6.sz.m.Kiadások'!$A$1:$E$41</definedName>
    <definedName name="_xlnm.Print_Area" localSheetId="9">'7.sz.Műk.c.átadott.pe. '!$A$1:$M$25</definedName>
    <definedName name="_xlnm.Print_Area" localSheetId="11">'8.sz.m Tartalékok'!$A$1:$D$19</definedName>
    <definedName name="_xlnm.Print_Area" localSheetId="12">'9.sz.m.ütemterv'!$A$1:$O$19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71" l="1"/>
  <c r="H13" i="71"/>
  <c r="D13" i="71"/>
  <c r="C13" i="71"/>
  <c r="B4" i="59"/>
  <c r="D15" i="42"/>
  <c r="D64" i="70"/>
  <c r="C13" i="75"/>
  <c r="F44" i="70" l="1"/>
  <c r="C23" i="75" l="1"/>
  <c r="D50" i="70" s="1"/>
  <c r="M53" i="70" l="1"/>
  <c r="C24" i="70"/>
  <c r="C27" i="74" l="1"/>
  <c r="C20" i="23" l="1"/>
  <c r="C21" i="23"/>
  <c r="D21" i="23"/>
  <c r="E11" i="23"/>
  <c r="D8" i="23"/>
  <c r="C8" i="23"/>
  <c r="D7" i="23"/>
  <c r="C7" i="23"/>
  <c r="E21" i="23" l="1"/>
  <c r="P65" i="70"/>
  <c r="P63" i="70"/>
  <c r="O63" i="70"/>
  <c r="P62" i="70"/>
  <c r="O62" i="70"/>
  <c r="N61" i="70"/>
  <c r="M61" i="70"/>
  <c r="L61" i="70"/>
  <c r="L60" i="70" s="1"/>
  <c r="K61" i="70"/>
  <c r="K60" i="70" s="1"/>
  <c r="J61" i="70"/>
  <c r="I61" i="70"/>
  <c r="H61" i="70"/>
  <c r="H60" i="70" s="1"/>
  <c r="G61" i="70"/>
  <c r="G60" i="70" s="1"/>
  <c r="F61" i="70"/>
  <c r="E61" i="70"/>
  <c r="N60" i="70"/>
  <c r="M60" i="70"/>
  <c r="J60" i="70"/>
  <c r="I60" i="70"/>
  <c r="F60" i="70"/>
  <c r="E60" i="70"/>
  <c r="P58" i="70"/>
  <c r="O58" i="70"/>
  <c r="P57" i="70"/>
  <c r="O57" i="70"/>
  <c r="N56" i="70"/>
  <c r="M56" i="70"/>
  <c r="L56" i="70"/>
  <c r="K56" i="70"/>
  <c r="K53" i="70" s="1"/>
  <c r="J56" i="70"/>
  <c r="I56" i="70"/>
  <c r="H56" i="70"/>
  <c r="G56" i="70"/>
  <c r="G53" i="70" s="1"/>
  <c r="F56" i="70"/>
  <c r="E56" i="70"/>
  <c r="D56" i="70"/>
  <c r="P56" i="70" s="1"/>
  <c r="C56" i="70"/>
  <c r="P55" i="70"/>
  <c r="O55" i="70"/>
  <c r="P54" i="70"/>
  <c r="O54" i="70"/>
  <c r="N53" i="70"/>
  <c r="L53" i="70"/>
  <c r="J53" i="70"/>
  <c r="I53" i="70"/>
  <c r="H53" i="70"/>
  <c r="F53" i="70"/>
  <c r="E53" i="70"/>
  <c r="P52" i="70"/>
  <c r="O52" i="70"/>
  <c r="O51" i="70"/>
  <c r="P50" i="70"/>
  <c r="O50" i="70"/>
  <c r="P49" i="70"/>
  <c r="O49" i="70"/>
  <c r="N48" i="70"/>
  <c r="M48" i="70"/>
  <c r="M43" i="70" s="1"/>
  <c r="M42" i="70" s="1"/>
  <c r="M66" i="70" s="1"/>
  <c r="L48" i="70"/>
  <c r="L43" i="70" s="1"/>
  <c r="L42" i="70" s="1"/>
  <c r="L66" i="70" s="1"/>
  <c r="K48" i="70"/>
  <c r="K43" i="70" s="1"/>
  <c r="K42" i="70" s="1"/>
  <c r="K66" i="70" s="1"/>
  <c r="J48" i="70"/>
  <c r="I48" i="70"/>
  <c r="I43" i="70" s="1"/>
  <c r="H48" i="70"/>
  <c r="H43" i="70" s="1"/>
  <c r="G48" i="70"/>
  <c r="G43" i="70" s="1"/>
  <c r="F48" i="70"/>
  <c r="E48" i="70"/>
  <c r="E43" i="70" s="1"/>
  <c r="E42" i="70" s="1"/>
  <c r="E66" i="70" s="1"/>
  <c r="C48" i="70"/>
  <c r="C43" i="70" s="1"/>
  <c r="P47" i="70"/>
  <c r="O47" i="70"/>
  <c r="P46" i="70"/>
  <c r="O46" i="70"/>
  <c r="O45" i="70"/>
  <c r="P45" i="70"/>
  <c r="P44" i="70"/>
  <c r="O44" i="70"/>
  <c r="N43" i="70"/>
  <c r="J43" i="70"/>
  <c r="J42" i="70" s="1"/>
  <c r="J66" i="70" s="1"/>
  <c r="F43" i="70"/>
  <c r="F42" i="70" s="1"/>
  <c r="F66" i="70" s="1"/>
  <c r="O35" i="70"/>
  <c r="P34" i="70"/>
  <c r="O34" i="70"/>
  <c r="C64" i="70" s="1"/>
  <c r="C26" i="23" s="1"/>
  <c r="P33" i="70"/>
  <c r="O33" i="70"/>
  <c r="P32" i="70"/>
  <c r="O32" i="70"/>
  <c r="P31" i="70"/>
  <c r="O31" i="70"/>
  <c r="N30" i="70"/>
  <c r="N29" i="70" s="1"/>
  <c r="M30" i="70"/>
  <c r="M29" i="70" s="1"/>
  <c r="L30" i="70"/>
  <c r="L29" i="70" s="1"/>
  <c r="K30" i="70"/>
  <c r="J30" i="70"/>
  <c r="J29" i="70" s="1"/>
  <c r="I30" i="70"/>
  <c r="I29" i="70" s="1"/>
  <c r="H30" i="70"/>
  <c r="H29" i="70" s="1"/>
  <c r="G30" i="70"/>
  <c r="F30" i="70"/>
  <c r="F29" i="70" s="1"/>
  <c r="E30" i="70"/>
  <c r="E29" i="70" s="1"/>
  <c r="D30" i="70"/>
  <c r="C30" i="70"/>
  <c r="C29" i="70" s="1"/>
  <c r="K29" i="70"/>
  <c r="G29" i="70"/>
  <c r="P28" i="70"/>
  <c r="O28" i="70"/>
  <c r="P27" i="70"/>
  <c r="O27" i="70"/>
  <c r="N26" i="70"/>
  <c r="M26" i="70"/>
  <c r="M19" i="70" s="1"/>
  <c r="L26" i="70"/>
  <c r="K26" i="70"/>
  <c r="J26" i="70"/>
  <c r="I26" i="70"/>
  <c r="I19" i="70" s="1"/>
  <c r="I7" i="70" s="1"/>
  <c r="H26" i="70"/>
  <c r="G26" i="70"/>
  <c r="F26" i="70"/>
  <c r="E26" i="70"/>
  <c r="E19" i="70" s="1"/>
  <c r="D26" i="70"/>
  <c r="P26" i="70" s="1"/>
  <c r="C26" i="70"/>
  <c r="O26" i="70" s="1"/>
  <c r="P25" i="70"/>
  <c r="O25" i="70"/>
  <c r="O24" i="70"/>
  <c r="P24" i="70"/>
  <c r="N23" i="70"/>
  <c r="M23" i="70"/>
  <c r="L23" i="70"/>
  <c r="L19" i="70" s="1"/>
  <c r="K23" i="70"/>
  <c r="J23" i="70"/>
  <c r="I23" i="70"/>
  <c r="H23" i="70"/>
  <c r="G23" i="70"/>
  <c r="F23" i="70"/>
  <c r="E23" i="70"/>
  <c r="D23" i="70"/>
  <c r="P23" i="70" s="1"/>
  <c r="C23" i="70"/>
  <c r="O23" i="70" s="1"/>
  <c r="P22" i="70"/>
  <c r="O22" i="70"/>
  <c r="P21" i="70"/>
  <c r="O21" i="70"/>
  <c r="N20" i="70"/>
  <c r="N19" i="70" s="1"/>
  <c r="M20" i="70"/>
  <c r="L20" i="70"/>
  <c r="K20" i="70"/>
  <c r="K19" i="70" s="1"/>
  <c r="J20" i="70"/>
  <c r="J19" i="70" s="1"/>
  <c r="I20" i="70"/>
  <c r="H20" i="70"/>
  <c r="G20" i="70"/>
  <c r="G19" i="70" s="1"/>
  <c r="F20" i="70"/>
  <c r="F19" i="70" s="1"/>
  <c r="E20" i="70"/>
  <c r="D20" i="70"/>
  <c r="C20" i="70"/>
  <c r="C19" i="70" s="1"/>
  <c r="H19" i="70"/>
  <c r="P18" i="70"/>
  <c r="O18" i="70"/>
  <c r="P17" i="70"/>
  <c r="N17" i="70"/>
  <c r="M17" i="70"/>
  <c r="L17" i="70"/>
  <c r="K17" i="70"/>
  <c r="J17" i="70"/>
  <c r="I17" i="70"/>
  <c r="H17" i="70"/>
  <c r="H8" i="70" s="1"/>
  <c r="G17" i="70"/>
  <c r="F17" i="70"/>
  <c r="E17" i="70"/>
  <c r="O17" i="70" s="1"/>
  <c r="P16" i="70"/>
  <c r="O16" i="70"/>
  <c r="P15" i="70"/>
  <c r="O15" i="70"/>
  <c r="P14" i="70"/>
  <c r="O14" i="70"/>
  <c r="O13" i="70"/>
  <c r="C12" i="70"/>
  <c r="O12" i="70" s="1"/>
  <c r="P11" i="70"/>
  <c r="O11" i="70"/>
  <c r="P10" i="70"/>
  <c r="O10" i="70"/>
  <c r="N9" i="70"/>
  <c r="N8" i="70" s="1"/>
  <c r="N7" i="70" s="1"/>
  <c r="N36" i="70" s="1"/>
  <c r="M9" i="70"/>
  <c r="M8" i="70" s="1"/>
  <c r="M7" i="70" s="1"/>
  <c r="M36" i="70" s="1"/>
  <c r="L9" i="70"/>
  <c r="K9" i="70"/>
  <c r="J9" i="70"/>
  <c r="J8" i="70" s="1"/>
  <c r="J7" i="70" s="1"/>
  <c r="I9" i="70"/>
  <c r="I8" i="70" s="1"/>
  <c r="H9" i="70"/>
  <c r="G9" i="70"/>
  <c r="F9" i="70"/>
  <c r="F8" i="70" s="1"/>
  <c r="F7" i="70" s="1"/>
  <c r="E9" i="70"/>
  <c r="E8" i="70" s="1"/>
  <c r="D9" i="70"/>
  <c r="C9" i="70"/>
  <c r="O9" i="70" s="1"/>
  <c r="K8" i="70"/>
  <c r="K7" i="70" s="1"/>
  <c r="G8" i="70"/>
  <c r="G7" i="70" s="1"/>
  <c r="G36" i="70" s="1"/>
  <c r="E7" i="70"/>
  <c r="P9" i="70" l="1"/>
  <c r="N42" i="70"/>
  <c r="N66" i="70" s="1"/>
  <c r="L8" i="70"/>
  <c r="I42" i="70"/>
  <c r="I66" i="70" s="1"/>
  <c r="J36" i="70"/>
  <c r="I36" i="70"/>
  <c r="H42" i="70"/>
  <c r="H66" i="70" s="1"/>
  <c r="G42" i="70"/>
  <c r="G66" i="70" s="1"/>
  <c r="F36" i="70"/>
  <c r="P30" i="70"/>
  <c r="O29" i="70"/>
  <c r="C53" i="70"/>
  <c r="O53" i="70" s="1"/>
  <c r="C22" i="23"/>
  <c r="C23" i="23" s="1"/>
  <c r="D53" i="70"/>
  <c r="P53" i="70" s="1"/>
  <c r="D29" i="70"/>
  <c r="P29" i="70" s="1"/>
  <c r="P20" i="70"/>
  <c r="B5" i="59"/>
  <c r="C8" i="70"/>
  <c r="C7" i="70" s="1"/>
  <c r="O7" i="70" s="1"/>
  <c r="O8" i="70"/>
  <c r="H7" i="70"/>
  <c r="H36" i="70" s="1"/>
  <c r="L7" i="70"/>
  <c r="L36" i="70" s="1"/>
  <c r="C61" i="70"/>
  <c r="O64" i="70"/>
  <c r="C42" i="70"/>
  <c r="O43" i="70"/>
  <c r="E36" i="70"/>
  <c r="P13" i="70"/>
  <c r="D12" i="70"/>
  <c r="D8" i="70" s="1"/>
  <c r="P64" i="70"/>
  <c r="D61" i="70"/>
  <c r="K36" i="70"/>
  <c r="D19" i="70"/>
  <c r="P19" i="70" s="1"/>
  <c r="O19" i="70"/>
  <c r="O30" i="70"/>
  <c r="O48" i="70"/>
  <c r="O56" i="70"/>
  <c r="O20" i="70"/>
  <c r="C36" i="70" l="1"/>
  <c r="O36" i="70" s="1"/>
  <c r="P12" i="70"/>
  <c r="O42" i="70"/>
  <c r="D60" i="70"/>
  <c r="P60" i="70" s="1"/>
  <c r="P61" i="70"/>
  <c r="C60" i="70"/>
  <c r="O60" i="70" s="1"/>
  <c r="O61" i="70"/>
  <c r="O66" i="70" l="1"/>
  <c r="C66" i="70"/>
  <c r="D7" i="70"/>
  <c r="P8" i="70"/>
  <c r="P7" i="70" l="1"/>
  <c r="D36" i="70"/>
  <c r="P36" i="70" s="1"/>
  <c r="I28" i="71" l="1"/>
  <c r="E19" i="71"/>
  <c r="I19" i="71" s="1"/>
  <c r="I11" i="71"/>
  <c r="I10" i="71"/>
  <c r="I4" i="71"/>
  <c r="H5" i="71"/>
  <c r="C5" i="71"/>
  <c r="C26" i="71"/>
  <c r="I5" i="71" l="1"/>
  <c r="C30" i="71"/>
  <c r="I17" i="72" l="1"/>
  <c r="C5" i="23" l="1"/>
  <c r="C25" i="23"/>
  <c r="D9" i="23"/>
  <c r="C9" i="23"/>
  <c r="C15" i="23" l="1"/>
  <c r="C24" i="42"/>
  <c r="C23" i="42" s="1"/>
  <c r="C21" i="42"/>
  <c r="C19" i="42"/>
  <c r="C17" i="42" s="1"/>
  <c r="C13" i="42"/>
  <c r="C12" i="42"/>
  <c r="C11" i="42"/>
  <c r="C10" i="42"/>
  <c r="C8" i="42"/>
  <c r="C7" i="42"/>
  <c r="C20" i="42" l="1"/>
  <c r="C9" i="42"/>
  <c r="C6" i="42"/>
  <c r="C16" i="42" l="1"/>
  <c r="C5" i="42"/>
  <c r="C26" i="42" l="1"/>
  <c r="C25" i="42" s="1"/>
  <c r="C27" i="42" s="1"/>
  <c r="C16" i="23"/>
  <c r="C7" i="79" l="1"/>
  <c r="C10" i="73" l="1"/>
  <c r="C11" i="73" s="1"/>
  <c r="B7" i="59" l="1"/>
  <c r="B10" i="59"/>
  <c r="B11" i="59"/>
  <c r="B12" i="59"/>
  <c r="B13" i="59"/>
  <c r="B3" i="59" l="1"/>
  <c r="C17" i="23" l="1"/>
  <c r="C27" i="23" l="1"/>
  <c r="Q9" i="75"/>
  <c r="E9" i="75"/>
  <c r="G9" i="75" s="1"/>
  <c r="I9" i="75" s="1"/>
  <c r="H17" i="72"/>
  <c r="E17" i="72"/>
  <c r="F17" i="72"/>
  <c r="G17" i="72"/>
  <c r="K9" i="75" l="1"/>
  <c r="M9" i="75" s="1"/>
  <c r="O9" i="75" s="1"/>
  <c r="D15" i="23" l="1"/>
  <c r="D40" i="62" s="1"/>
  <c r="D38" i="62"/>
  <c r="D24" i="42"/>
  <c r="D23" i="42" s="1"/>
  <c r="D13" i="42"/>
  <c r="E13" i="42" s="1"/>
  <c r="D11" i="42"/>
  <c r="D10" i="42"/>
  <c r="E10" i="42" s="1"/>
  <c r="D8" i="42"/>
  <c r="D7" i="42"/>
  <c r="Q21" i="75"/>
  <c r="Q18" i="75"/>
  <c r="Q16" i="75"/>
  <c r="Q12" i="75"/>
  <c r="Q11" i="75"/>
  <c r="Q10" i="75"/>
  <c r="Q8" i="75"/>
  <c r="Q7" i="75"/>
  <c r="Q6" i="75"/>
  <c r="Q5" i="75"/>
  <c r="B16" i="78"/>
  <c r="B4" i="78" s="1"/>
  <c r="E12" i="75"/>
  <c r="G12" i="75" s="1"/>
  <c r="K12" i="75" s="1"/>
  <c r="M12" i="75" s="1"/>
  <c r="O12" i="75" s="1"/>
  <c r="E11" i="75"/>
  <c r="G11" i="75" s="1"/>
  <c r="D51" i="70"/>
  <c r="H30" i="71"/>
  <c r="E30" i="71"/>
  <c r="O6" i="59"/>
  <c r="N12" i="59"/>
  <c r="D12" i="59"/>
  <c r="D4" i="59"/>
  <c r="C17" i="69"/>
  <c r="C11" i="69"/>
  <c r="C9" i="69"/>
  <c r="A21" i="69"/>
  <c r="A20" i="69"/>
  <c r="A19" i="69"/>
  <c r="A18" i="69"/>
  <c r="A17" i="69"/>
  <c r="B12" i="69"/>
  <c r="C10" i="69"/>
  <c r="A11" i="69"/>
  <c r="A10" i="69"/>
  <c r="A9" i="69"/>
  <c r="A8" i="69"/>
  <c r="C40" i="62"/>
  <c r="C38" i="62"/>
  <c r="E14" i="23"/>
  <c r="E13" i="23"/>
  <c r="E12" i="23"/>
  <c r="E10" i="23"/>
  <c r="E9" i="23"/>
  <c r="E8" i="23"/>
  <c r="C32" i="62"/>
  <c r="C28" i="62" s="1"/>
  <c r="C27" i="62" s="1"/>
  <c r="C25" i="62"/>
  <c r="C24" i="62" s="1"/>
  <c r="C22" i="62"/>
  <c r="C21" i="62" s="1"/>
  <c r="C20" i="62"/>
  <c r="C18" i="62" s="1"/>
  <c r="C16" i="62"/>
  <c r="D16" i="62"/>
  <c r="C14" i="62"/>
  <c r="C12" i="62"/>
  <c r="C13" i="62"/>
  <c r="C11" i="62"/>
  <c r="C9" i="62"/>
  <c r="C8" i="62"/>
  <c r="D52" i="62"/>
  <c r="C52" i="62"/>
  <c r="D48" i="62"/>
  <c r="D45" i="62" s="1"/>
  <c r="C48" i="62"/>
  <c r="C45" i="62" s="1"/>
  <c r="D41" i="62"/>
  <c r="C41" i="62"/>
  <c r="D14" i="42"/>
  <c r="D15" i="62" s="1"/>
  <c r="F26" i="71"/>
  <c r="B20" i="69"/>
  <c r="B19" i="69"/>
  <c r="B18" i="69"/>
  <c r="G9" i="73"/>
  <c r="I9" i="73" s="1"/>
  <c r="K9" i="73" s="1"/>
  <c r="A37" i="77"/>
  <c r="B37" i="77"/>
  <c r="A38" i="77"/>
  <c r="B38" i="77"/>
  <c r="A39" i="77"/>
  <c r="B39" i="77"/>
  <c r="A40" i="77"/>
  <c r="B40" i="77"/>
  <c r="A41" i="77"/>
  <c r="B41" i="77"/>
  <c r="A42" i="77"/>
  <c r="B42" i="77"/>
  <c r="A43" i="77"/>
  <c r="B43" i="77"/>
  <c r="A44" i="77"/>
  <c r="B44" i="77"/>
  <c r="A45" i="77"/>
  <c r="B45" i="77"/>
  <c r="A46" i="77"/>
  <c r="B46" i="77"/>
  <c r="A47" i="77"/>
  <c r="B47" i="77"/>
  <c r="A48" i="77"/>
  <c r="B48" i="77"/>
  <c r="A49" i="77"/>
  <c r="B49" i="77"/>
  <c r="A50" i="77"/>
  <c r="B50" i="77"/>
  <c r="A51" i="77"/>
  <c r="B51" i="77"/>
  <c r="A52" i="77"/>
  <c r="B52" i="77"/>
  <c r="A53" i="77"/>
  <c r="B53" i="77"/>
  <c r="B36" i="77"/>
  <c r="B35" i="77" s="1"/>
  <c r="A36" i="77"/>
  <c r="B33" i="77"/>
  <c r="B32" i="77"/>
  <c r="B31" i="77" s="1"/>
  <c r="B22" i="77"/>
  <c r="B23" i="77"/>
  <c r="B24" i="77"/>
  <c r="B25" i="77"/>
  <c r="B26" i="77"/>
  <c r="B27" i="77"/>
  <c r="B28" i="77"/>
  <c r="B29" i="77"/>
  <c r="B21" i="77"/>
  <c r="B9" i="77"/>
  <c r="E10" i="75"/>
  <c r="G10" i="75" s="1"/>
  <c r="K10" i="75" s="1"/>
  <c r="M10" i="75" s="1"/>
  <c r="O10" i="75" s="1"/>
  <c r="B5" i="53"/>
  <c r="Q24" i="66"/>
  <c r="Q20" i="66"/>
  <c r="Q16" i="66"/>
  <c r="Q12" i="66"/>
  <c r="Q8" i="66"/>
  <c r="O26" i="66"/>
  <c r="P26" i="66" s="1"/>
  <c r="O27" i="66"/>
  <c r="Q27" i="66" s="1"/>
  <c r="B28" i="66"/>
  <c r="C28" i="66"/>
  <c r="D28" i="66"/>
  <c r="E28" i="66"/>
  <c r="F28" i="66"/>
  <c r="G28" i="66"/>
  <c r="H28" i="66"/>
  <c r="I28" i="66"/>
  <c r="J28" i="66"/>
  <c r="K28" i="66"/>
  <c r="L28" i="66"/>
  <c r="M28" i="66"/>
  <c r="N28" i="66"/>
  <c r="E10" i="66"/>
  <c r="O10" i="66" s="1"/>
  <c r="E14" i="66"/>
  <c r="E18" i="66"/>
  <c r="E22" i="66"/>
  <c r="E25" i="66"/>
  <c r="F18" i="66"/>
  <c r="F22" i="66"/>
  <c r="F25" i="66"/>
  <c r="G18" i="66"/>
  <c r="G22" i="66"/>
  <c r="G25" i="66"/>
  <c r="H22" i="66"/>
  <c r="H25" i="66"/>
  <c r="I25" i="66"/>
  <c r="I29" i="66" s="1"/>
  <c r="J25" i="66"/>
  <c r="K25" i="66"/>
  <c r="L25" i="66"/>
  <c r="M25" i="66"/>
  <c r="M29" i="66" s="1"/>
  <c r="N25" i="66"/>
  <c r="C10" i="57"/>
  <c r="C23" i="57"/>
  <c r="C26" i="57"/>
  <c r="D10" i="57"/>
  <c r="D23" i="57"/>
  <c r="D26" i="57"/>
  <c r="E10" i="57"/>
  <c r="E23" i="57"/>
  <c r="E26" i="57"/>
  <c r="F10" i="57"/>
  <c r="F23" i="57"/>
  <c r="F26" i="57"/>
  <c r="G10" i="57"/>
  <c r="G23" i="57"/>
  <c r="G26" i="57"/>
  <c r="H25" i="57"/>
  <c r="H24" i="57"/>
  <c r="H22" i="57"/>
  <c r="H21" i="57"/>
  <c r="H20" i="57"/>
  <c r="H17" i="57"/>
  <c r="H16" i="57"/>
  <c r="H15" i="57"/>
  <c r="H14" i="57"/>
  <c r="H13" i="57"/>
  <c r="H12" i="57"/>
  <c r="H11" i="57"/>
  <c r="H9" i="57"/>
  <c r="H8" i="57"/>
  <c r="H7" i="57"/>
  <c r="H6" i="57"/>
  <c r="O6" i="66"/>
  <c r="O7" i="66"/>
  <c r="P7" i="66" s="1"/>
  <c r="O8" i="66"/>
  <c r="O9" i="66"/>
  <c r="O11" i="66"/>
  <c r="P11" i="66" s="1"/>
  <c r="O12" i="66"/>
  <c r="O13" i="66"/>
  <c r="Q13" i="66" s="1"/>
  <c r="O15" i="66"/>
  <c r="P15" i="66" s="1"/>
  <c r="Q15" i="66" s="1"/>
  <c r="O16" i="66"/>
  <c r="O19" i="66"/>
  <c r="O20" i="66"/>
  <c r="O21" i="66"/>
  <c r="Q21" i="66" s="1"/>
  <c r="O23" i="66"/>
  <c r="O5" i="66"/>
  <c r="P5" i="66" s="1"/>
  <c r="E5" i="75"/>
  <c r="G5" i="75" s="1"/>
  <c r="E6" i="75"/>
  <c r="G6" i="75" s="1"/>
  <c r="E8" i="75"/>
  <c r="G8" i="75" s="1"/>
  <c r="K8" i="75" s="1"/>
  <c r="M8" i="75" s="1"/>
  <c r="O8" i="75" s="1"/>
  <c r="D13" i="75"/>
  <c r="F13" i="75"/>
  <c r="H13" i="75"/>
  <c r="J13" i="75"/>
  <c r="L13" i="75"/>
  <c r="N13" i="75"/>
  <c r="M14" i="75"/>
  <c r="O14" i="75" s="1"/>
  <c r="M15" i="75"/>
  <c r="O15" i="75" s="1"/>
  <c r="G16" i="75"/>
  <c r="I16" i="75" s="1"/>
  <c r="D23" i="75"/>
  <c r="E23" i="75"/>
  <c r="F23" i="75"/>
  <c r="H23" i="75"/>
  <c r="J23" i="75"/>
  <c r="L23" i="75"/>
  <c r="N23" i="75"/>
  <c r="M24" i="75"/>
  <c r="O24" i="75" s="1"/>
  <c r="I4" i="73"/>
  <c r="K4" i="73" s="1"/>
  <c r="E9" i="73"/>
  <c r="D10" i="73"/>
  <c r="E10" i="73" s="1"/>
  <c r="F10" i="73"/>
  <c r="H10" i="73"/>
  <c r="J10" i="73"/>
  <c r="C10" i="72"/>
  <c r="C17" i="72" s="1"/>
  <c r="D10" i="72"/>
  <c r="D17" i="72" s="1"/>
  <c r="B4" i="68"/>
  <c r="B7" i="68"/>
  <c r="B9" i="68"/>
  <c r="B12" i="68"/>
  <c r="B19" i="68"/>
  <c r="B21" i="68"/>
  <c r="D10" i="66"/>
  <c r="D25" i="66"/>
  <c r="B6" i="66"/>
  <c r="C6" i="66"/>
  <c r="C10" i="66"/>
  <c r="C14" i="66"/>
  <c r="C18" i="66"/>
  <c r="C22" i="66"/>
  <c r="C25" i="66"/>
  <c r="D6" i="66"/>
  <c r="B10" i="66"/>
  <c r="B14" i="66"/>
  <c r="D14" i="66"/>
  <c r="B18" i="66"/>
  <c r="D18" i="66"/>
  <c r="B22" i="66"/>
  <c r="D22" i="66"/>
  <c r="B25" i="66"/>
  <c r="O18" i="59"/>
  <c r="E5" i="61"/>
  <c r="F5" i="61" s="1"/>
  <c r="C6" i="61"/>
  <c r="G6" i="61"/>
  <c r="C7" i="61"/>
  <c r="E7" i="61" s="1"/>
  <c r="G7" i="61"/>
  <c r="C8" i="61"/>
  <c r="E8" i="61" s="1"/>
  <c r="G8" i="61"/>
  <c r="E9" i="61"/>
  <c r="G9" i="61"/>
  <c r="E10" i="61"/>
  <c r="G10" i="61"/>
  <c r="F10" i="61" s="1"/>
  <c r="C11" i="61"/>
  <c r="E11" i="61" s="1"/>
  <c r="G11" i="61"/>
  <c r="D12" i="61"/>
  <c r="D32" i="61" s="1"/>
  <c r="E13" i="61"/>
  <c r="G13" i="61"/>
  <c r="E14" i="61"/>
  <c r="G14" i="61"/>
  <c r="F15" i="61"/>
  <c r="E16" i="61"/>
  <c r="H16" i="61" s="1"/>
  <c r="E17" i="61"/>
  <c r="H17" i="61" s="1"/>
  <c r="E18" i="61"/>
  <c r="F18" i="61" s="1"/>
  <c r="G19" i="61"/>
  <c r="G20" i="61"/>
  <c r="E21" i="61"/>
  <c r="F21" i="61" s="1"/>
  <c r="H21" i="6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G30" i="61"/>
  <c r="D31" i="61"/>
  <c r="F31" i="61"/>
  <c r="H31" i="61"/>
  <c r="O24" i="66"/>
  <c r="O17" i="66"/>
  <c r="Q17" i="66" s="1"/>
  <c r="C5" i="53"/>
  <c r="B18" i="77"/>
  <c r="B17" i="77" s="1"/>
  <c r="B10" i="69"/>
  <c r="I13" i="59"/>
  <c r="H12" i="59"/>
  <c r="C12" i="59"/>
  <c r="I12" i="59"/>
  <c r="D11" i="59"/>
  <c r="J11" i="59"/>
  <c r="O7" i="59"/>
  <c r="D21" i="42"/>
  <c r="E21" i="42" s="1"/>
  <c r="B17" i="69"/>
  <c r="L10" i="59"/>
  <c r="C10" i="59"/>
  <c r="G10" i="59"/>
  <c r="C39" i="62"/>
  <c r="F17" i="61"/>
  <c r="N13" i="59"/>
  <c r="H5" i="61"/>
  <c r="C11" i="59"/>
  <c r="N11" i="59"/>
  <c r="G3" i="59"/>
  <c r="H3" i="59"/>
  <c r="P51" i="70" l="1"/>
  <c r="D48" i="70"/>
  <c r="G24" i="61"/>
  <c r="K29" i="66"/>
  <c r="F16" i="61"/>
  <c r="F9" i="61"/>
  <c r="F7" i="61"/>
  <c r="J17" i="72"/>
  <c r="D8" i="62"/>
  <c r="D6" i="42"/>
  <c r="P10" i="66"/>
  <c r="Q10" i="66" s="1"/>
  <c r="H26" i="57"/>
  <c r="Q11" i="66"/>
  <c r="D27" i="57"/>
  <c r="H29" i="66"/>
  <c r="G30" i="71"/>
  <c r="E15" i="23"/>
  <c r="E24" i="61"/>
  <c r="H24" i="61" s="1"/>
  <c r="H10" i="61"/>
  <c r="F14" i="61"/>
  <c r="C27" i="57"/>
  <c r="G29" i="66"/>
  <c r="H10" i="57"/>
  <c r="H18" i="61"/>
  <c r="F13" i="61"/>
  <c r="H11" i="73"/>
  <c r="B11" i="69"/>
  <c r="B16" i="59"/>
  <c r="D22" i="23"/>
  <c r="E22" i="23" s="1"/>
  <c r="D26" i="42"/>
  <c r="D25" i="42" s="1"/>
  <c r="E25" i="42" s="1"/>
  <c r="Q24" i="75"/>
  <c r="D14" i="62"/>
  <c r="D20" i="23"/>
  <c r="E20" i="23" s="1"/>
  <c r="D25" i="75"/>
  <c r="F25" i="75"/>
  <c r="D11" i="69"/>
  <c r="I26" i="71"/>
  <c r="I30" i="71" s="1"/>
  <c r="D39" i="62"/>
  <c r="D11" i="62"/>
  <c r="D25" i="62"/>
  <c r="D24" i="62" s="1"/>
  <c r="D22" i="62"/>
  <c r="D21" i="62" s="1"/>
  <c r="D20" i="42"/>
  <c r="E20" i="42" s="1"/>
  <c r="D19" i="42"/>
  <c r="D20" i="62" s="1"/>
  <c r="D18" i="62" s="1"/>
  <c r="G10" i="73"/>
  <c r="I10" i="73" s="1"/>
  <c r="K10" i="73" s="1"/>
  <c r="F11" i="73"/>
  <c r="H25" i="75"/>
  <c r="Q13" i="75"/>
  <c r="L25" i="75"/>
  <c r="R13" i="75"/>
  <c r="R25" i="75" s="1"/>
  <c r="I12" i="75"/>
  <c r="K16" i="75"/>
  <c r="M16" i="75" s="1"/>
  <c r="O16" i="75" s="1"/>
  <c r="I10" i="75"/>
  <c r="I8" i="75"/>
  <c r="B20" i="77"/>
  <c r="N10" i="59"/>
  <c r="K12" i="59"/>
  <c r="M4" i="59"/>
  <c r="C7" i="62"/>
  <c r="K3" i="59"/>
  <c r="E3" i="59"/>
  <c r="N3" i="59"/>
  <c r="C12" i="61"/>
  <c r="C32" i="61" s="1"/>
  <c r="D11" i="73"/>
  <c r="E11" i="73" s="1"/>
  <c r="B9" i="69"/>
  <c r="N4" i="59"/>
  <c r="G4" i="59"/>
  <c r="C4" i="59"/>
  <c r="J13" i="59"/>
  <c r="F13" i="59"/>
  <c r="K13" i="59"/>
  <c r="M13" i="59"/>
  <c r="D12" i="62"/>
  <c r="E11" i="42"/>
  <c r="C3" i="59"/>
  <c r="D3" i="59"/>
  <c r="H14" i="61"/>
  <c r="C13" i="59"/>
  <c r="H9" i="61"/>
  <c r="H10" i="59"/>
  <c r="D10" i="59"/>
  <c r="J10" i="59"/>
  <c r="E10" i="59"/>
  <c r="E13" i="59"/>
  <c r="C15" i="62"/>
  <c r="C10" i="62"/>
  <c r="E11" i="59"/>
  <c r="M11" i="59"/>
  <c r="H11" i="59"/>
  <c r="F11" i="59"/>
  <c r="F3" i="59"/>
  <c r="J3" i="59"/>
  <c r="D12" i="42"/>
  <c r="J4" i="59"/>
  <c r="G13" i="59"/>
  <c r="M10" i="59"/>
  <c r="K10" i="59"/>
  <c r="I11" i="59"/>
  <c r="L11" i="59"/>
  <c r="F22" i="61"/>
  <c r="F24" i="61" s="1"/>
  <c r="D30" i="61"/>
  <c r="H30" i="61"/>
  <c r="J25" i="75"/>
  <c r="O25" i="66"/>
  <c r="I3" i="59"/>
  <c r="L3" i="59"/>
  <c r="M3" i="59"/>
  <c r="H4" i="59"/>
  <c r="K11" i="59"/>
  <c r="H13" i="61"/>
  <c r="H13" i="59"/>
  <c r="L13" i="59"/>
  <c r="E6" i="61"/>
  <c r="H6" i="61" s="1"/>
  <c r="F10" i="59"/>
  <c r="I10" i="59"/>
  <c r="C37" i="62"/>
  <c r="C36" i="62" s="1"/>
  <c r="C35" i="62" s="1"/>
  <c r="C34" i="62" s="1"/>
  <c r="Q5" i="66"/>
  <c r="G11" i="59"/>
  <c r="F4" i="59"/>
  <c r="D13" i="59"/>
  <c r="P23" i="66"/>
  <c r="Q23" i="66"/>
  <c r="O22" i="66"/>
  <c r="H11" i="61"/>
  <c r="C29" i="66"/>
  <c r="B8" i="68"/>
  <c r="B16" i="68" s="1"/>
  <c r="B22" i="68" s="1"/>
  <c r="E27" i="57"/>
  <c r="N29" i="66"/>
  <c r="J29" i="66"/>
  <c r="J11" i="73"/>
  <c r="F27" i="57"/>
  <c r="L29" i="66"/>
  <c r="E7" i="23"/>
  <c r="D5" i="23"/>
  <c r="P19" i="66"/>
  <c r="Q19" i="66" s="1"/>
  <c r="G12" i="61"/>
  <c r="H7" i="61"/>
  <c r="K6" i="75"/>
  <c r="M6" i="75" s="1"/>
  <c r="O6" i="75" s="1"/>
  <c r="I6" i="75"/>
  <c r="G27" i="57"/>
  <c r="H23" i="57"/>
  <c r="F29" i="66"/>
  <c r="E29" i="66"/>
  <c r="O14" i="66"/>
  <c r="K11" i="75"/>
  <c r="M11" i="75" s="1"/>
  <c r="O11" i="75" s="1"/>
  <c r="I11" i="75"/>
  <c r="E8" i="42"/>
  <c r="F8" i="61"/>
  <c r="H8" i="61"/>
  <c r="B29" i="66"/>
  <c r="O28" i="66"/>
  <c r="B14" i="69"/>
  <c r="E13" i="75"/>
  <c r="E25" i="75" s="1"/>
  <c r="F11" i="61"/>
  <c r="O18" i="66"/>
  <c r="I5" i="75"/>
  <c r="K5" i="75"/>
  <c r="G13" i="75"/>
  <c r="P6" i="66"/>
  <c r="Q6" i="66" s="1"/>
  <c r="B15" i="77"/>
  <c r="B14" i="77" s="1"/>
  <c r="B12" i="77"/>
  <c r="B11" i="77" s="1"/>
  <c r="B8" i="77"/>
  <c r="D9" i="62"/>
  <c r="C25" i="75"/>
  <c r="D29" i="66"/>
  <c r="I23" i="75"/>
  <c r="G23" i="75"/>
  <c r="N25" i="75"/>
  <c r="C17" i="62"/>
  <c r="J12" i="59"/>
  <c r="F12" i="59"/>
  <c r="G12" i="59"/>
  <c r="M12" i="59"/>
  <c r="L12" i="59"/>
  <c r="E12" i="59"/>
  <c r="Q26" i="66"/>
  <c r="E4" i="59"/>
  <c r="I4" i="59"/>
  <c r="K4" i="59"/>
  <c r="L4" i="59"/>
  <c r="Q7" i="66"/>
  <c r="B5" i="78"/>
  <c r="E7" i="42"/>
  <c r="F30" i="61"/>
  <c r="P48" i="70" l="1"/>
  <c r="B14" i="59" s="1"/>
  <c r="D43" i="70"/>
  <c r="D7" i="62"/>
  <c r="E26" i="42"/>
  <c r="B8" i="69"/>
  <c r="B7" i="69" s="1"/>
  <c r="B13" i="69" s="1"/>
  <c r="B15" i="69" s="1"/>
  <c r="B2" i="59"/>
  <c r="H2" i="59" s="1"/>
  <c r="D10" i="69"/>
  <c r="B6" i="59"/>
  <c r="D17" i="69"/>
  <c r="D22" i="69" s="1"/>
  <c r="D30" i="69" s="1"/>
  <c r="B15" i="59"/>
  <c r="G25" i="75"/>
  <c r="K25" i="75" s="1"/>
  <c r="M25" i="75" s="1"/>
  <c r="O25" i="75" s="1"/>
  <c r="O12" i="59"/>
  <c r="H27" i="57"/>
  <c r="E12" i="61"/>
  <c r="E32" i="61" s="1"/>
  <c r="F6" i="61"/>
  <c r="F12" i="61" s="1"/>
  <c r="Q25" i="75"/>
  <c r="S25" i="75" s="1"/>
  <c r="G11" i="73"/>
  <c r="I11" i="73" s="1"/>
  <c r="K11" i="73" s="1"/>
  <c r="D32" i="62"/>
  <c r="D28" i="62" s="1"/>
  <c r="D27" i="62" s="1"/>
  <c r="D23" i="23"/>
  <c r="E23" i="23" s="1"/>
  <c r="D30" i="71"/>
  <c r="F30" i="71"/>
  <c r="E19" i="42"/>
  <c r="D17" i="42"/>
  <c r="D16" i="42" s="1"/>
  <c r="E16" i="42" s="1"/>
  <c r="D17" i="62"/>
  <c r="D9" i="69"/>
  <c r="S13" i="75"/>
  <c r="O11" i="59"/>
  <c r="O10" i="59"/>
  <c r="D13" i="62"/>
  <c r="D10" i="62" s="1"/>
  <c r="D6" i="62" s="1"/>
  <c r="E12" i="42"/>
  <c r="D9" i="42"/>
  <c r="E9" i="42" s="1"/>
  <c r="O13" i="59"/>
  <c r="P25" i="66"/>
  <c r="Q25" i="66" s="1"/>
  <c r="D26" i="23"/>
  <c r="O4" i="59"/>
  <c r="P22" i="66"/>
  <c r="Q22" i="66" s="1"/>
  <c r="C6" i="62"/>
  <c r="C4" i="62" s="1"/>
  <c r="C59" i="62" s="1"/>
  <c r="O3" i="59"/>
  <c r="P18" i="66"/>
  <c r="Q18" i="66" s="1"/>
  <c r="M5" i="75"/>
  <c r="K13" i="75"/>
  <c r="P28" i="66"/>
  <c r="Q28" i="66" s="1"/>
  <c r="E6" i="42"/>
  <c r="G32" i="61"/>
  <c r="K23" i="75"/>
  <c r="E5" i="23"/>
  <c r="D37" i="62"/>
  <c r="D36" i="62" s="1"/>
  <c r="D35" i="62" s="1"/>
  <c r="D34" i="62" s="1"/>
  <c r="F5" i="59"/>
  <c r="M5" i="59"/>
  <c r="K5" i="59"/>
  <c r="G5" i="59"/>
  <c r="I5" i="59"/>
  <c r="J5" i="59"/>
  <c r="D5" i="59"/>
  <c r="E5" i="59"/>
  <c r="H5" i="59"/>
  <c r="C5" i="59"/>
  <c r="N5" i="59"/>
  <c r="L5" i="59"/>
  <c r="I13" i="75"/>
  <c r="B33" i="69"/>
  <c r="D33" i="69" s="1"/>
  <c r="B31" i="69"/>
  <c r="D31" i="69" s="1"/>
  <c r="P14" i="66"/>
  <c r="Q14" i="66" s="1"/>
  <c r="D42" i="70" l="1"/>
  <c r="P43" i="70"/>
  <c r="C2" i="59"/>
  <c r="G2" i="59"/>
  <c r="G8" i="59" s="1"/>
  <c r="M2" i="59"/>
  <c r="M8" i="59" s="1"/>
  <c r="D2" i="59"/>
  <c r="D8" i="59" s="1"/>
  <c r="E2" i="59"/>
  <c r="K2" i="59"/>
  <c r="K8" i="59" s="1"/>
  <c r="J2" i="59"/>
  <c r="J8" i="59" s="1"/>
  <c r="F2" i="59"/>
  <c r="F8" i="59" s="1"/>
  <c r="L2" i="59"/>
  <c r="L8" i="59" s="1"/>
  <c r="I2" i="59"/>
  <c r="N2" i="59"/>
  <c r="N8" i="59" s="1"/>
  <c r="D25" i="69"/>
  <c r="D26" i="69" s="1"/>
  <c r="D7" i="69"/>
  <c r="D13" i="69" s="1"/>
  <c r="D15" i="69" s="1"/>
  <c r="B8" i="59"/>
  <c r="I25" i="75"/>
  <c r="D25" i="23"/>
  <c r="E25" i="23" s="1"/>
  <c r="E26" i="23"/>
  <c r="H12" i="61"/>
  <c r="E17" i="42"/>
  <c r="B23" i="69"/>
  <c r="D4" i="62"/>
  <c r="D59" i="62" s="1"/>
  <c r="B29" i="69"/>
  <c r="D5" i="62"/>
  <c r="D5" i="42"/>
  <c r="E5" i="42" s="1"/>
  <c r="C5" i="62"/>
  <c r="Q29" i="66"/>
  <c r="O5" i="59"/>
  <c r="M23" i="75"/>
  <c r="O23" i="75" s="1"/>
  <c r="P29" i="66"/>
  <c r="O29" i="66"/>
  <c r="C15" i="59"/>
  <c r="D15" i="59"/>
  <c r="E15" i="59"/>
  <c r="L15" i="59"/>
  <c r="F15" i="59"/>
  <c r="H15" i="59"/>
  <c r="I15" i="59"/>
  <c r="M15" i="59"/>
  <c r="K15" i="59"/>
  <c r="N15" i="59"/>
  <c r="G15" i="59"/>
  <c r="J15" i="59"/>
  <c r="O5" i="75"/>
  <c r="O13" i="75" s="1"/>
  <c r="M13" i="75"/>
  <c r="F16" i="59"/>
  <c r="N16" i="59"/>
  <c r="G16" i="59"/>
  <c r="I16" i="59"/>
  <c r="C16" i="59"/>
  <c r="M16" i="59"/>
  <c r="J16" i="59"/>
  <c r="L16" i="59"/>
  <c r="E16" i="59"/>
  <c r="K16" i="59"/>
  <c r="H16" i="59"/>
  <c r="D16" i="59"/>
  <c r="C8" i="59"/>
  <c r="H8" i="59"/>
  <c r="F32" i="61"/>
  <c r="H32" i="61"/>
  <c r="E8" i="59"/>
  <c r="B21" i="69"/>
  <c r="B22" i="69" s="1"/>
  <c r="D16" i="23"/>
  <c r="P42" i="70" l="1"/>
  <c r="P66" i="70" s="1"/>
  <c r="D66" i="70"/>
  <c r="O2" i="59"/>
  <c r="O8" i="59" s="1"/>
  <c r="I8" i="59"/>
  <c r="B30" i="69"/>
  <c r="B32" i="69"/>
  <c r="B34" i="69" s="1"/>
  <c r="D27" i="42"/>
  <c r="E27" i="42" s="1"/>
  <c r="O15" i="59"/>
  <c r="E16" i="23"/>
  <c r="D17" i="23"/>
  <c r="O16" i="59"/>
  <c r="D29" i="69"/>
  <c r="D32" i="69" s="1"/>
  <c r="D34" i="69" s="1"/>
  <c r="B25" i="69"/>
  <c r="B26" i="69" s="1"/>
  <c r="G14" i="59"/>
  <c r="G17" i="59" s="1"/>
  <c r="G19" i="59" s="1"/>
  <c r="J14" i="59"/>
  <c r="J17" i="59" s="1"/>
  <c r="J19" i="59" s="1"/>
  <c r="M14" i="59"/>
  <c r="M17" i="59" s="1"/>
  <c r="M19" i="59" s="1"/>
  <c r="I14" i="59"/>
  <c r="I17" i="59" s="1"/>
  <c r="F14" i="59"/>
  <c r="F17" i="59" s="1"/>
  <c r="F19" i="59" s="1"/>
  <c r="E14" i="59"/>
  <c r="E17" i="59" s="1"/>
  <c r="E19" i="59" s="1"/>
  <c r="K14" i="59"/>
  <c r="K17" i="59" s="1"/>
  <c r="K19" i="59" s="1"/>
  <c r="H14" i="59"/>
  <c r="H17" i="59" s="1"/>
  <c r="H19" i="59" s="1"/>
  <c r="N14" i="59"/>
  <c r="N17" i="59" s="1"/>
  <c r="N19" i="59" s="1"/>
  <c r="D14" i="59"/>
  <c r="D17" i="59" s="1"/>
  <c r="D19" i="59" s="1"/>
  <c r="C14" i="59"/>
  <c r="L14" i="59"/>
  <c r="L17" i="59" s="1"/>
  <c r="L19" i="59" s="1"/>
  <c r="B17" i="59"/>
  <c r="B19" i="59" s="1"/>
  <c r="I19" i="59" l="1"/>
  <c r="L20" i="59"/>
  <c r="M20" i="59" s="1"/>
  <c r="O14" i="59"/>
  <c r="C17" i="59"/>
  <c r="D68" i="70"/>
  <c r="F20" i="59"/>
  <c r="G20" i="59" s="1"/>
  <c r="H20" i="59" s="1"/>
  <c r="E17" i="23"/>
  <c r="D27" i="23"/>
  <c r="E27" i="23" s="1"/>
  <c r="O17" i="59" l="1"/>
  <c r="C19" i="59"/>
  <c r="O19" i="5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4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4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4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4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Tamas</author>
  </authors>
  <commentList>
    <comment ref="M24" authorId="0" shapeId="0" xr:uid="{00000000-0006-0000-0E00-000001000000}">
      <text>
        <r>
          <rPr>
            <b/>
            <sz val="8"/>
            <color indexed="81"/>
            <rFont val="Tahoma"/>
            <family val="2"/>
            <charset val="238"/>
          </rPr>
          <t>tothkatalin:</t>
        </r>
        <r>
          <rPr>
            <sz val="8"/>
            <color indexed="81"/>
            <rFont val="Tahoma"/>
            <family val="2"/>
            <charset val="238"/>
          </rPr>
          <t xml:space="preserve">
utolsó részlet tartalmazza a 2012.12.31-i deviza átértékelést</t>
        </r>
      </text>
    </comment>
  </commentList>
</comments>
</file>

<file path=xl/sharedStrings.xml><?xml version="1.0" encoding="utf-8"?>
<sst xmlns="http://schemas.openxmlformats.org/spreadsheetml/2006/main" count="780" uniqueCount="535">
  <si>
    <t>Vízügyi építési alap bevételei</t>
  </si>
  <si>
    <t>Felhalmozási célú pénzeszköz átvétel összesen(+8+…11):</t>
  </si>
  <si>
    <t>Személyi juttatások</t>
  </si>
  <si>
    <t>Megnevezés</t>
  </si>
  <si>
    <t>Összesen</t>
  </si>
  <si>
    <t>sorszám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</si>
  <si>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</si>
  <si>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</si>
  <si>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</si>
  <si>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</si>
  <si>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</si>
  <si>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</si>
  <si>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</si>
  <si>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</si>
  <si>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</si>
  <si>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</si>
  <si>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</si>
  <si>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</si>
  <si>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II.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</si>
  <si>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</si>
  <si>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</si>
  <si>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</si>
  <si>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</si>
  <si>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</si>
  <si>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</si>
  <si>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</si>
  <si>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KIADÁSOK MINDÖSSZESEN:</t>
  </si>
  <si>
    <t>Projekt megnevezése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</si>
  <si>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</si>
  <si>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</si>
  <si>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</si>
  <si>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</si>
  <si>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</si>
  <si>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</si>
  <si>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</si>
  <si>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</si>
  <si>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</si>
  <si>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</si>
  <si>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Pénzmaradvány bevétele:</t>
  </si>
  <si>
    <t>BEVÉTELEK MINDÖSSZESEN(I+II+III)</t>
  </si>
  <si>
    <t>Változás %-ban</t>
  </si>
  <si>
    <t>Általános Iskola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</si>
  <si>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</si>
  <si>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</si>
  <si>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</si>
  <si>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</si>
  <si>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</si>
  <si>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Összeg (Ezer Ft-ban)</t>
  </si>
  <si>
    <t xml:space="preserve">  Ellátottak térítési díj méltányossági alapon történő elengedése</t>
  </si>
  <si>
    <t xml:space="preserve">  Kártérítés méltányossági alapon történő elengedése</t>
  </si>
  <si>
    <t xml:space="preserve">  Lakásépítéshez nyújtott kölcsönök</t>
  </si>
  <si>
    <t xml:space="preserve">  Lakásfelújításhoz nyújtott kölcsönök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</si>
  <si>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</si>
  <si>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</si>
  <si>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</si>
  <si>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</si>
  <si>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</si>
  <si>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</si>
  <si>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</si>
  <si>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</si>
  <si>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 xml:space="preserve">  Helyiségek hasznosításából származó bevételből nyújtott kedvezmény</t>
  </si>
  <si>
    <t xml:space="preserve">  Eszközök hasznosításából származó bevételből nyújtott kedvezmény</t>
  </si>
  <si>
    <t xml:space="preserve">  Egyéb nyújtott kedvezmény </t>
  </si>
  <si>
    <t>Kódszám (kulcsszám)</t>
  </si>
  <si>
    <t>Létszám</t>
  </si>
  <si>
    <t>(besorolási  osztály és fizetési fokozat)</t>
  </si>
  <si>
    <t>Hivatal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</si>
  <si>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</si>
  <si>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</si>
  <si>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</si>
  <si>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</si>
  <si>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</si>
  <si>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</si>
  <si>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</si>
  <si>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</si>
  <si>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</si>
  <si>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</si>
  <si>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</si>
  <si>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</si>
  <si>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</si>
  <si>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</si>
  <si>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</si>
  <si>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</si>
  <si>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</si>
  <si>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</si>
  <si>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</si>
  <si>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</si>
  <si>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</si>
  <si>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</si>
  <si>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</si>
  <si>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</si>
  <si>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</si>
  <si>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</si>
  <si>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</si>
  <si>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</si>
  <si>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</si>
  <si>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</si>
  <si>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</si>
  <si>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BEVÉTELEK MEGNEVEZÉSE</t>
  </si>
  <si>
    <t>BEVÉTELEK ÖSSZESEN:</t>
  </si>
  <si>
    <t>KIADÁSOK MEGNEVEZÉSE</t>
  </si>
  <si>
    <t>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</si>
  <si>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</si>
  <si>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</si>
  <si>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</si>
  <si>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</si>
  <si>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</si>
  <si>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</si>
  <si>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</si>
  <si>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</si>
  <si>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</si>
  <si>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</si>
  <si>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</si>
  <si>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</si>
  <si>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</si>
  <si>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</si>
  <si>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</si>
  <si>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</si>
  <si>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</si>
  <si>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</si>
  <si>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</si>
  <si>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</si>
  <si>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</si>
  <si>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</si>
  <si>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</si>
  <si>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</si>
  <si>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</si>
  <si>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</si>
  <si>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összesen (eFt)</t>
  </si>
  <si>
    <t>5=4/3 %</t>
  </si>
  <si>
    <t>Egyenleg</t>
  </si>
  <si>
    <t>Intézményi finanszírozás</t>
  </si>
  <si>
    <t>Szociális kiadások</t>
  </si>
  <si>
    <t xml:space="preserve">                                                          </t>
  </si>
  <si>
    <t>sorsz.</t>
  </si>
  <si>
    <t>Támogatott megnevezése</t>
  </si>
  <si>
    <t>Nagykovácsi Készenléti Szolgálat</t>
  </si>
  <si>
    <t>Fejér György Alapítvány</t>
  </si>
  <si>
    <t>Nagykovácsi Sport Egyesület</t>
  </si>
  <si>
    <t>eredeti</t>
  </si>
  <si>
    <t>Nagykovácsi Alapfokú Művészeti Iskola</t>
  </si>
  <si>
    <t>Önkormányzat</t>
  </si>
  <si>
    <t>Zsiroshegy I.ütem csatorna építés</t>
  </si>
  <si>
    <t>Induló hitel összeg:125 280 eFt</t>
  </si>
  <si>
    <t>5 év törlesztés</t>
  </si>
  <si>
    <t>Éves törl.össz.:</t>
  </si>
  <si>
    <t>Felszini vízelvezetés</t>
  </si>
  <si>
    <t>Öreg Iskola felújítása</t>
  </si>
  <si>
    <t>Útépítések</t>
  </si>
  <si>
    <t>XXI.sz.Iskola</t>
  </si>
  <si>
    <t xml:space="preserve">Kötvény kibocsátás </t>
  </si>
  <si>
    <t>Éves kötelezettség:</t>
  </si>
  <si>
    <t>FELHALMOZÁSI BEVÉTELEK</t>
  </si>
  <si>
    <t>Működési bevételek összesen</t>
  </si>
  <si>
    <t>Felhalmozási bevételek összesen</t>
  </si>
  <si>
    <t xml:space="preserve">Önkormányzati működési bevételek összesen: </t>
  </si>
  <si>
    <t xml:space="preserve">Önkormányzati felhalm. bevételek összesen: </t>
  </si>
  <si>
    <t>MŰKÖDÉSI KIADÁSOK</t>
  </si>
  <si>
    <t>FELHALMOZÁSI KIADÁSOK</t>
  </si>
  <si>
    <t>Felújítások</t>
  </si>
  <si>
    <t>Beruházások</t>
  </si>
  <si>
    <t>Működési kiadások összesen</t>
  </si>
  <si>
    <t>Felhalmozási kiadások összesen</t>
  </si>
  <si>
    <t>Polgármesteri Hivatal</t>
  </si>
  <si>
    <t>Kispatak Óvoda</t>
  </si>
  <si>
    <t>Öregiskola</t>
  </si>
  <si>
    <t>Jogcím</t>
  </si>
  <si>
    <t>Óvoda</t>
  </si>
  <si>
    <t xml:space="preserve">Összesen: </t>
  </si>
  <si>
    <t>TELJESÍTÉS</t>
  </si>
  <si>
    <t>TELJESÍTÉS %
teljesítés/nettó</t>
  </si>
  <si>
    <t>4.sz. mód</t>
  </si>
  <si>
    <t>4.sz módosított</t>
  </si>
  <si>
    <t>5.sz. mód</t>
  </si>
  <si>
    <t>5.sz módosított</t>
  </si>
  <si>
    <t>5=4/3 (%)</t>
  </si>
  <si>
    <t>Félévi mód.</t>
  </si>
  <si>
    <t>1.sz mód.</t>
  </si>
  <si>
    <t>1.sz. módosított</t>
  </si>
  <si>
    <t>Félévi módosított</t>
  </si>
  <si>
    <t>TELJESÍTÉS %</t>
  </si>
  <si>
    <t>2.sz mód.</t>
  </si>
  <si>
    <t>2.sz. módosított</t>
  </si>
  <si>
    <t>4.sz mód.</t>
  </si>
  <si>
    <t>4.sz. módosított</t>
  </si>
  <si>
    <t>5.sz mód.</t>
  </si>
  <si>
    <t>5.sz. módosított</t>
  </si>
  <si>
    <t>Pest-Megyei Rendőrkapitányság KMB támogatása</t>
  </si>
  <si>
    <t>Működési célú pénzeszköz átadás ÖSSZESEN:</t>
  </si>
  <si>
    <t>12=2…11</t>
  </si>
  <si>
    <t>Phivatal</t>
  </si>
  <si>
    <t>ÖSSZESÍTÉS</t>
  </si>
  <si>
    <t>Eredeti</t>
  </si>
  <si>
    <t>működési kiadás</t>
  </si>
  <si>
    <t>felhalmozási kiadás</t>
  </si>
  <si>
    <t>finanszirozás</t>
  </si>
  <si>
    <t>halmozott bevétel</t>
  </si>
  <si>
    <t>halmozott kiadás</t>
  </si>
  <si>
    <t>támogatás -</t>
  </si>
  <si>
    <t>támogatás</t>
  </si>
  <si>
    <t>halmozódásmentes bevétel</t>
  </si>
  <si>
    <t>halmozódásmentes kiadás</t>
  </si>
  <si>
    <t>2014.évi er. e.i.</t>
  </si>
  <si>
    <t>me. egység x mutató</t>
  </si>
  <si>
    <t>18,0 fő</t>
  </si>
  <si>
    <t>III.3.c (1) Szociális étkeztetés</t>
  </si>
  <si>
    <t>ÖNKORMÁNYZAT</t>
  </si>
  <si>
    <t>Általános tartalék összesen</t>
  </si>
  <si>
    <t>ÖNKORMÁNYZAT TARTALÉKAI ÖSSZESEN</t>
  </si>
  <si>
    <t>Feladat megnevezése</t>
  </si>
  <si>
    <t>Gyakornok fizetési osztály</t>
  </si>
  <si>
    <t>Ped. 1. fizetési osztály</t>
  </si>
  <si>
    <t>Ped. 2. fizetési osztály</t>
  </si>
  <si>
    <t>30610 - 306140</t>
  </si>
  <si>
    <t>2013. évi nyitó:4 693 eFt</t>
  </si>
  <si>
    <t>2013. évi nyitó: 3 136 eFt</t>
  </si>
  <si>
    <t>2013. évi nyitó: 11 680 eFt</t>
  </si>
  <si>
    <t>2013. évi nyitó: 2 705 eFt</t>
  </si>
  <si>
    <t>2013. évi nyitó: 323 242 eFt</t>
  </si>
  <si>
    <t>MFB ref. Hitel</t>
  </si>
  <si>
    <t>2013. évi nyitó: 31 972 eFt</t>
  </si>
  <si>
    <t>2014.évi adósság-</t>
  </si>
  <si>
    <t>2013.12.31-i záró</t>
  </si>
  <si>
    <t>( e Ft)</t>
  </si>
  <si>
    <t>konszolidáció (e Ft)</t>
  </si>
  <si>
    <t>Temetőben végzett felújítások</t>
  </si>
  <si>
    <t>Református imaház</t>
  </si>
  <si>
    <t>Civil Alap</t>
  </si>
  <si>
    <t>Német Nemzetiségi Önkormányzat</t>
  </si>
  <si>
    <t>Római Katolikus Egyházközség</t>
  </si>
  <si>
    <t>Peter Cerny Alapítvány</t>
  </si>
  <si>
    <t>Működési bevételek</t>
  </si>
  <si>
    <t>Közhatalmi bevételek</t>
  </si>
  <si>
    <t>MŰKÖDÉSI KÖLTSÉGVETÉS BEVÉTELEI</t>
  </si>
  <si>
    <t>Közalkalmazottak béren kívüli juttatása</t>
  </si>
  <si>
    <t>Összeg</t>
  </si>
  <si>
    <t>Szociális hozzájárulási adó</t>
  </si>
  <si>
    <t>Közalkalmazottak béren kívüli juttatása után EHO</t>
  </si>
  <si>
    <t>Közalkalmazottak béren kívüli juttatása után SZJA</t>
  </si>
  <si>
    <t>Pénzeszköz átadások</t>
  </si>
  <si>
    <t>Állami támogatásból nem fedezett szociális ellátások</t>
  </si>
  <si>
    <t>Az önkormányzat önként vállalt feladatainak részletezése</t>
  </si>
  <si>
    <t>felhalmozási bevétel</t>
  </si>
  <si>
    <t>működési bevétel</t>
  </si>
  <si>
    <t xml:space="preserve">Önkormányzati halmozott műk. kiadások összesen: </t>
  </si>
  <si>
    <t xml:space="preserve">Önkormányzati halmozott felhalm. kiadások összesen: </t>
  </si>
  <si>
    <t xml:space="preserve">Önkormányzati halm.mentes működési kiad. össz: </t>
  </si>
  <si>
    <t xml:space="preserve">Önkormányzati halm.mentes felhalmozási kiad. össz: </t>
  </si>
  <si>
    <t>bemutatása mérlegszerűen, ezer forintban</t>
  </si>
  <si>
    <t>Nagykovácsi Nagyközség Önkormányzat és intézményeinek összesített</t>
  </si>
  <si>
    <t>működési és felhalmozási célú bevételi és kiadási előirányzatainak</t>
  </si>
  <si>
    <t>1.sz. mód</t>
  </si>
  <si>
    <t>1.sz módosított</t>
  </si>
  <si>
    <t>ezer forintban</t>
  </si>
  <si>
    <t>Bevételi előirányzatok megnevezése</t>
  </si>
  <si>
    <t>Bölcsőde</t>
  </si>
  <si>
    <t>2015. évi előirányzat</t>
  </si>
  <si>
    <t>KÖLTSÉGVETÉSI BEVÉTELEK</t>
  </si>
  <si>
    <t>B1-B7</t>
  </si>
  <si>
    <t>I. Működési költségvetés összesen</t>
  </si>
  <si>
    <t>1. Működési célú támogatások államháztartáson belülről</t>
  </si>
  <si>
    <t>B1</t>
  </si>
  <si>
    <t>Önkormányzatok működési támogatásai</t>
  </si>
  <si>
    <t>B11</t>
  </si>
  <si>
    <t>Egyéb működési c.támogatások államháztartáson belülről</t>
  </si>
  <si>
    <t>B16</t>
  </si>
  <si>
    <t xml:space="preserve">2. Közhatalmi bevételek  </t>
  </si>
  <si>
    <t>B3</t>
  </si>
  <si>
    <t>Helyi adók</t>
  </si>
  <si>
    <t>B34,351,355</t>
  </si>
  <si>
    <t>Gépjárműadók</t>
  </si>
  <si>
    <t>B354</t>
  </si>
  <si>
    <t>Egyéb közhatalmi bevételek</t>
  </si>
  <si>
    <t>B36</t>
  </si>
  <si>
    <t>3. Működési bevételek</t>
  </si>
  <si>
    <t>B4</t>
  </si>
  <si>
    <t>4. Működési célú átvett pénzeszközök</t>
  </si>
  <si>
    <t>B6</t>
  </si>
  <si>
    <t>Egyéb működési célú átvett pénzeszközök</t>
  </si>
  <si>
    <t>B65</t>
  </si>
  <si>
    <t>II. Felhalmozási költségvetés  összesen</t>
  </si>
  <si>
    <t>1.Felhalmozási célú támogatások államháztartáson belülről</t>
  </si>
  <si>
    <t>B2</t>
  </si>
  <si>
    <t>Felhalmozási célú önkormányzati támogatások</t>
  </si>
  <si>
    <t>B21</t>
  </si>
  <si>
    <t>Egyéb felhalmozási c..támogatások államháztartáson belülről</t>
  </si>
  <si>
    <t>B25</t>
  </si>
  <si>
    <t>2. Felhalmozási bevételek</t>
  </si>
  <si>
    <t>B5</t>
  </si>
  <si>
    <t>Ingatlanok értékesítése</t>
  </si>
  <si>
    <t>B52</t>
  </si>
  <si>
    <t>Egyéb tárgyi eszközök értékesítése</t>
  </si>
  <si>
    <t>B53</t>
  </si>
  <si>
    <t>3. Felhalmozási célú átvett pénzeszközök</t>
  </si>
  <si>
    <t>B7</t>
  </si>
  <si>
    <t>Egyéb felhalmozási célú átvett pénzeszközök</t>
  </si>
  <si>
    <t>B75</t>
  </si>
  <si>
    <t>FINANSZÍROZÁSI BEVÉTELEK</t>
  </si>
  <si>
    <t>B8</t>
  </si>
  <si>
    <t>I. Belföldi finanszírozás bevételei</t>
  </si>
  <si>
    <t>B81</t>
  </si>
  <si>
    <t>1. Hitel-, kölcsönfelvétel pénzügyi vállalkozástól</t>
  </si>
  <si>
    <t>B811</t>
  </si>
  <si>
    <t>2. Belföldi értékpapírok bevételei</t>
  </si>
  <si>
    <t>B812</t>
  </si>
  <si>
    <t>3. Maradvány igénybevétele</t>
  </si>
  <si>
    <t>B813</t>
  </si>
  <si>
    <t>4. Központi, irányítószervi támogatás</t>
  </si>
  <si>
    <t>B816</t>
  </si>
  <si>
    <t>TÁRGYÉVI BEVÉTELEK ÖSSZESEN:</t>
  </si>
  <si>
    <t>Kiadási előirányzatok megnevezése</t>
  </si>
  <si>
    <t>KÖLTSÉGVETÉSI KIADÁSOK</t>
  </si>
  <si>
    <t>K1-K8</t>
  </si>
  <si>
    <t>1. Személyi juttatások</t>
  </si>
  <si>
    <t>K1</t>
  </si>
  <si>
    <t>2. Munkaadókat terhelő járulékok és szociális hozzájárulási adó</t>
  </si>
  <si>
    <t>K2</t>
  </si>
  <si>
    <t>3. Dologi  kiadások</t>
  </si>
  <si>
    <t>K3</t>
  </si>
  <si>
    <t>4. Ellátottak pénzbeli juttatásai</t>
  </si>
  <si>
    <t>K4</t>
  </si>
  <si>
    <t>5. Egyéb működési célú kiadások</t>
  </si>
  <si>
    <t>K5</t>
  </si>
  <si>
    <t>A helyi önkormányzatok előző évi elszámolásából származó kiadások</t>
  </si>
  <si>
    <t>K5021</t>
  </si>
  <si>
    <t>Egyéb működési célú támogatások államháztartáson kívülre</t>
  </si>
  <si>
    <t>K512</t>
  </si>
  <si>
    <t>Tartalékok</t>
  </si>
  <si>
    <t>K513</t>
  </si>
  <si>
    <t>II. Felhalmozási költségvetés összesen</t>
  </si>
  <si>
    <t>1. Beruházások</t>
  </si>
  <si>
    <t>K6</t>
  </si>
  <si>
    <t>2. Felújítások</t>
  </si>
  <si>
    <t>K7</t>
  </si>
  <si>
    <t>3. Egyéb felhalmozási célú kiadások</t>
  </si>
  <si>
    <t>K8</t>
  </si>
  <si>
    <t>Egyéb felhalmozási célú támogatások államháztartáson belülre</t>
  </si>
  <si>
    <t>K84</t>
  </si>
  <si>
    <t>Egyéb felhalmozási célú támogatások államháztartáson kívülre</t>
  </si>
  <si>
    <t>K89</t>
  </si>
  <si>
    <t>FINANSZÍROZÁSI KIADÁSOK</t>
  </si>
  <si>
    <t>K9</t>
  </si>
  <si>
    <t>I. Belföldi finanszírozás kiadásai</t>
  </si>
  <si>
    <t>K91</t>
  </si>
  <si>
    <t>1. Hitel-, kölcsöntörlesztés államháztartáson kívülre</t>
  </si>
  <si>
    <t>K911</t>
  </si>
  <si>
    <t>2. Belföldi értékpapírok kiadásai</t>
  </si>
  <si>
    <t>K912</t>
  </si>
  <si>
    <t>3. Központi, irányítószervi támogatás folyósítása</t>
  </si>
  <si>
    <t>K915</t>
  </si>
  <si>
    <t>TÁRGYÉVI  KIADÁSOK ÖSSZESEN:</t>
  </si>
  <si>
    <t>I.1.a  Önkormányzati hivatal működésének támogatása</t>
  </si>
  <si>
    <t>I.1.b Település-üzemeltetéshez kapcs. feladatellátás összesen</t>
  </si>
  <si>
    <t xml:space="preserve">     I.1.ba zöldterület gazdálkodással kapcs.feladatok</t>
  </si>
  <si>
    <t xml:space="preserve">     I.1.bb közvilágítás fenntartás támogatása</t>
  </si>
  <si>
    <t xml:space="preserve">     I.1.bc  köztemető fenntartással kapcs. feladatok</t>
  </si>
  <si>
    <t xml:space="preserve">     I.1.bd közutak fenntartásának támogatása</t>
  </si>
  <si>
    <t>I.1c. Egyéb önkormányzati feladatok támogatása</t>
  </si>
  <si>
    <t>I.1d. Lakott külterületel kapcsolatos feladatok támogatása</t>
  </si>
  <si>
    <t>I. A helyi önkormányzatok működésének általános támogatása</t>
  </si>
  <si>
    <t>II.5.(5) óvodapedagógusok minősítésből adódó többletbér</t>
  </si>
  <si>
    <t>II. Települési önkormányzatok egyes köznevelési feladatainak támogatása</t>
  </si>
  <si>
    <t>III.2 A települési önkormányzatok szociális feladatainak egyéb támogatása</t>
  </si>
  <si>
    <t>III.5.b) Gyermekétkeztetés üzemeltetési támogatása</t>
  </si>
  <si>
    <t>III. Települési önkormányzatok szociális, gyermekjóléti és gyermekétkeztetési feladatainak feladatainak támogatása</t>
  </si>
  <si>
    <t>Működési célú támogatások államháztartáson belülről</t>
  </si>
  <si>
    <t xml:space="preserve">  B11</t>
  </si>
  <si>
    <t xml:space="preserve">  B16</t>
  </si>
  <si>
    <t xml:space="preserve">  B34,351,355</t>
  </si>
  <si>
    <t xml:space="preserve">  B354</t>
  </si>
  <si>
    <t xml:space="preserve">  B36</t>
  </si>
  <si>
    <t>Működési célú átvett pénzeszközök</t>
  </si>
  <si>
    <t xml:space="preserve">  B65</t>
  </si>
  <si>
    <t>FELHALMOZÁSI KÖLTSÉGVETÉS BEVÉTELEI</t>
  </si>
  <si>
    <t xml:space="preserve">  B21</t>
  </si>
  <si>
    <t xml:space="preserve">  B25</t>
  </si>
  <si>
    <t xml:space="preserve">  B53</t>
  </si>
  <si>
    <t xml:space="preserve">  B52</t>
  </si>
  <si>
    <t xml:space="preserve">  B75</t>
  </si>
  <si>
    <t>FINANSZIROZÁSI BEVÉTELEK</t>
  </si>
  <si>
    <t xml:space="preserve">  B813</t>
  </si>
  <si>
    <t>Önkormányzatok működési támogatása</t>
  </si>
  <si>
    <t>Egyéb működési célú támogatások áht.-n belülről</t>
  </si>
  <si>
    <t>Felhalmozási célú támogatások államháztartáson belülről</t>
  </si>
  <si>
    <t>Egyéb felhalmozási célú támogatások áht.-n belülről</t>
  </si>
  <si>
    <t>Felhalmozási célú átvett pénzeszközök</t>
  </si>
  <si>
    <t>2015.évi er. e.i.</t>
  </si>
  <si>
    <t>Bevételek összesen</t>
  </si>
  <si>
    <t>Kiadások összesen</t>
  </si>
  <si>
    <t xml:space="preserve">Felhalmozási célú támogatások: </t>
  </si>
  <si>
    <t>Felhalmozási célú támogatások összesen:</t>
  </si>
  <si>
    <t>FELHALMOZÁSI BEVÉTELEK MINDÖSSZESEN:</t>
  </si>
  <si>
    <t>K11</t>
  </si>
  <si>
    <t xml:space="preserve">     Foglakoztatottak személyi juttatásai</t>
  </si>
  <si>
    <t>K12</t>
  </si>
  <si>
    <t xml:space="preserve">     Külső személyi juttatások</t>
  </si>
  <si>
    <t>Munkaadókat terhelő járulékok és szociális hj. adó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</si>
  <si>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</si>
  <si>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</si>
  <si>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</si>
  <si>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</si>
  <si>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</si>
  <si>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</si>
  <si>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</si>
  <si>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</si>
  <si>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</si>
  <si>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</si>
  <si>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Ellátottak pénzbeli juttatásai</t>
  </si>
  <si>
    <t>Egyéb működési célú kiadások</t>
  </si>
  <si>
    <t>Finanszírozási kiadások</t>
  </si>
  <si>
    <t>Irányító szervi támogatás folyósítása</t>
  </si>
  <si>
    <t>Céltartalék összesen</t>
  </si>
  <si>
    <t>Bursa Hungarica</t>
  </si>
  <si>
    <t>Maradvány igénybevétele</t>
  </si>
  <si>
    <t>bevétel-kiadás</t>
  </si>
  <si>
    <t>Nagykovácsi Készenléti Szolgálat működési hozzájárulás</t>
  </si>
  <si>
    <t>III.3.ja (1) bölcsődei ellátás</t>
  </si>
  <si>
    <t>bruttó E Ft</t>
  </si>
  <si>
    <t>Eredeti előirányzat (E Ft)</t>
  </si>
  <si>
    <t>Céltartalék részletezése:</t>
  </si>
  <si>
    <t>Iskolaegészségügyi ellátás finanszírozásának továbbadása</t>
  </si>
  <si>
    <t>Céltartalék összesen:</t>
  </si>
  <si>
    <t>Vis maior bevétel:</t>
  </si>
  <si>
    <t>Ft-ban</t>
  </si>
  <si>
    <t>önként</t>
  </si>
  <si>
    <t>kötelező</t>
  </si>
  <si>
    <t>polgármester</t>
  </si>
  <si>
    <t>jegyző, aljegyző</t>
  </si>
  <si>
    <t>köztisztviselő, fizikai alkalmazott</t>
  </si>
  <si>
    <t>tagintézményvezető</t>
  </si>
  <si>
    <t>egyéb</t>
  </si>
  <si>
    <t>ÖNKORMÁNYZATI KÖZTISZTVISELŐK ÖSSZESEN:</t>
  </si>
  <si>
    <t>ALKALMAZOTTAK ÖSSZESEN:</t>
  </si>
  <si>
    <t>pedagógus, vagy könyvtáros, művelődésszervező</t>
  </si>
  <si>
    <t>dajka, kisgyermeknevelő</t>
  </si>
  <si>
    <t>védőnő</t>
  </si>
  <si>
    <t>alpolgármester</t>
  </si>
  <si>
    <t>-------------</t>
  </si>
  <si>
    <t xml:space="preserve">Lakossági útépítés önrész: </t>
  </si>
  <si>
    <t>Rovat száma</t>
  </si>
  <si>
    <t>lejárat:</t>
  </si>
  <si>
    <t>évente:</t>
  </si>
  <si>
    <t>összesen a hátralévő időben:</t>
  </si>
  <si>
    <t>NEG Zrt.</t>
  </si>
  <si>
    <t>2026. jún.</t>
  </si>
  <si>
    <t>intézményvezető, int.vez. helyettes</t>
  </si>
  <si>
    <t>NATÜ</t>
  </si>
  <si>
    <t>Volánbusz támogatás</t>
  </si>
  <si>
    <t>BÖT támogatás a Budakeszi orvosi ügyelet fenntartására</t>
  </si>
  <si>
    <t>Ebből:  - előző évi elszámolásából származó kiadások</t>
  </si>
  <si>
    <t xml:space="preserve">              - egyéb működési célú támogatások államháztartáson belülre</t>
  </si>
  <si>
    <t xml:space="preserve">              - egyéb működési célú támogatások államháztartáson kívülre</t>
  </si>
  <si>
    <t>Ávr. 28. §  a) pontja alapján összesen:</t>
  </si>
  <si>
    <t>Ávr. 28. §  b) pontja alapján összesen:</t>
  </si>
  <si>
    <t>Ávr. 28.§  c) pontja alapján összesen:</t>
  </si>
  <si>
    <t>Ávr. 28. § d) pontja alapján összesen:</t>
  </si>
  <si>
    <t>Államháztartáson kívüli műk-i célú pénzeszköz átadás összesen   (1+..14):</t>
  </si>
  <si>
    <t>Államháztartáson belüli műk-i célú pénzeszköz átadás összesen   (1+..4):</t>
  </si>
  <si>
    <t>Felhalmozási célú kiadások</t>
  </si>
  <si>
    <t>Felhalmozási célú pénzeszköz átadás összesen:</t>
  </si>
  <si>
    <t>MŰKÖDÉSI KIADÁSOK ÖSSZESEN</t>
  </si>
  <si>
    <t>FELHALMOZÁSI KIADÁSOK ÖSSZESEN</t>
  </si>
  <si>
    <t>össz.</t>
  </si>
  <si>
    <t xml:space="preserve">Munkaadókat terhelő járulékok és szociális hozzájárulási adó </t>
  </si>
  <si>
    <t>Beruházások, felújítások</t>
  </si>
  <si>
    <t>Egyéb felhalmozási célú kiadások</t>
  </si>
  <si>
    <t>III. 5.a) Gyermekétkeztetés: létszámban elismert dolgozók bértámogatása</t>
  </si>
  <si>
    <t>Többéves kihatással járó döntések számszerűsítése évenkénti bontásban és összesítve (bruttó):</t>
  </si>
  <si>
    <t>1 028 eFt</t>
  </si>
  <si>
    <t>Összes közvetített támogatás:</t>
  </si>
  <si>
    <t>2020. évi előirányzat</t>
  </si>
  <si>
    <t xml:space="preserve"> 2020. évi eredeti előirányzat</t>
  </si>
  <si>
    <t xml:space="preserve">Rovat száma
</t>
  </si>
  <si>
    <t>PM_KEREKPARUT_2018/9 számú kerékpárút-pályázat</t>
  </si>
  <si>
    <t>klímastratégia-pályázat</t>
  </si>
  <si>
    <t>PM_CSAPVÍZGAZD_2018/7 számú pályázat részmunkáira</t>
  </si>
  <si>
    <t>2020. évi eredeti terv</t>
  </si>
  <si>
    <t>Erdő utca csapadékvíz-elvezetés utáni út- és járdaépítés kiegészítése</t>
  </si>
  <si>
    <t>Korlát elhelyezése az Ady Endre utcai buszmegállónál</t>
  </si>
  <si>
    <t>Felhalmozási kiadások előirányzata összesen:</t>
  </si>
  <si>
    <t>PM_BOLCSODEFEJLESZTES_2018/11 számú kerékpárút-pályázat</t>
  </si>
  <si>
    <t>TÖOSZ, Duna-Vértes Hull.gazd Zrt., Pilisi Kötet, FAÖT tagsági díjak</t>
  </si>
  <si>
    <t>elismert létszám</t>
  </si>
  <si>
    <t>II.1.(1) óvodapedagógusok elismert létszáma</t>
  </si>
  <si>
    <t>II.1.(2) óvodapedagógusok munkáját közvetlenül segítők</t>
  </si>
  <si>
    <t>II.2. óvodaműködtetési támogatás</t>
  </si>
  <si>
    <t>IV. Települési önkormányzat könyvtári és közművelődési támogatása</t>
  </si>
  <si>
    <t>Szita és Tsai Kft.</t>
  </si>
  <si>
    <t>2023.</t>
  </si>
  <si>
    <t>457 eFt</t>
  </si>
  <si>
    <t>1371 eFt</t>
  </si>
  <si>
    <t>7710 eFt</t>
  </si>
  <si>
    <t>Nagykovácsi Nagyközség Önkormányzat 
2021. évi tervezett bevételi előirányzatai előirányzat-csoportonként, kiemelt előirányzatok szerint</t>
  </si>
  <si>
    <t>2021. évi előirányzat</t>
  </si>
  <si>
    <t>2021. évi</t>
  </si>
  <si>
    <t>BÖT támogatás a Budakörnyéki Közterület-felügyelet fenntartására</t>
  </si>
  <si>
    <t>BÖT támogatás - HÍD</t>
  </si>
  <si>
    <t>BÖT tagdíj (2021. évi működési hozzájárulás)</t>
  </si>
  <si>
    <t>Civil Alap - táboroztatás</t>
  </si>
  <si>
    <t>Ebből: egyéb működési célú átvett pénzeszközök</t>
  </si>
  <si>
    <t>Varázskastély</t>
  </si>
  <si>
    <t xml:space="preserve">Solymárral közös hatósági állatorvos </t>
  </si>
  <si>
    <t xml:space="preserve"> 2021. évi eredeti előirányzat</t>
  </si>
  <si>
    <t>Cs. T. per lezárása</t>
  </si>
  <si>
    <t>Felszíni csapadékvízelevezetés pályázat többletköltség</t>
  </si>
  <si>
    <t>PM_BOLCSODEFEJLESZTES_2018/11 számú pályázat részmunkáira</t>
  </si>
  <si>
    <t>2021. évi eredeti terv</t>
  </si>
  <si>
    <t>Felhalmozási kiadások előirányzata 2021</t>
  </si>
  <si>
    <t>Bölcsőde bővítés pályázati többlet önrész biztosítása</t>
  </si>
  <si>
    <t>Temető urnafalak és szóróparcella tervezése</t>
  </si>
  <si>
    <t>Tátika utca közvilágítás kiépítése</t>
  </si>
  <si>
    <t>Szeles köz közvilágítás kiépítése</t>
  </si>
  <si>
    <t>közvilágítás tervezések kiegészítő szakaszokon (Hársfa, Ördögárok, Munkácsy, Akácfa, Szent Anna, Mogyoró, Kökörcsin utca, Körös utca, Gémeskút utca, Kút köz – Kút utca, Pók utca</t>
  </si>
  <si>
    <t>Közvilágítás kiépítése Lombos utcában, ELMŰ ügyintézéssel</t>
  </si>
  <si>
    <t>Bánya utcai körforgalom közvilágítás</t>
  </si>
  <si>
    <t>tervezések, szakvélemények, szakértői díjak, engedélykérések: Kossuth Lajos utca rendezésével kapcsolatos tervek összesen: gyengeáramú és elektromos hálózat kiváltásának tervezése, köztérépítészeti tanulmányterv felülvizsgálata, közpark koncepcióterv, Pók utca járda, lakossági útépítéshez kapcsolódó tervezési munkák (Bogaras utcák, idén jelentkezők), vis maior, Dobos Károly tér</t>
  </si>
  <si>
    <t>Dózsa György utcai óvoda, gazdasági bejáró felületegységesítése, térkövezés</t>
  </si>
  <si>
    <t>Kamerarendszer (II. ütem)</t>
  </si>
  <si>
    <t>Nagynyomású mosó, fűkasza</t>
  </si>
  <si>
    <t>Iskolai tálalókonyha üzemi mosogatógép beszerzése</t>
  </si>
  <si>
    <t>Előre nem látható beruházások</t>
  </si>
  <si>
    <t>Lombos utca útfelújítása (Kalász u. és Virágos stny. között)</t>
  </si>
  <si>
    <t>Öregiskola homlokzati helyreállítás</t>
  </si>
  <si>
    <t xml:space="preserve">Telki 03 hrsz. vízmű kutak felújítása, üzembe helyezése vízminőség vizsgálattal </t>
  </si>
  <si>
    <t>2021. össz.</t>
  </si>
  <si>
    <t>Működési bevételek, átvett pénzeszközök</t>
  </si>
  <si>
    <t>Az Önkormányzat 2021. évi hitelállománya 0 Ft.</t>
  </si>
  <si>
    <t>2021. évi  bevétel</t>
  </si>
  <si>
    <t>2021. évi  kiadás</t>
  </si>
  <si>
    <t>5 fő</t>
  </si>
  <si>
    <t>27,1 fő</t>
  </si>
  <si>
    <t>311 fő</t>
  </si>
  <si>
    <t>12 fő</t>
  </si>
  <si>
    <t>24 fő</t>
  </si>
  <si>
    <t>16,95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</si>
</sst>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\ &quot;Ft&quot;"/>
  </numFmts>
  <fonts count="9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color indexed="14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1"/>
      <name val="Times New Roman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i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i/>
      <sz val="8"/>
      <name val="Times New Roman"/>
      <family val="1"/>
      <charset val="238"/>
    </font>
    <font>
      <sz val="7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7030A0"/>
      <name val="Garamond"/>
      <family val="1"/>
      <charset val="238"/>
    </font>
    <font>
      <b/>
      <sz val="12"/>
      <color rgb="FF7030A0"/>
      <name val="Garamond"/>
      <family val="1"/>
      <charset val="238"/>
    </font>
    <font>
      <sz val="12"/>
      <color rgb="FF7030A0"/>
      <name val="Garamond"/>
      <family val="1"/>
      <charset val="238"/>
    </font>
    <font>
      <sz val="10"/>
      <color rgb="FF7030A0"/>
      <name val="Garamond"/>
      <family val="1"/>
      <charset val="238"/>
    </font>
    <font>
      <sz val="12"/>
      <color rgb="FFFF0000"/>
      <name val="Garamond"/>
      <family val="1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4" fillId="4" borderId="0" applyNumberFormat="0" applyBorder="0" applyAlignment="0" applyProtection="0"/>
    <xf numFmtId="0" fontId="45" fillId="18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33" fillId="0" borderId="0"/>
    <xf numFmtId="0" fontId="28" fillId="0" borderId="0"/>
    <xf numFmtId="0" fontId="1" fillId="0" borderId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19" borderId="0" applyNumberFormat="0" applyBorder="0" applyAlignment="0" applyProtection="0"/>
    <xf numFmtId="0" fontId="50" fillId="18" borderId="1" applyNumberFormat="0" applyAlignment="0" applyProtection="0"/>
    <xf numFmtId="9" fontId="1" fillId="0" borderId="0" applyFont="0" applyFill="0" applyBorder="0" applyAlignment="0" applyProtection="0"/>
  </cellStyleXfs>
  <cellXfs count="978">
    <xf numFmtId="0" fontId="0" fillId="0" borderId="0" xfId="0"/>
    <xf numFmtId="0" fontId="0" fillId="0" borderId="0" xfId="0" applyFill="1"/>
    <xf numFmtId="0" fontId="10" fillId="0" borderId="0" xfId="0" applyFont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4" fillId="0" borderId="11" xfId="0" applyFont="1" applyBorder="1"/>
    <xf numFmtId="0" fontId="12" fillId="0" borderId="11" xfId="0" applyFont="1" applyBorder="1"/>
    <xf numFmtId="0" fontId="5" fillId="0" borderId="0" xfId="0" applyFont="1"/>
    <xf numFmtId="0" fontId="1" fillId="0" borderId="11" xfId="0" applyFont="1" applyFill="1" applyBorder="1"/>
    <xf numFmtId="3" fontId="12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4" fillId="0" borderId="0" xfId="0" applyFont="1"/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5" xfId="0" applyFont="1" applyBorder="1"/>
    <xf numFmtId="0" fontId="16" fillId="0" borderId="12" xfId="0" applyFont="1" applyBorder="1"/>
    <xf numFmtId="0" fontId="16" fillId="0" borderId="15" xfId="0" applyFont="1" applyBorder="1"/>
    <xf numFmtId="0" fontId="16" fillId="0" borderId="13" xfId="0" applyFont="1" applyBorder="1"/>
    <xf numFmtId="0" fontId="14" fillId="0" borderId="0" xfId="0" applyFont="1" applyFill="1"/>
    <xf numFmtId="3" fontId="14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1" borderId="16" xfId="0" applyFont="1" applyFill="1" applyBorder="1" applyAlignment="1">
      <alignment horizontal="center"/>
    </xf>
    <xf numFmtId="0" fontId="17" fillId="0" borderId="0" xfId="0" applyFont="1"/>
    <xf numFmtId="0" fontId="16" fillId="22" borderId="16" xfId="0" applyFont="1" applyFill="1" applyBorder="1" applyAlignment="1">
      <alignment horizontal="center"/>
    </xf>
    <xf numFmtId="0" fontId="0" fillId="0" borderId="18" xfId="0" applyFill="1" applyBorder="1"/>
    <xf numFmtId="0" fontId="0" fillId="0" borderId="0" xfId="0" applyBorder="1"/>
    <xf numFmtId="3" fontId="0" fillId="0" borderId="0" xfId="0" applyNumberFormat="1"/>
    <xf numFmtId="3" fontId="0" fillId="0" borderId="19" xfId="0" applyNumberFormat="1" applyBorder="1"/>
    <xf numFmtId="3" fontId="0" fillId="0" borderId="20" xfId="0" applyNumberForma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9" xfId="0" applyNumberFormat="1" applyFill="1" applyBorder="1"/>
    <xf numFmtId="0" fontId="5" fillId="0" borderId="0" xfId="0" applyFont="1" applyBorder="1"/>
    <xf numFmtId="0" fontId="5" fillId="0" borderId="23" xfId="0" applyFont="1" applyBorder="1"/>
    <xf numFmtId="0" fontId="5" fillId="0" borderId="23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6" xfId="0" applyFont="1" applyBorder="1"/>
    <xf numFmtId="0" fontId="5" fillId="0" borderId="10" xfId="0" applyFont="1" applyFill="1" applyBorder="1"/>
    <xf numFmtId="0" fontId="5" fillId="0" borderId="24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4" xfId="0" applyNumberFormat="1" applyFont="1" applyFill="1" applyBorder="1"/>
    <xf numFmtId="0" fontId="2" fillId="0" borderId="12" xfId="0" applyFont="1" applyBorder="1"/>
    <xf numFmtId="0" fontId="17" fillId="0" borderId="13" xfId="0" applyFont="1" applyBorder="1"/>
    <xf numFmtId="0" fontId="13" fillId="0" borderId="12" xfId="0" applyFont="1" applyBorder="1" applyAlignment="1">
      <alignment horizontal="left" wrapText="1"/>
    </xf>
    <xf numFmtId="0" fontId="17" fillId="0" borderId="12" xfId="0" applyFont="1" applyBorder="1"/>
    <xf numFmtId="0" fontId="17" fillId="0" borderId="14" xfId="0" applyFont="1" applyFill="1" applyBorder="1"/>
    <xf numFmtId="0" fontId="18" fillId="0" borderId="16" xfId="0" applyFont="1" applyFill="1" applyBorder="1"/>
    <xf numFmtId="164" fontId="14" fillId="0" borderId="0" xfId="26" applyFont="1"/>
    <xf numFmtId="0" fontId="16" fillId="0" borderId="24" xfId="0" applyFont="1" applyFill="1" applyBorder="1"/>
    <xf numFmtId="0" fontId="17" fillId="0" borderId="24" xfId="0" applyFont="1" applyBorder="1"/>
    <xf numFmtId="0" fontId="16" fillId="22" borderId="16" xfId="0" applyFont="1" applyFill="1" applyBorder="1"/>
    <xf numFmtId="0" fontId="5" fillId="0" borderId="18" xfId="0" applyFont="1" applyFill="1" applyBorder="1"/>
    <xf numFmtId="0" fontId="5" fillId="0" borderId="16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5" fillId="0" borderId="16" xfId="0" applyNumberFormat="1" applyFont="1" applyFill="1" applyBorder="1"/>
    <xf numFmtId="0" fontId="21" fillId="0" borderId="25" xfId="0" applyFont="1" applyFill="1" applyBorder="1" applyAlignment="1">
      <alignment horizontal="center"/>
    </xf>
    <xf numFmtId="0" fontId="0" fillId="0" borderId="26" xfId="0" applyFill="1" applyBorder="1"/>
    <xf numFmtId="0" fontId="10" fillId="0" borderId="27" xfId="0" applyFont="1" applyFill="1" applyBorder="1"/>
    <xf numFmtId="0" fontId="5" fillId="0" borderId="26" xfId="0" applyFont="1" applyFill="1" applyBorder="1"/>
    <xf numFmtId="0" fontId="23" fillId="0" borderId="18" xfId="0" applyFont="1" applyFill="1" applyBorder="1"/>
    <xf numFmtId="0" fontId="23" fillId="0" borderId="0" xfId="0" applyFont="1"/>
    <xf numFmtId="0" fontId="21" fillId="0" borderId="28" xfId="0" applyFont="1" applyFill="1" applyBorder="1"/>
    <xf numFmtId="0" fontId="21" fillId="0" borderId="0" xfId="0" applyFont="1"/>
    <xf numFmtId="0" fontId="26" fillId="0" borderId="0" xfId="0" applyFont="1" applyAlignment="1">
      <alignment horizontal="justify"/>
    </xf>
    <xf numFmtId="0" fontId="5" fillId="23" borderId="29" xfId="0" applyFont="1" applyFill="1" applyBorder="1" applyAlignment="1">
      <alignment horizontal="center" wrapText="1"/>
    </xf>
    <xf numFmtId="0" fontId="5" fillId="23" borderId="30" xfId="0" applyFont="1" applyFill="1" applyBorder="1" applyAlignment="1">
      <alignment horizontal="center" wrapText="1"/>
    </xf>
    <xf numFmtId="0" fontId="5" fillId="23" borderId="31" xfId="0" applyFont="1" applyFill="1" applyBorder="1" applyAlignment="1">
      <alignment wrapText="1"/>
    </xf>
    <xf numFmtId="0" fontId="5" fillId="23" borderId="32" xfId="0" applyFont="1" applyFill="1" applyBorder="1" applyAlignment="1">
      <alignment horizontal="center" wrapText="1"/>
    </xf>
    <xf numFmtId="0" fontId="5" fillId="23" borderId="14" xfId="0" applyFont="1" applyFill="1" applyBorder="1" applyAlignment="1">
      <alignment horizontal="center"/>
    </xf>
    <xf numFmtId="0" fontId="5" fillId="23" borderId="32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/>
    <xf numFmtId="0" fontId="12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4" fontId="19" fillId="0" borderId="1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Border="1"/>
    <xf numFmtId="0" fontId="2" fillId="0" borderId="11" xfId="0" applyFont="1" applyBorder="1"/>
    <xf numFmtId="0" fontId="17" fillId="0" borderId="23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" fillId="0" borderId="36" xfId="0" applyFont="1" applyFill="1" applyBorder="1"/>
    <xf numFmtId="3" fontId="5" fillId="0" borderId="37" xfId="0" applyNumberFormat="1" applyFont="1" applyFill="1" applyBorder="1"/>
    <xf numFmtId="3" fontId="1" fillId="0" borderId="0" xfId="0" applyNumberFormat="1" applyFont="1" applyFill="1"/>
    <xf numFmtId="9" fontId="14" fillId="0" borderId="0" xfId="51" applyFont="1" applyFill="1"/>
    <xf numFmtId="9" fontId="5" fillId="0" borderId="16" xfId="51" applyFont="1" applyBorder="1" applyAlignment="1">
      <alignment horizontal="center" wrapText="1"/>
    </xf>
    <xf numFmtId="9" fontId="17" fillId="0" borderId="12" xfId="51" applyFont="1" applyBorder="1" applyAlignment="1">
      <alignment horizontal="center"/>
    </xf>
    <xf numFmtId="9" fontId="14" fillId="0" borderId="0" xfId="51" applyFont="1"/>
    <xf numFmtId="9" fontId="1" fillId="0" borderId="0" xfId="51" applyFont="1"/>
    <xf numFmtId="9" fontId="1" fillId="0" borderId="36" xfId="51" applyFont="1" applyBorder="1"/>
    <xf numFmtId="9" fontId="1" fillId="0" borderId="12" xfId="51" applyFont="1" applyBorder="1"/>
    <xf numFmtId="9" fontId="5" fillId="0" borderId="13" xfId="51" applyFont="1" applyBorder="1"/>
    <xf numFmtId="9" fontId="12" fillId="0" borderId="12" xfId="51" applyFont="1" applyFill="1" applyBorder="1"/>
    <xf numFmtId="9" fontId="5" fillId="0" borderId="37" xfId="51" applyFont="1" applyBorder="1"/>
    <xf numFmtId="9" fontId="5" fillId="0" borderId="12" xfId="51" applyFont="1" applyBorder="1"/>
    <xf numFmtId="9" fontId="5" fillId="0" borderId="14" xfId="51" applyFont="1" applyFill="1" applyBorder="1"/>
    <xf numFmtId="9" fontId="15" fillId="0" borderId="16" xfId="51" applyFont="1" applyBorder="1"/>
    <xf numFmtId="3" fontId="1" fillId="0" borderId="0" xfId="0" applyNumberFormat="1" applyFont="1"/>
    <xf numFmtId="0" fontId="12" fillId="0" borderId="12" xfId="0" applyFont="1" applyBorder="1"/>
    <xf numFmtId="0" fontId="17" fillId="0" borderId="23" xfId="0" applyFont="1" applyFill="1" applyBorder="1"/>
    <xf numFmtId="0" fontId="5" fillId="0" borderId="11" xfId="0" applyFont="1" applyFill="1" applyBorder="1"/>
    <xf numFmtId="0" fontId="17" fillId="0" borderId="0" xfId="0" applyFont="1" applyFill="1" applyBorder="1"/>
    <xf numFmtId="0" fontId="19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2" fillId="0" borderId="11" xfId="0" applyFont="1" applyFill="1" applyBorder="1"/>
    <xf numFmtId="9" fontId="1" fillId="0" borderId="12" xfId="51" applyFont="1" applyFill="1" applyBorder="1"/>
    <xf numFmtId="0" fontId="16" fillId="0" borderId="3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9" fontId="17" fillId="0" borderId="38" xfId="5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9" fontId="17" fillId="0" borderId="36" xfId="51" applyFont="1" applyBorder="1" applyAlignment="1">
      <alignment horizontal="center" wrapText="1"/>
    </xf>
    <xf numFmtId="0" fontId="14" fillId="0" borderId="13" xfId="0" applyFont="1" applyBorder="1" applyAlignment="1">
      <alignment horizontal="left"/>
    </xf>
    <xf numFmtId="0" fontId="12" fillId="0" borderId="39" xfId="0" applyFont="1" applyBorder="1"/>
    <xf numFmtId="0" fontId="16" fillId="0" borderId="13" xfId="0" applyFont="1" applyBorder="1" applyAlignment="1">
      <alignment shrinkToFit="1"/>
    </xf>
    <xf numFmtId="0" fontId="16" fillId="21" borderId="16" xfId="0" applyFont="1" applyFill="1" applyBorder="1"/>
    <xf numFmtId="0" fontId="16" fillId="0" borderId="13" xfId="0" applyFont="1" applyBorder="1" applyAlignment="1">
      <alignment horizontal="left"/>
    </xf>
    <xf numFmtId="0" fontId="7" fillId="0" borderId="42" xfId="0" applyFont="1" applyBorder="1"/>
    <xf numFmtId="0" fontId="7" fillId="0" borderId="43" xfId="0" applyFont="1" applyBorder="1"/>
    <xf numFmtId="3" fontId="27" fillId="0" borderId="44" xfId="0" applyNumberFormat="1" applyFont="1" applyBorder="1"/>
    <xf numFmtId="3" fontId="5" fillId="0" borderId="40" xfId="0" applyNumberFormat="1" applyFont="1" applyBorder="1"/>
    <xf numFmtId="3" fontId="5" fillId="0" borderId="45" xfId="0" applyNumberFormat="1" applyFont="1" applyBorder="1"/>
    <xf numFmtId="3" fontId="5" fillId="0" borderId="32" xfId="0" applyNumberFormat="1" applyFont="1" applyBorder="1"/>
    <xf numFmtId="3" fontId="5" fillId="0" borderId="16" xfId="0" applyNumberFormat="1" applyFont="1" applyFill="1" applyBorder="1"/>
    <xf numFmtId="0" fontId="2" fillId="0" borderId="0" xfId="0" applyFont="1" applyFill="1"/>
    <xf numFmtId="0" fontId="1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1" fillId="0" borderId="20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0" fontId="29" fillId="0" borderId="5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7" fillId="0" borderId="0" xfId="0" applyFont="1"/>
    <xf numFmtId="0" fontId="12" fillId="0" borderId="1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30" fillId="0" borderId="54" xfId="0" applyFont="1" applyBorder="1"/>
    <xf numFmtId="3" fontId="7" fillId="0" borderId="55" xfId="0" applyNumberFormat="1" applyFont="1" applyBorder="1"/>
    <xf numFmtId="3" fontId="7" fillId="0" borderId="56" xfId="0" applyNumberFormat="1" applyFont="1" applyBorder="1"/>
    <xf numFmtId="3" fontId="7" fillId="0" borderId="44" xfId="0" applyNumberFormat="1" applyFont="1" applyBorder="1"/>
    <xf numFmtId="0" fontId="29" fillId="0" borderId="18" xfId="0" applyFont="1" applyBorder="1"/>
    <xf numFmtId="0" fontId="31" fillId="0" borderId="26" xfId="0" applyFont="1" applyBorder="1"/>
    <xf numFmtId="3" fontId="7" fillId="0" borderId="57" xfId="0" applyNumberFormat="1" applyFont="1" applyBorder="1"/>
    <xf numFmtId="3" fontId="7" fillId="0" borderId="19" xfId="0" applyNumberFormat="1" applyFont="1" applyBorder="1"/>
    <xf numFmtId="3" fontId="0" fillId="0" borderId="57" xfId="0" applyNumberFormat="1" applyBorder="1"/>
    <xf numFmtId="3" fontId="0" fillId="0" borderId="20" xfId="0" applyNumberFormat="1" applyBorder="1"/>
    <xf numFmtId="0" fontId="5" fillId="0" borderId="18" xfId="0" applyFont="1" applyBorder="1"/>
    <xf numFmtId="3" fontId="7" fillId="0" borderId="20" xfId="0" applyNumberFormat="1" applyFont="1" applyBorder="1"/>
    <xf numFmtId="0" fontId="31" fillId="0" borderId="18" xfId="0" applyFont="1" applyBorder="1"/>
    <xf numFmtId="3" fontId="0" fillId="0" borderId="57" xfId="0" applyNumberFormat="1" applyFill="1" applyBorder="1"/>
    <xf numFmtId="0" fontId="31" fillId="0" borderId="18" xfId="0" applyFont="1" applyFill="1" applyBorder="1"/>
    <xf numFmtId="0" fontId="0" fillId="0" borderId="18" xfId="0" applyBorder="1" applyAlignment="1">
      <alignment horizontal="right"/>
    </xf>
    <xf numFmtId="3" fontId="12" fillId="0" borderId="19" xfId="0" applyNumberFormat="1" applyFont="1" applyBorder="1"/>
    <xf numFmtId="3" fontId="12" fillId="0" borderId="57" xfId="0" applyNumberFormat="1" applyFont="1" applyBorder="1"/>
    <xf numFmtId="0" fontId="5" fillId="0" borderId="28" xfId="0" applyFont="1" applyBorder="1"/>
    <xf numFmtId="0" fontId="0" fillId="0" borderId="0" xfId="0" applyFill="1" applyBorder="1"/>
    <xf numFmtId="0" fontId="25" fillId="0" borderId="48" xfId="0" applyFont="1" applyBorder="1" applyAlignment="1">
      <alignment horizontal="center"/>
    </xf>
    <xf numFmtId="3" fontId="12" fillId="0" borderId="20" xfId="0" applyNumberFormat="1" applyFont="1" applyBorder="1"/>
    <xf numFmtId="0" fontId="25" fillId="20" borderId="58" xfId="0" applyFont="1" applyFill="1" applyBorder="1" applyAlignment="1">
      <alignment horizontal="center"/>
    </xf>
    <xf numFmtId="0" fontId="25" fillId="20" borderId="59" xfId="0" applyFont="1" applyFill="1" applyBorder="1" applyAlignment="1">
      <alignment horizontal="center"/>
    </xf>
    <xf numFmtId="0" fontId="24" fillId="20" borderId="5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3" fontId="7" fillId="20" borderId="55" xfId="0" applyNumberFormat="1" applyFont="1" applyFill="1" applyBorder="1"/>
    <xf numFmtId="3" fontId="7" fillId="20" borderId="15" xfId="0" applyNumberFormat="1" applyFont="1" applyFill="1" applyBorder="1"/>
    <xf numFmtId="3" fontId="7" fillId="20" borderId="57" xfId="0" applyNumberFormat="1" applyFont="1" applyFill="1" applyBorder="1"/>
    <xf numFmtId="3" fontId="7" fillId="20" borderId="13" xfId="0" applyNumberFormat="1" applyFont="1" applyFill="1" applyBorder="1"/>
    <xf numFmtId="3" fontId="0" fillId="20" borderId="57" xfId="0" applyNumberFormat="1" applyFill="1" applyBorder="1"/>
    <xf numFmtId="3" fontId="0" fillId="20" borderId="13" xfId="0" applyNumberFormat="1" applyFill="1" applyBorder="1"/>
    <xf numFmtId="3" fontId="32" fillId="20" borderId="57" xfId="0" applyNumberFormat="1" applyFont="1" applyFill="1" applyBorder="1"/>
    <xf numFmtId="3" fontId="12" fillId="20" borderId="13" xfId="0" applyNumberFormat="1" applyFont="1" applyFill="1" applyBorder="1"/>
    <xf numFmtId="3" fontId="12" fillId="20" borderId="57" xfId="0" applyNumberFormat="1" applyFont="1" applyFill="1" applyBorder="1"/>
    <xf numFmtId="3" fontId="5" fillId="20" borderId="53" xfId="0" applyNumberFormat="1" applyFont="1" applyFill="1" applyBorder="1"/>
    <xf numFmtId="3" fontId="5" fillId="20" borderId="14" xfId="0" applyNumberFormat="1" applyFont="1" applyFill="1" applyBorder="1"/>
    <xf numFmtId="0" fontId="12" fillId="0" borderId="0" xfId="45" applyFont="1"/>
    <xf numFmtId="0" fontId="53" fillId="0" borderId="0" xfId="45" applyFont="1"/>
    <xf numFmtId="3" fontId="12" fillId="0" borderId="0" xfId="45" applyNumberFormat="1" applyFont="1"/>
    <xf numFmtId="3" fontId="12" fillId="0" borderId="0" xfId="0" applyNumberFormat="1" applyFont="1" applyFill="1"/>
    <xf numFmtId="9" fontId="1" fillId="0" borderId="20" xfId="5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9" fontId="1" fillId="0" borderId="41" xfId="51" applyFont="1" applyFill="1" applyBorder="1" applyAlignment="1">
      <alignment horizontal="right"/>
    </xf>
    <xf numFmtId="9" fontId="1" fillId="0" borderId="0" xfId="51" applyFont="1" applyFill="1" applyBorder="1"/>
    <xf numFmtId="0" fontId="1" fillId="0" borderId="33" xfId="0" applyFont="1" applyFill="1" applyBorder="1"/>
    <xf numFmtId="9" fontId="1" fillId="0" borderId="48" xfId="51" applyFont="1" applyFill="1" applyBorder="1" applyAlignment="1">
      <alignment horizontal="right"/>
    </xf>
    <xf numFmtId="0" fontId="25" fillId="20" borderId="60" xfId="0" applyFont="1" applyFill="1" applyBorder="1" applyAlignment="1">
      <alignment horizontal="center"/>
    </xf>
    <xf numFmtId="0" fontId="24" fillId="20" borderId="61" xfId="0" applyFont="1" applyFill="1" applyBorder="1" applyAlignment="1">
      <alignment horizontal="center"/>
    </xf>
    <xf numFmtId="3" fontId="7" fillId="20" borderId="62" xfId="0" applyNumberFormat="1" applyFont="1" applyFill="1" applyBorder="1"/>
    <xf numFmtId="3" fontId="7" fillId="20" borderId="63" xfId="0" applyNumberFormat="1" applyFont="1" applyFill="1" applyBorder="1"/>
    <xf numFmtId="3" fontId="0" fillId="20" borderId="63" xfId="0" applyNumberFormat="1" applyFill="1" applyBorder="1"/>
    <xf numFmtId="3" fontId="12" fillId="20" borderId="63" xfId="0" applyNumberFormat="1" applyFont="1" applyFill="1" applyBorder="1"/>
    <xf numFmtId="3" fontId="5" fillId="20" borderId="61" xfId="0" applyNumberFormat="1" applyFont="1" applyFill="1" applyBorder="1"/>
    <xf numFmtId="0" fontId="41" fillId="0" borderId="0" xfId="0" applyFont="1"/>
    <xf numFmtId="0" fontId="54" fillId="23" borderId="19" xfId="0" applyFont="1" applyFill="1" applyBorder="1" applyAlignment="1">
      <alignment horizontal="center"/>
    </xf>
    <xf numFmtId="3" fontId="55" fillId="0" borderId="0" xfId="0" applyNumberFormat="1" applyFont="1" applyFill="1" applyBorder="1"/>
    <xf numFmtId="0" fontId="21" fillId="0" borderId="50" xfId="0" applyFont="1" applyFill="1" applyBorder="1" applyAlignment="1">
      <alignment horizontal="center"/>
    </xf>
    <xf numFmtId="0" fontId="41" fillId="26" borderId="0" xfId="0" applyFont="1" applyFill="1"/>
    <xf numFmtId="0" fontId="55" fillId="0" borderId="0" xfId="0" applyFont="1" applyBorder="1"/>
    <xf numFmtId="3" fontId="58" fillId="0" borderId="0" xfId="0" applyNumberFormat="1" applyFont="1" applyFill="1" applyBorder="1"/>
    <xf numFmtId="0" fontId="54" fillId="0" borderId="0" xfId="0" applyFont="1" applyBorder="1"/>
    <xf numFmtId="3" fontId="41" fillId="0" borderId="0" xfId="0" applyNumberFormat="1" applyFont="1"/>
    <xf numFmtId="0" fontId="55" fillId="0" borderId="0" xfId="0" applyFont="1"/>
    <xf numFmtId="0" fontId="55" fillId="0" borderId="0" xfId="0" applyFont="1" applyFill="1" applyBorder="1"/>
    <xf numFmtId="0" fontId="17" fillId="0" borderId="17" xfId="0" applyFont="1" applyBorder="1"/>
    <xf numFmtId="3" fontId="5" fillId="0" borderId="39" xfId="0" applyNumberFormat="1" applyFont="1" applyFill="1" applyBorder="1"/>
    <xf numFmtId="0" fontId="25" fillId="20" borderId="48" xfId="0" applyFont="1" applyFill="1" applyBorder="1" applyAlignment="1">
      <alignment horizontal="center"/>
    </xf>
    <xf numFmtId="0" fontId="24" fillId="20" borderId="51" xfId="0" applyFont="1" applyFill="1" applyBorder="1" applyAlignment="1">
      <alignment horizontal="center"/>
    </xf>
    <xf numFmtId="3" fontId="7" fillId="20" borderId="44" xfId="0" applyNumberFormat="1" applyFont="1" applyFill="1" applyBorder="1"/>
    <xf numFmtId="3" fontId="7" fillId="20" borderId="20" xfId="0" applyNumberFormat="1" applyFont="1" applyFill="1" applyBorder="1"/>
    <xf numFmtId="3" fontId="0" fillId="20" borderId="20" xfId="0" applyNumberFormat="1" applyFill="1" applyBorder="1"/>
    <xf numFmtId="3" fontId="12" fillId="20" borderId="20" xfId="0" applyNumberFormat="1" applyFont="1" applyFill="1" applyBorder="1"/>
    <xf numFmtId="3" fontId="5" fillId="20" borderId="22" xfId="0" applyNumberFormat="1" applyFont="1" applyFill="1" applyBorder="1"/>
    <xf numFmtId="0" fontId="8" fillId="0" borderId="66" xfId="0" applyFont="1" applyBorder="1" applyAlignment="1">
      <alignment horizontal="right"/>
    </xf>
    <xf numFmtId="3" fontId="8" fillId="20" borderId="67" xfId="0" applyNumberFormat="1" applyFont="1" applyFill="1" applyBorder="1"/>
    <xf numFmtId="3" fontId="8" fillId="20" borderId="17" xfId="0" applyNumberFormat="1" applyFont="1" applyFill="1" applyBorder="1"/>
    <xf numFmtId="3" fontId="8" fillId="20" borderId="68" xfId="0" applyNumberFormat="1" applyFont="1" applyFill="1" applyBorder="1"/>
    <xf numFmtId="3" fontId="8" fillId="0" borderId="65" xfId="0" applyNumberFormat="1" applyFont="1" applyBorder="1"/>
    <xf numFmtId="3" fontId="8" fillId="0" borderId="67" xfId="0" applyNumberFormat="1" applyFont="1" applyBorder="1"/>
    <xf numFmtId="3" fontId="8" fillId="20" borderId="41" xfId="0" applyNumberFormat="1" applyFont="1" applyFill="1" applyBorder="1"/>
    <xf numFmtId="3" fontId="8" fillId="0" borderId="41" xfId="0" applyNumberFormat="1" applyFont="1" applyBorder="1"/>
    <xf numFmtId="0" fontId="0" fillId="0" borderId="46" xfId="0" applyBorder="1"/>
    <xf numFmtId="3" fontId="0" fillId="20" borderId="58" xfId="0" applyNumberFormat="1" applyFill="1" applyBorder="1"/>
    <xf numFmtId="3" fontId="0" fillId="20" borderId="59" xfId="0" applyNumberFormat="1" applyFill="1" applyBorder="1"/>
    <xf numFmtId="3" fontId="0" fillId="20" borderId="60" xfId="0" applyNumberFormat="1" applyFill="1" applyBorder="1"/>
    <xf numFmtId="3" fontId="0" fillId="0" borderId="47" xfId="0" applyNumberFormat="1" applyBorder="1"/>
    <xf numFmtId="3" fontId="0" fillId="0" borderId="58" xfId="0" applyNumberFormat="1" applyBorder="1"/>
    <xf numFmtId="3" fontId="0" fillId="20" borderId="48" xfId="0" applyNumberFormat="1" applyFill="1" applyBorder="1"/>
    <xf numFmtId="3" fontId="0" fillId="0" borderId="48" xfId="0" applyNumberFormat="1" applyBorder="1"/>
    <xf numFmtId="0" fontId="8" fillId="0" borderId="27" xfId="0" applyFont="1" applyBorder="1" applyAlignment="1">
      <alignment horizontal="right"/>
    </xf>
    <xf numFmtId="3" fontId="8" fillId="20" borderId="69" xfId="0" applyNumberFormat="1" applyFont="1" applyFill="1" applyBorder="1"/>
    <xf numFmtId="3" fontId="8" fillId="20" borderId="37" xfId="0" applyNumberFormat="1" applyFont="1" applyFill="1" applyBorder="1"/>
    <xf numFmtId="3" fontId="8" fillId="20" borderId="70" xfId="0" applyNumberFormat="1" applyFont="1" applyFill="1" applyBorder="1"/>
    <xf numFmtId="3" fontId="8" fillId="0" borderId="49" xfId="0" applyNumberFormat="1" applyFont="1" applyBorder="1"/>
    <xf numFmtId="3" fontId="8" fillId="0" borderId="69" xfId="0" applyNumberFormat="1" applyFont="1" applyBorder="1"/>
    <xf numFmtId="3" fontId="8" fillId="20" borderId="51" xfId="0" applyNumberFormat="1" applyFont="1" applyFill="1" applyBorder="1"/>
    <xf numFmtId="3" fontId="8" fillId="0" borderId="51" xfId="0" applyNumberFormat="1" applyFont="1" applyBorder="1"/>
    <xf numFmtId="0" fontId="0" fillId="0" borderId="46" xfId="0" applyFill="1" applyBorder="1"/>
    <xf numFmtId="3" fontId="0" fillId="0" borderId="47" xfId="0" applyNumberFormat="1" applyFill="1" applyBorder="1"/>
    <xf numFmtId="3" fontId="0" fillId="0" borderId="58" xfId="0" applyNumberFormat="1" applyFill="1" applyBorder="1"/>
    <xf numFmtId="3" fontId="0" fillId="0" borderId="48" xfId="0" applyNumberFormat="1" applyFill="1" applyBorder="1"/>
    <xf numFmtId="0" fontId="8" fillId="0" borderId="27" xfId="0" applyFont="1" applyFill="1" applyBorder="1" applyAlignment="1">
      <alignment horizontal="right"/>
    </xf>
    <xf numFmtId="3" fontId="32" fillId="20" borderId="69" xfId="0" applyNumberFormat="1" applyFont="1" applyFill="1" applyBorder="1"/>
    <xf numFmtId="3" fontId="32" fillId="20" borderId="37" xfId="0" applyNumberFormat="1" applyFont="1" applyFill="1" applyBorder="1"/>
    <xf numFmtId="3" fontId="32" fillId="20" borderId="70" xfId="0" applyNumberFormat="1" applyFont="1" applyFill="1" applyBorder="1"/>
    <xf numFmtId="3" fontId="32" fillId="0" borderId="49" xfId="0" applyNumberFormat="1" applyFont="1" applyFill="1" applyBorder="1"/>
    <xf numFmtId="3" fontId="32" fillId="0" borderId="49" xfId="0" applyNumberFormat="1" applyFont="1" applyFill="1" applyBorder="1" applyAlignment="1">
      <alignment horizontal="right"/>
    </xf>
    <xf numFmtId="3" fontId="32" fillId="0" borderId="69" xfId="0" applyNumberFormat="1" applyFont="1" applyFill="1" applyBorder="1"/>
    <xf numFmtId="3" fontId="32" fillId="20" borderId="51" xfId="0" applyNumberFormat="1" applyFont="1" applyFill="1" applyBorder="1"/>
    <xf numFmtId="3" fontId="32" fillId="0" borderId="51" xfId="0" applyNumberFormat="1" applyFont="1" applyFill="1" applyBorder="1"/>
    <xf numFmtId="0" fontId="12" fillId="0" borderId="46" xfId="0" applyFont="1" applyBorder="1"/>
    <xf numFmtId="3" fontId="32" fillId="0" borderId="49" xfId="0" applyNumberFormat="1" applyFont="1" applyBorder="1"/>
    <xf numFmtId="3" fontId="32" fillId="0" borderId="69" xfId="0" applyNumberFormat="1" applyFont="1" applyBorder="1"/>
    <xf numFmtId="3" fontId="32" fillId="0" borderId="51" xfId="0" applyNumberFormat="1" applyFont="1" applyBorder="1"/>
    <xf numFmtId="0" fontId="24" fillId="0" borderId="46" xfId="0" applyFont="1" applyBorder="1" applyAlignment="1">
      <alignment horizontal="left"/>
    </xf>
    <xf numFmtId="3" fontId="32" fillId="20" borderId="58" xfId="0" applyNumberFormat="1" applyFont="1" applyFill="1" applyBorder="1"/>
    <xf numFmtId="3" fontId="32" fillId="20" borderId="59" xfId="0" applyNumberFormat="1" applyFont="1" applyFill="1" applyBorder="1"/>
    <xf numFmtId="3" fontId="32" fillId="20" borderId="60" xfId="0" applyNumberFormat="1" applyFont="1" applyFill="1" applyBorder="1"/>
    <xf numFmtId="3" fontId="32" fillId="0" borderId="47" xfId="0" applyNumberFormat="1" applyFont="1" applyBorder="1"/>
    <xf numFmtId="3" fontId="32" fillId="0" borderId="58" xfId="0" applyNumberFormat="1" applyFont="1" applyBorder="1"/>
    <xf numFmtId="3" fontId="32" fillId="20" borderId="48" xfId="0" applyNumberFormat="1" applyFont="1" applyFill="1" applyBorder="1"/>
    <xf numFmtId="3" fontId="32" fillId="0" borderId="48" xfId="0" applyNumberFormat="1" applyFont="1" applyBorder="1"/>
    <xf numFmtId="3" fontId="12" fillId="20" borderId="58" xfId="0" applyNumberFormat="1" applyFont="1" applyFill="1" applyBorder="1"/>
    <xf numFmtId="3" fontId="12" fillId="20" borderId="59" xfId="0" applyNumberFormat="1" applyFont="1" applyFill="1" applyBorder="1"/>
    <xf numFmtId="3" fontId="12" fillId="20" borderId="60" xfId="0" applyNumberFormat="1" applyFont="1" applyFill="1" applyBorder="1"/>
    <xf numFmtId="3" fontId="12" fillId="0" borderId="47" xfId="0" applyNumberFormat="1" applyFont="1" applyBorder="1"/>
    <xf numFmtId="3" fontId="12" fillId="0" borderId="58" xfId="0" applyNumberFormat="1" applyFont="1" applyBorder="1"/>
    <xf numFmtId="3" fontId="12" fillId="20" borderId="48" xfId="0" applyNumberFormat="1" applyFont="1" applyFill="1" applyBorder="1"/>
    <xf numFmtId="3" fontId="12" fillId="0" borderId="48" xfId="0" applyNumberFormat="1" applyFont="1" applyBorder="1"/>
    <xf numFmtId="0" fontId="8" fillId="0" borderId="51" xfId="0" applyFont="1" applyBorder="1" applyAlignment="1">
      <alignment horizontal="center"/>
    </xf>
    <xf numFmtId="3" fontId="55" fillId="0" borderId="19" xfId="0" applyNumberFormat="1" applyFont="1" applyBorder="1"/>
    <xf numFmtId="3" fontId="54" fillId="0" borderId="19" xfId="0" applyNumberFormat="1" applyFont="1" applyBorder="1"/>
    <xf numFmtId="0" fontId="54" fillId="23" borderId="18" xfId="38" applyFont="1" applyFill="1" applyBorder="1" applyAlignment="1">
      <alignment horizontal="center"/>
    </xf>
    <xf numFmtId="0" fontId="54" fillId="23" borderId="20" xfId="0" applyFont="1" applyFill="1" applyBorder="1" applyAlignment="1">
      <alignment horizontal="center"/>
    </xf>
    <xf numFmtId="0" fontId="52" fillId="0" borderId="71" xfId="38" applyFont="1" applyBorder="1" applyAlignment="1">
      <alignment horizontal="center"/>
    </xf>
    <xf numFmtId="0" fontId="56" fillId="0" borderId="74" xfId="38" applyFont="1" applyBorder="1"/>
    <xf numFmtId="0" fontId="56" fillId="0" borderId="71" xfId="38" applyFont="1" applyBorder="1"/>
    <xf numFmtId="0" fontId="56" fillId="0" borderId="18" xfId="38" applyFont="1" applyBorder="1"/>
    <xf numFmtId="0" fontId="56" fillId="0" borderId="66" xfId="38" applyFont="1" applyBorder="1"/>
    <xf numFmtId="0" fontId="60" fillId="0" borderId="32" xfId="0" applyFont="1" applyFill="1" applyBorder="1" applyAlignment="1">
      <alignment horizontal="center"/>
    </xf>
    <xf numFmtId="0" fontId="60" fillId="0" borderId="32" xfId="0" applyFont="1" applyBorder="1" applyAlignment="1">
      <alignment horizontal="right"/>
    </xf>
    <xf numFmtId="0" fontId="59" fillId="0" borderId="32" xfId="0" applyFont="1" applyBorder="1" applyAlignment="1">
      <alignment horizontal="right"/>
    </xf>
    <xf numFmtId="3" fontId="7" fillId="26" borderId="44" xfId="0" applyNumberFormat="1" applyFont="1" applyFill="1" applyBorder="1"/>
    <xf numFmtId="3" fontId="7" fillId="26" borderId="51" xfId="0" applyNumberFormat="1" applyFont="1" applyFill="1" applyBorder="1"/>
    <xf numFmtId="0" fontId="61" fillId="0" borderId="0" xfId="0" applyFont="1"/>
    <xf numFmtId="0" fontId="29" fillId="23" borderId="32" xfId="0" applyFont="1" applyFill="1" applyBorder="1" applyAlignment="1">
      <alignment horizontal="center" wrapText="1"/>
    </xf>
    <xf numFmtId="0" fontId="29" fillId="23" borderId="32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right"/>
    </xf>
    <xf numFmtId="0" fontId="61" fillId="0" borderId="32" xfId="0" applyFont="1" applyBorder="1" applyAlignment="1">
      <alignment horizontal="right"/>
    </xf>
    <xf numFmtId="0" fontId="29" fillId="0" borderId="32" xfId="0" applyFont="1" applyBorder="1" applyAlignment="1">
      <alignment horizontal="right"/>
    </xf>
    <xf numFmtId="0" fontId="61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56" fillId="26" borderId="26" xfId="38" applyFont="1" applyFill="1" applyBorder="1"/>
    <xf numFmtId="3" fontId="12" fillId="0" borderId="0" xfId="0" applyNumberFormat="1" applyFont="1"/>
    <xf numFmtId="3" fontId="1" fillId="0" borderId="20" xfId="26" applyNumberFormat="1" applyFill="1" applyBorder="1" applyAlignment="1">
      <alignment horizontal="right"/>
    </xf>
    <xf numFmtId="0" fontId="1" fillId="0" borderId="0" xfId="46"/>
    <xf numFmtId="3" fontId="1" fillId="0" borderId="0" xfId="46" applyNumberFormat="1"/>
    <xf numFmtId="3" fontId="1" fillId="0" borderId="18" xfId="26" applyNumberFormat="1" applyFill="1" applyBorder="1" applyAlignment="1">
      <alignment horizontal="right"/>
    </xf>
    <xf numFmtId="3" fontId="1" fillId="0" borderId="66" xfId="26" applyNumberFormat="1" applyFill="1" applyBorder="1" applyAlignment="1">
      <alignment horizontal="right"/>
    </xf>
    <xf numFmtId="0" fontId="5" fillId="0" borderId="24" xfId="46" applyFont="1" applyFill="1" applyBorder="1"/>
    <xf numFmtId="0" fontId="1" fillId="0" borderId="0" xfId="46" applyFill="1"/>
    <xf numFmtId="0" fontId="63" fillId="0" borderId="34" xfId="0" applyFont="1" applyFill="1" applyBorder="1"/>
    <xf numFmtId="165" fontId="62" fillId="0" borderId="75" xfId="26" applyNumberFormat="1" applyFont="1" applyBorder="1"/>
    <xf numFmtId="0" fontId="63" fillId="0" borderId="46" xfId="0" applyFont="1" applyBorder="1"/>
    <xf numFmtId="165" fontId="63" fillId="0" borderId="48" xfId="26" applyNumberFormat="1" applyFont="1" applyBorder="1"/>
    <xf numFmtId="0" fontId="62" fillId="0" borderId="0" xfId="0" applyFont="1"/>
    <xf numFmtId="165" fontId="62" fillId="0" borderId="0" xfId="26" applyNumberFormat="1" applyFont="1"/>
    <xf numFmtId="3" fontId="14" fillId="0" borderId="0" xfId="0" applyNumberFormat="1" applyFont="1" applyAlignment="1">
      <alignment wrapText="1"/>
    </xf>
    <xf numFmtId="3" fontId="12" fillId="0" borderId="15" xfId="0" applyNumberFormat="1" applyFont="1" applyFill="1" applyBorder="1"/>
    <xf numFmtId="3" fontId="12" fillId="0" borderId="14" xfId="0" applyNumberFormat="1" applyFont="1" applyFill="1" applyBorder="1"/>
    <xf numFmtId="3" fontId="12" fillId="0" borderId="61" xfId="0" applyNumberFormat="1" applyFont="1" applyBorder="1"/>
    <xf numFmtId="3" fontId="5" fillId="0" borderId="61" xfId="0" applyNumberFormat="1" applyFont="1" applyBorder="1"/>
    <xf numFmtId="1" fontId="12" fillId="0" borderId="0" xfId="0" applyNumberFormat="1" applyFont="1"/>
    <xf numFmtId="0" fontId="64" fillId="0" borderId="0" xfId="0" applyFont="1"/>
    <xf numFmtId="0" fontId="21" fillId="0" borderId="0" xfId="0" applyFont="1" applyFill="1" applyAlignment="1">
      <alignment horizontal="justify"/>
    </xf>
    <xf numFmtId="166" fontId="12" fillId="0" borderId="0" xfId="0" applyNumberFormat="1" applyFont="1" applyFill="1" applyAlignment="1">
      <alignment horizontal="right"/>
    </xf>
    <xf numFmtId="0" fontId="21" fillId="0" borderId="19" xfId="0" applyFont="1" applyFill="1" applyBorder="1" applyAlignment="1">
      <alignment horizontal="justify"/>
    </xf>
    <xf numFmtId="166" fontId="64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vertical="center" wrapText="1"/>
    </xf>
    <xf numFmtId="166" fontId="12" fillId="0" borderId="19" xfId="0" applyNumberFormat="1" applyFont="1" applyFill="1" applyBorder="1" applyAlignment="1">
      <alignment horizontal="right" vertical="center" wrapText="1"/>
    </xf>
    <xf numFmtId="0" fontId="21" fillId="0" borderId="57" xfId="0" applyFont="1" applyFill="1" applyBorder="1" applyAlignment="1">
      <alignment horizontal="justify"/>
    </xf>
    <xf numFmtId="166" fontId="64" fillId="0" borderId="63" xfId="0" applyNumberFormat="1" applyFont="1" applyFill="1" applyBorder="1" applyAlignment="1">
      <alignment horizontal="right"/>
    </xf>
    <xf numFmtId="166" fontId="64" fillId="0" borderId="19" xfId="0" applyNumberFormat="1" applyFont="1" applyFill="1" applyBorder="1" applyAlignment="1">
      <alignment horizontal="right" vertical="center" wrapText="1"/>
    </xf>
    <xf numFmtId="0" fontId="64" fillId="0" borderId="57" xfId="0" applyFont="1" applyFill="1" applyBorder="1" applyAlignment="1">
      <alignment vertical="center" wrapText="1"/>
    </xf>
    <xf numFmtId="166" fontId="64" fillId="0" borderId="63" xfId="0" applyNumberFormat="1" applyFont="1" applyFill="1" applyBorder="1" applyAlignment="1">
      <alignment horizontal="right" vertical="center" wrapText="1"/>
    </xf>
    <xf numFmtId="0" fontId="64" fillId="0" borderId="57" xfId="0" applyFont="1" applyFill="1" applyBorder="1" applyAlignment="1">
      <alignment horizontal="justify" vertical="top" wrapText="1"/>
    </xf>
    <xf numFmtId="166" fontId="64" fillId="0" borderId="63" xfId="0" applyNumberFormat="1" applyFont="1" applyFill="1" applyBorder="1" applyAlignment="1">
      <alignment horizontal="right" vertical="top" wrapText="1"/>
    </xf>
    <xf numFmtId="0" fontId="64" fillId="0" borderId="19" xfId="0" applyFont="1" applyFill="1" applyBorder="1" applyAlignment="1">
      <alignment horizontal="justify"/>
    </xf>
    <xf numFmtId="0" fontId="64" fillId="0" borderId="1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/>
    </xf>
    <xf numFmtId="166" fontId="12" fillId="0" borderId="0" xfId="0" applyNumberFormat="1" applyFont="1" applyFill="1" applyBorder="1" applyAlignment="1">
      <alignment horizontal="right" vertical="center" wrapText="1"/>
    </xf>
    <xf numFmtId="166" fontId="12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166" fontId="5" fillId="0" borderId="19" xfId="0" applyNumberFormat="1" applyFont="1" applyFill="1" applyBorder="1" applyAlignment="1">
      <alignment horizontal="left"/>
    </xf>
    <xf numFmtId="3" fontId="54" fillId="23" borderId="76" xfId="0" applyNumberFormat="1" applyFont="1" applyFill="1" applyBorder="1"/>
    <xf numFmtId="0" fontId="69" fillId="23" borderId="76" xfId="0" applyFont="1" applyFill="1" applyBorder="1"/>
    <xf numFmtId="3" fontId="54" fillId="23" borderId="77" xfId="0" applyNumberFormat="1" applyFont="1" applyFill="1" applyBorder="1"/>
    <xf numFmtId="0" fontId="54" fillId="23" borderId="77" xfId="0" applyFont="1" applyFill="1" applyBorder="1"/>
    <xf numFmtId="0" fontId="55" fillId="0" borderId="19" xfId="0" applyFont="1" applyBorder="1"/>
    <xf numFmtId="3" fontId="55" fillId="0" borderId="0" xfId="0" applyNumberFormat="1" applyFont="1"/>
    <xf numFmtId="0" fontId="54" fillId="27" borderId="78" xfId="0" applyFont="1" applyFill="1" applyBorder="1"/>
    <xf numFmtId="3" fontId="54" fillId="23" borderId="79" xfId="0" applyNumberFormat="1" applyFont="1" applyFill="1" applyBorder="1"/>
    <xf numFmtId="3" fontId="54" fillId="26" borderId="19" xfId="0" applyNumberFormat="1" applyFont="1" applyFill="1" applyBorder="1"/>
    <xf numFmtId="3" fontId="55" fillId="26" borderId="19" xfId="0" applyNumberFormat="1" applyFont="1" applyFill="1" applyBorder="1"/>
    <xf numFmtId="3" fontId="54" fillId="23" borderId="80" xfId="0" applyNumberFormat="1" applyFont="1" applyFill="1" applyBorder="1"/>
    <xf numFmtId="0" fontId="69" fillId="23" borderId="81" xfId="0" applyFont="1" applyFill="1" applyBorder="1"/>
    <xf numFmtId="0" fontId="69" fillId="23" borderId="79" xfId="0" applyFont="1" applyFill="1" applyBorder="1"/>
    <xf numFmtId="0" fontId="54" fillId="26" borderId="19" xfId="0" applyFont="1" applyFill="1" applyBorder="1"/>
    <xf numFmtId="0" fontId="55" fillId="26" borderId="19" xfId="0" applyFont="1" applyFill="1" applyBorder="1"/>
    <xf numFmtId="3" fontId="53" fillId="0" borderId="0" xfId="45" applyNumberFormat="1" applyFont="1"/>
    <xf numFmtId="0" fontId="55" fillId="28" borderId="19" xfId="0" applyFont="1" applyFill="1" applyBorder="1"/>
    <xf numFmtId="3" fontId="54" fillId="28" borderId="19" xfId="0" applyNumberFormat="1" applyFont="1" applyFill="1" applyBorder="1"/>
    <xf numFmtId="3" fontId="54" fillId="0" borderId="77" xfId="0" applyNumberFormat="1" applyFont="1" applyFill="1" applyBorder="1"/>
    <xf numFmtId="0" fontId="54" fillId="0" borderId="77" xfId="0" applyFont="1" applyFill="1" applyBorder="1"/>
    <xf numFmtId="0" fontId="41" fillId="0" borderId="0" xfId="0" applyFont="1" applyFill="1"/>
    <xf numFmtId="0" fontId="53" fillId="0" borderId="0" xfId="45" applyFont="1" applyFill="1"/>
    <xf numFmtId="3" fontId="12" fillId="0" borderId="0" xfId="45" applyNumberFormat="1" applyFont="1" applyFill="1"/>
    <xf numFmtId="0" fontId="12" fillId="0" borderId="0" xfId="45" applyFont="1" applyFill="1"/>
    <xf numFmtId="3" fontId="55" fillId="0" borderId="82" xfId="0" applyNumberFormat="1" applyFont="1" applyFill="1" applyBorder="1"/>
    <xf numFmtId="0" fontId="55" fillId="0" borderId="82" xfId="0" applyFont="1" applyFill="1" applyBorder="1" applyAlignment="1">
      <alignment horizontal="right"/>
    </xf>
    <xf numFmtId="3" fontId="54" fillId="29" borderId="77" xfId="0" applyNumberFormat="1" applyFont="1" applyFill="1" applyBorder="1"/>
    <xf numFmtId="0" fontId="54" fillId="29" borderId="77" xfId="0" applyFont="1" applyFill="1" applyBorder="1"/>
    <xf numFmtId="0" fontId="54" fillId="29" borderId="83" xfId="0" applyFont="1" applyFill="1" applyBorder="1"/>
    <xf numFmtId="3" fontId="54" fillId="29" borderId="84" xfId="0" applyNumberFormat="1" applyFont="1" applyFill="1" applyBorder="1"/>
    <xf numFmtId="0" fontId="5" fillId="0" borderId="45" xfId="0" applyFont="1" applyBorder="1" applyAlignment="1">
      <alignment horizontal="center"/>
    </xf>
    <xf numFmtId="165" fontId="12" fillId="0" borderId="0" xfId="26" applyNumberFormat="1" applyFont="1"/>
    <xf numFmtId="9" fontId="12" fillId="0" borderId="0" xfId="51" applyFont="1"/>
    <xf numFmtId="0" fontId="70" fillId="0" borderId="0" xfId="0" applyFont="1"/>
    <xf numFmtId="0" fontId="70" fillId="0" borderId="0" xfId="0" applyFont="1" applyAlignment="1">
      <alignment horizontal="center"/>
    </xf>
    <xf numFmtId="3" fontId="70" fillId="0" borderId="0" xfId="0" applyNumberFormat="1" applyFont="1"/>
    <xf numFmtId="0" fontId="70" fillId="0" borderId="0" xfId="0" applyFont="1" applyFill="1"/>
    <xf numFmtId="3" fontId="72" fillId="0" borderId="0" xfId="0" applyNumberFormat="1" applyFont="1" applyAlignment="1">
      <alignment horizontal="right"/>
    </xf>
    <xf numFmtId="3" fontId="70" fillId="0" borderId="0" xfId="0" applyNumberFormat="1" applyFont="1" applyFill="1"/>
    <xf numFmtId="0" fontId="73" fillId="0" borderId="46" xfId="44" applyFont="1" applyFill="1" applyBorder="1" applyAlignment="1"/>
    <xf numFmtId="0" fontId="73" fillId="0" borderId="47" xfId="44" applyFont="1" applyFill="1" applyBorder="1" applyAlignment="1">
      <alignment horizontal="center"/>
    </xf>
    <xf numFmtId="0" fontId="74" fillId="0" borderId="18" xfId="44" applyFont="1" applyFill="1" applyBorder="1" applyAlignment="1">
      <alignment horizontal="left" indent="1"/>
    </xf>
    <xf numFmtId="0" fontId="74" fillId="0" borderId="19" xfId="44" applyFont="1" applyFill="1" applyBorder="1" applyAlignment="1">
      <alignment horizontal="center"/>
    </xf>
    <xf numFmtId="0" fontId="75" fillId="0" borderId="18" xfId="44" applyFont="1" applyFill="1" applyBorder="1" applyAlignment="1">
      <alignment horizontal="left" indent="4"/>
    </xf>
    <xf numFmtId="0" fontId="75" fillId="0" borderId="19" xfId="44" applyFont="1" applyFill="1" applyBorder="1" applyAlignment="1">
      <alignment horizontal="center"/>
    </xf>
    <xf numFmtId="0" fontId="75" fillId="0" borderId="18" xfId="44" applyFont="1" applyFill="1" applyBorder="1" applyAlignment="1">
      <alignment horizontal="left" indent="2"/>
    </xf>
    <xf numFmtId="0" fontId="73" fillId="0" borderId="18" xfId="44" applyFont="1" applyFill="1" applyBorder="1" applyAlignment="1"/>
    <xf numFmtId="0" fontId="73" fillId="0" borderId="19" xfId="44" applyFont="1" applyFill="1" applyBorder="1" applyAlignment="1">
      <alignment horizontal="center"/>
    </xf>
    <xf numFmtId="0" fontId="75" fillId="0" borderId="49" xfId="44" applyFont="1" applyFill="1" applyBorder="1" applyAlignment="1">
      <alignment horizontal="center"/>
    </xf>
    <xf numFmtId="3" fontId="73" fillId="0" borderId="16" xfId="44" applyNumberFormat="1" applyFont="1" applyFill="1" applyBorder="1" applyAlignment="1"/>
    <xf numFmtId="3" fontId="73" fillId="0" borderId="16" xfId="44" applyNumberFormat="1" applyFont="1" applyFill="1" applyBorder="1" applyAlignment="1">
      <alignment horizontal="center"/>
    </xf>
    <xf numFmtId="0" fontId="75" fillId="0" borderId="27" xfId="44" applyFont="1" applyFill="1" applyBorder="1" applyAlignment="1">
      <alignment horizontal="left" indent="2"/>
    </xf>
    <xf numFmtId="3" fontId="73" fillId="0" borderId="16" xfId="0" applyNumberFormat="1" applyFont="1" applyBorder="1"/>
    <xf numFmtId="0" fontId="76" fillId="0" borderId="74" xfId="38" applyFont="1" applyBorder="1"/>
    <xf numFmtId="0" fontId="56" fillId="0" borderId="74" xfId="38" applyFont="1" applyFill="1" applyBorder="1"/>
    <xf numFmtId="0" fontId="52" fillId="25" borderId="74" xfId="38" applyFont="1" applyFill="1" applyBorder="1" applyAlignment="1">
      <alignment vertical="center" wrapText="1"/>
    </xf>
    <xf numFmtId="0" fontId="52" fillId="0" borderId="74" xfId="38" applyFont="1" applyFill="1" applyBorder="1"/>
    <xf numFmtId="0" fontId="52" fillId="25" borderId="18" xfId="38" applyFont="1" applyFill="1" applyBorder="1" applyAlignment="1">
      <alignment wrapText="1"/>
    </xf>
    <xf numFmtId="0" fontId="52" fillId="30" borderId="66" xfId="38" applyFont="1" applyFill="1" applyBorder="1"/>
    <xf numFmtId="0" fontId="54" fillId="31" borderId="25" xfId="38" applyFont="1" applyFill="1" applyBorder="1"/>
    <xf numFmtId="0" fontId="28" fillId="0" borderId="0" xfId="0" applyFont="1"/>
    <xf numFmtId="3" fontId="77" fillId="0" borderId="0" xfId="0" applyNumberFormat="1" applyFont="1"/>
    <xf numFmtId="3" fontId="28" fillId="0" borderId="0" xfId="0" applyNumberFormat="1" applyFont="1"/>
    <xf numFmtId="3" fontId="79" fillId="0" borderId="0" xfId="0" applyNumberFormat="1" applyFont="1" applyFill="1" applyBorder="1"/>
    <xf numFmtId="0" fontId="14" fillId="0" borderId="19" xfId="0" applyFont="1" applyBorder="1"/>
    <xf numFmtId="0" fontId="5" fillId="0" borderId="19" xfId="0" applyFont="1" applyBorder="1" applyAlignment="1">
      <alignment horizontal="center" wrapText="1"/>
    </xf>
    <xf numFmtId="0" fontId="16" fillId="0" borderId="19" xfId="0" applyFont="1" applyBorder="1"/>
    <xf numFmtId="0" fontId="17" fillId="0" borderId="19" xfId="0" applyFont="1" applyBorder="1" applyAlignment="1">
      <alignment horizontal="center"/>
    </xf>
    <xf numFmtId="0" fontId="2" fillId="0" borderId="19" xfId="0" applyFont="1" applyBorder="1"/>
    <xf numFmtId="0" fontId="17" fillId="0" borderId="19" xfId="0" applyFont="1" applyBorder="1"/>
    <xf numFmtId="0" fontId="2" fillId="0" borderId="0" xfId="0" applyFont="1"/>
    <xf numFmtId="3" fontId="2" fillId="0" borderId="0" xfId="0" applyNumberFormat="1" applyFont="1"/>
    <xf numFmtId="3" fontId="17" fillId="0" borderId="0" xfId="0" applyNumberFormat="1" applyFont="1"/>
    <xf numFmtId="0" fontId="17" fillId="0" borderId="19" xfId="0" applyFont="1" applyFill="1" applyBorder="1"/>
    <xf numFmtId="0" fontId="8" fillId="0" borderId="88" xfId="0" applyFont="1" applyBorder="1" applyAlignment="1">
      <alignment horizontal="center"/>
    </xf>
    <xf numFmtId="3" fontId="7" fillId="0" borderId="18" xfId="0" applyNumberFormat="1" applyFont="1" applyBorder="1"/>
    <xf numFmtId="0" fontId="8" fillId="0" borderId="28" xfId="0" applyFont="1" applyBorder="1" applyAlignment="1"/>
    <xf numFmtId="0" fontId="21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3" fontId="8" fillId="0" borderId="34" xfId="0" applyNumberFormat="1" applyFont="1" applyBorder="1" applyAlignment="1"/>
    <xf numFmtId="3" fontId="21" fillId="0" borderId="25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0" fontId="21" fillId="0" borderId="46" xfId="44" applyFont="1" applyFill="1" applyBorder="1" applyAlignment="1"/>
    <xf numFmtId="3" fontId="8" fillId="0" borderId="44" xfId="0" applyNumberFormat="1" applyFont="1" applyBorder="1"/>
    <xf numFmtId="0" fontId="73" fillId="0" borderId="56" xfId="44" applyFont="1" applyFill="1" applyBorder="1" applyAlignment="1">
      <alignment horizontal="center"/>
    </xf>
    <xf numFmtId="0" fontId="8" fillId="0" borderId="18" xfId="44" applyFont="1" applyFill="1" applyBorder="1" applyAlignment="1">
      <alignment horizontal="left" indent="1"/>
    </xf>
    <xf numFmtId="3" fontId="8" fillId="0" borderId="20" xfId="0" applyNumberFormat="1" applyFont="1" applyBorder="1"/>
    <xf numFmtId="0" fontId="7" fillId="0" borderId="19" xfId="44" applyFont="1" applyFill="1" applyBorder="1" applyAlignment="1">
      <alignment horizontal="center" vertical="center" wrapText="1"/>
    </xf>
    <xf numFmtId="0" fontId="7" fillId="0" borderId="18" xfId="44" applyFont="1" applyFill="1" applyBorder="1" applyAlignment="1">
      <alignment horizontal="left" vertical="center" wrapText="1" indent="3"/>
    </xf>
    <xf numFmtId="0" fontId="7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indent="4"/>
    </xf>
    <xf numFmtId="0" fontId="7" fillId="0" borderId="19" xfId="44" applyFont="1" applyFill="1" applyBorder="1" applyAlignment="1">
      <alignment horizontal="center" vertical="center"/>
    </xf>
    <xf numFmtId="0" fontId="7" fillId="0" borderId="18" xfId="44" applyFont="1" applyFill="1" applyBorder="1" applyAlignment="1">
      <alignment horizontal="left" vertical="center" indent="3"/>
    </xf>
    <xf numFmtId="0" fontId="8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vertical="center" indent="5"/>
    </xf>
    <xf numFmtId="0" fontId="7" fillId="0" borderId="18" xfId="44" applyFont="1" applyFill="1" applyBorder="1" applyAlignment="1">
      <alignment horizontal="left" indent="2"/>
    </xf>
    <xf numFmtId="0" fontId="21" fillId="0" borderId="19" xfId="44" applyFont="1" applyFill="1" applyBorder="1" applyAlignment="1">
      <alignment horizontal="center"/>
    </xf>
    <xf numFmtId="0" fontId="21" fillId="0" borderId="18" xfId="44" applyFont="1" applyFill="1" applyBorder="1" applyAlignment="1"/>
    <xf numFmtId="3" fontId="7" fillId="0" borderId="23" xfId="0" applyNumberFormat="1" applyFont="1" applyBorder="1"/>
    <xf numFmtId="3" fontId="8" fillId="0" borderId="24" xfId="0" applyNumberFormat="1" applyFont="1" applyBorder="1" applyAlignment="1"/>
    <xf numFmtId="3" fontId="8" fillId="0" borderId="50" xfId="0" applyNumberFormat="1" applyFont="1" applyFill="1" applyBorder="1" applyAlignment="1">
      <alignment vertical="center"/>
    </xf>
    <xf numFmtId="0" fontId="21" fillId="0" borderId="47" xfId="44" applyFont="1" applyFill="1" applyBorder="1" applyAlignment="1">
      <alignment horizontal="center"/>
    </xf>
    <xf numFmtId="3" fontId="8" fillId="26" borderId="48" xfId="0" applyNumberFormat="1" applyFont="1" applyFill="1" applyBorder="1"/>
    <xf numFmtId="3" fontId="8" fillId="26" borderId="44" xfId="0" applyNumberFormat="1" applyFont="1" applyFill="1" applyBorder="1"/>
    <xf numFmtId="3" fontId="8" fillId="0" borderId="44" xfId="0" applyNumberFormat="1" applyFont="1" applyFill="1" applyBorder="1"/>
    <xf numFmtId="3" fontId="7" fillId="0" borderId="44" xfId="0" applyNumberFormat="1" applyFont="1" applyFill="1" applyBorder="1"/>
    <xf numFmtId="3" fontId="27" fillId="0" borderId="44" xfId="0" applyNumberFormat="1" applyFont="1" applyFill="1" applyBorder="1"/>
    <xf numFmtId="3" fontId="12" fillId="0" borderId="16" xfId="0" applyNumberFormat="1" applyFont="1" applyBorder="1"/>
    <xf numFmtId="165" fontId="9" fillId="0" borderId="0" xfId="26" applyNumberFormat="1" applyFont="1"/>
    <xf numFmtId="9" fontId="9" fillId="0" borderId="0" xfId="51" applyFont="1"/>
    <xf numFmtId="2" fontId="9" fillId="0" borderId="33" xfId="0" applyNumberFormat="1" applyFont="1" applyBorder="1" applyAlignment="1">
      <alignment wrapText="1"/>
    </xf>
    <xf numFmtId="2" fontId="9" fillId="0" borderId="36" xfId="0" applyNumberFormat="1" applyFont="1" applyBorder="1" applyAlignment="1">
      <alignment wrapText="1"/>
    </xf>
    <xf numFmtId="2" fontId="21" fillId="0" borderId="89" xfId="0" applyNumberFormat="1" applyFont="1" applyBorder="1" applyAlignment="1">
      <alignment horizontal="center" wrapText="1"/>
    </xf>
    <xf numFmtId="9" fontId="21" fillId="0" borderId="16" xfId="5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21" fillId="0" borderId="33" xfId="0" applyFont="1" applyBorder="1"/>
    <xf numFmtId="0" fontId="81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24" borderId="45" xfId="0" applyFont="1" applyFill="1" applyBorder="1" applyAlignment="1">
      <alignment horizontal="center" wrapText="1"/>
    </xf>
    <xf numFmtId="9" fontId="21" fillId="24" borderId="16" xfId="51" applyFont="1" applyFill="1" applyBorder="1" applyAlignment="1">
      <alignment horizontal="center" wrapText="1"/>
    </xf>
    <xf numFmtId="0" fontId="9" fillId="0" borderId="33" xfId="0" applyFont="1" applyFill="1" applyBorder="1"/>
    <xf numFmtId="0" fontId="82" fillId="0" borderId="11" xfId="0" applyFont="1" applyFill="1" applyBorder="1" applyAlignment="1">
      <alignment horizontal="left"/>
    </xf>
    <xf numFmtId="3" fontId="21" fillId="0" borderId="12" xfId="0" applyNumberFormat="1" applyFont="1" applyFill="1" applyBorder="1"/>
    <xf numFmtId="3" fontId="21" fillId="0" borderId="33" xfId="0" applyNumberFormat="1" applyFont="1" applyFill="1" applyBorder="1"/>
    <xf numFmtId="9" fontId="21" fillId="0" borderId="12" xfId="51" applyFont="1" applyFill="1" applyBorder="1"/>
    <xf numFmtId="3" fontId="9" fillId="0" borderId="12" xfId="0" applyNumberFormat="1" applyFont="1" applyFill="1" applyBorder="1"/>
    <xf numFmtId="0" fontId="9" fillId="0" borderId="0" xfId="0" applyFont="1" applyFill="1"/>
    <xf numFmtId="3" fontId="9" fillId="0" borderId="33" xfId="0" applyNumberFormat="1" applyFont="1" applyFill="1" applyBorder="1"/>
    <xf numFmtId="9" fontId="9" fillId="0" borderId="12" xfId="51" applyFont="1" applyFill="1" applyBorder="1"/>
    <xf numFmtId="0" fontId="21" fillId="0" borderId="33" xfId="0" applyFont="1" applyFill="1" applyBorder="1"/>
    <xf numFmtId="3" fontId="21" fillId="0" borderId="90" xfId="0" applyNumberFormat="1" applyFont="1" applyFill="1" applyBorder="1"/>
    <xf numFmtId="9" fontId="21" fillId="0" borderId="37" xfId="51" applyFont="1" applyFill="1" applyBorder="1"/>
    <xf numFmtId="3" fontId="21" fillId="0" borderId="37" xfId="0" applyNumberFormat="1" applyFont="1" applyFill="1" applyBorder="1"/>
    <xf numFmtId="0" fontId="9" fillId="0" borderId="33" xfId="0" applyFont="1" applyBorder="1"/>
    <xf numFmtId="3" fontId="21" fillId="0" borderId="45" xfId="0" applyNumberFormat="1" applyFont="1" applyFill="1" applyBorder="1"/>
    <xf numFmtId="9" fontId="21" fillId="0" borderId="16" xfId="51" applyFont="1" applyFill="1" applyBorder="1"/>
    <xf numFmtId="3" fontId="21" fillId="0" borderId="16" xfId="0" applyNumberFormat="1" applyFont="1" applyFill="1" applyBorder="1"/>
    <xf numFmtId="0" fontId="17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9" fontId="17" fillId="0" borderId="0" xfId="51" applyFont="1"/>
    <xf numFmtId="0" fontId="17" fillId="0" borderId="0" xfId="0" applyFont="1" applyFill="1" applyAlignment="1">
      <alignment horizontal="right"/>
    </xf>
    <xf numFmtId="0" fontId="54" fillId="0" borderId="67" xfId="0" applyFont="1" applyBorder="1" applyAlignment="1">
      <alignment horizontal="center" vertical="center" wrapText="1"/>
    </xf>
    <xf numFmtId="0" fontId="54" fillId="26" borderId="64" xfId="0" applyFont="1" applyFill="1" applyBorder="1" applyAlignment="1">
      <alignment horizontal="center" vertical="center" wrapText="1"/>
    </xf>
    <xf numFmtId="0" fontId="54" fillId="26" borderId="91" xfId="0" applyFont="1" applyFill="1" applyBorder="1" applyAlignment="1">
      <alignment horizontal="center" vertical="center" wrapText="1"/>
    </xf>
    <xf numFmtId="0" fontId="54" fillId="26" borderId="92" xfId="0" applyFont="1" applyFill="1" applyBorder="1" applyAlignment="1">
      <alignment horizontal="center" vertical="center" wrapText="1"/>
    </xf>
    <xf numFmtId="0" fontId="54" fillId="32" borderId="19" xfId="0" applyFont="1" applyFill="1" applyBorder="1"/>
    <xf numFmtId="0" fontId="55" fillId="0" borderId="57" xfId="0" applyFont="1" applyBorder="1"/>
    <xf numFmtId="3" fontId="55" fillId="0" borderId="57" xfId="0" applyNumberFormat="1" applyFont="1" applyBorder="1"/>
    <xf numFmtId="3" fontId="54" fillId="26" borderId="93" xfId="0" applyNumberFormat="1" applyFont="1" applyFill="1" applyBorder="1"/>
    <xf numFmtId="0" fontId="69" fillId="23" borderId="94" xfId="0" applyFont="1" applyFill="1" applyBorder="1"/>
    <xf numFmtId="3" fontId="54" fillId="23" borderId="95" xfId="0" applyNumberFormat="1" applyFont="1" applyFill="1" applyBorder="1"/>
    <xf numFmtId="0" fontId="54" fillId="23" borderId="96" xfId="0" applyFont="1" applyFill="1" applyBorder="1"/>
    <xf numFmtId="3" fontId="54" fillId="23" borderId="97" xfId="0" applyNumberFormat="1" applyFont="1" applyFill="1" applyBorder="1"/>
    <xf numFmtId="0" fontId="69" fillId="23" borderId="98" xfId="0" applyFont="1" applyFill="1" applyBorder="1"/>
    <xf numFmtId="3" fontId="54" fillId="23" borderId="93" xfId="0" applyNumberFormat="1" applyFont="1" applyFill="1" applyBorder="1"/>
    <xf numFmtId="0" fontId="54" fillId="0" borderId="19" xfId="0" applyFont="1" applyBorder="1"/>
    <xf numFmtId="0" fontId="54" fillId="0" borderId="96" xfId="0" applyFont="1" applyFill="1" applyBorder="1"/>
    <xf numFmtId="3" fontId="54" fillId="0" borderId="97" xfId="0" applyNumberFormat="1" applyFont="1" applyFill="1" applyBorder="1"/>
    <xf numFmtId="0" fontId="54" fillId="29" borderId="96" xfId="0" applyFont="1" applyFill="1" applyBorder="1"/>
    <xf numFmtId="3" fontId="54" fillId="29" borderId="97" xfId="0" applyNumberFormat="1" applyFont="1" applyFill="1" applyBorder="1"/>
    <xf numFmtId="0" fontId="54" fillId="29" borderId="99" xfId="0" applyFont="1" applyFill="1" applyBorder="1"/>
    <xf numFmtId="3" fontId="54" fillId="29" borderId="100" xfId="0" applyNumberFormat="1" applyFont="1" applyFill="1" applyBorder="1"/>
    <xf numFmtId="0" fontId="55" fillId="0" borderId="53" xfId="0" applyFont="1" applyFill="1" applyBorder="1" applyAlignment="1">
      <alignment horizontal="right"/>
    </xf>
    <xf numFmtId="3" fontId="55" fillId="0" borderId="61" xfId="0" applyNumberFormat="1" applyFont="1" applyFill="1" applyBorder="1"/>
    <xf numFmtId="0" fontId="54" fillId="0" borderId="101" xfId="0" applyFont="1" applyBorder="1"/>
    <xf numFmtId="0" fontId="54" fillId="0" borderId="102" xfId="0" applyFont="1" applyBorder="1"/>
    <xf numFmtId="0" fontId="5" fillId="0" borderId="16" xfId="0" applyFont="1" applyFill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4" fillId="0" borderId="23" xfId="0" applyFont="1" applyFill="1" applyBorder="1"/>
    <xf numFmtId="0" fontId="16" fillId="0" borderId="24" xfId="0" applyFont="1" applyBorder="1"/>
    <xf numFmtId="0" fontId="16" fillId="0" borderId="10" xfId="0" applyFont="1" applyBorder="1"/>
    <xf numFmtId="0" fontId="55" fillId="30" borderId="19" xfId="0" applyFont="1" applyFill="1" applyBorder="1"/>
    <xf numFmtId="3" fontId="54" fillId="30" borderId="19" xfId="0" applyNumberFormat="1" applyFont="1" applyFill="1" applyBorder="1"/>
    <xf numFmtId="3" fontId="12" fillId="0" borderId="62" xfId="0" applyNumberFormat="1" applyFont="1" applyFill="1" applyBorder="1"/>
    <xf numFmtId="3" fontId="5" fillId="0" borderId="39" xfId="0" applyNumberFormat="1" applyFont="1" applyBorder="1"/>
    <xf numFmtId="3" fontId="5" fillId="0" borderId="40" xfId="0" applyNumberFormat="1" applyFont="1" applyFill="1" applyBorder="1"/>
    <xf numFmtId="0" fontId="1" fillId="0" borderId="38" xfId="0" applyFont="1" applyFill="1" applyBorder="1"/>
    <xf numFmtId="0" fontId="54" fillId="23" borderId="57" xfId="0" applyFont="1" applyFill="1" applyBorder="1" applyAlignment="1">
      <alignment horizontal="center"/>
    </xf>
    <xf numFmtId="3" fontId="72" fillId="0" borderId="0" xfId="0" applyNumberFormat="1" applyFont="1" applyFill="1" applyAlignment="1">
      <alignment horizontal="right"/>
    </xf>
    <xf numFmtId="0" fontId="0" fillId="0" borderId="11" xfId="0" applyBorder="1"/>
    <xf numFmtId="0" fontId="7" fillId="0" borderId="56" xfId="0" applyFont="1" applyFill="1" applyBorder="1" applyAlignment="1">
      <alignment horizontal="left"/>
    </xf>
    <xf numFmtId="3" fontId="12" fillId="0" borderId="106" xfId="0" applyNumberFormat="1" applyFont="1" applyFill="1" applyBorder="1" applyAlignment="1">
      <alignment horizontal="right"/>
    </xf>
    <xf numFmtId="0" fontId="12" fillId="0" borderId="107" xfId="46" applyFont="1" applyFill="1" applyBorder="1"/>
    <xf numFmtId="0" fontId="10" fillId="0" borderId="0" xfId="0" applyFont="1" applyFill="1"/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3" fontId="29" fillId="0" borderId="5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3" fontId="12" fillId="0" borderId="44" xfId="0" applyNumberFormat="1" applyFont="1" applyFill="1" applyBorder="1" applyAlignment="1">
      <alignment horizontal="right"/>
    </xf>
    <xf numFmtId="9" fontId="12" fillId="0" borderId="44" xfId="5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29" fillId="0" borderId="25" xfId="0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center"/>
    </xf>
    <xf numFmtId="9" fontId="29" fillId="0" borderId="50" xfId="51" applyFont="1" applyFill="1" applyBorder="1" applyAlignment="1">
      <alignment horizontal="right"/>
    </xf>
    <xf numFmtId="3" fontId="1" fillId="0" borderId="106" xfId="0" applyNumberFormat="1" applyFont="1" applyFill="1" applyBorder="1" applyAlignment="1">
      <alignment horizontal="right"/>
    </xf>
    <xf numFmtId="9" fontId="1" fillId="0" borderId="106" xfId="51" applyFont="1" applyFill="1" applyBorder="1" applyAlignment="1">
      <alignment horizontal="right"/>
    </xf>
    <xf numFmtId="165" fontId="9" fillId="0" borderId="0" xfId="26" applyNumberFormat="1" applyFont="1" applyFill="1"/>
    <xf numFmtId="2" fontId="21" fillId="0" borderId="45" xfId="0" applyNumberFormat="1" applyFont="1" applyFill="1" applyBorder="1" applyAlignment="1">
      <alignment horizontal="center" wrapText="1"/>
    </xf>
    <xf numFmtId="165" fontId="12" fillId="0" borderId="0" xfId="26" applyNumberFormat="1" applyFont="1" applyFill="1"/>
    <xf numFmtId="0" fontId="7" fillId="0" borderId="47" xfId="0" applyFont="1" applyFill="1" applyBorder="1"/>
    <xf numFmtId="0" fontId="5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2" fillId="0" borderId="0" xfId="0" applyFont="1" applyFill="1" applyAlignment="1">
      <alignment horizontal="right"/>
    </xf>
    <xf numFmtId="0" fontId="84" fillId="0" borderId="0" xfId="0" applyFont="1" applyFill="1" applyAlignment="1">
      <alignment horizontal="center" vertical="center"/>
    </xf>
    <xf numFmtId="0" fontId="83" fillId="0" borderId="11" xfId="0" applyFont="1" applyFill="1" applyBorder="1" applyAlignment="1">
      <alignment horizontal="left"/>
    </xf>
    <xf numFmtId="0" fontId="26" fillId="0" borderId="0" xfId="0" applyFont="1" applyFill="1" applyAlignment="1">
      <alignment horizontal="justify"/>
    </xf>
    <xf numFmtId="0" fontId="61" fillId="0" borderId="0" xfId="0" applyFont="1" applyFill="1"/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32" xfId="0" applyFont="1" applyFill="1" applyBorder="1"/>
    <xf numFmtId="0" fontId="55" fillId="0" borderId="0" xfId="0" applyFont="1" applyFill="1"/>
    <xf numFmtId="0" fontId="28" fillId="0" borderId="0" xfId="0" applyFont="1" applyFill="1"/>
    <xf numFmtId="0" fontId="78" fillId="0" borderId="0" xfId="0" applyFont="1" applyFill="1"/>
    <xf numFmtId="0" fontId="16" fillId="0" borderId="11" xfId="0" applyFont="1" applyBorder="1"/>
    <xf numFmtId="0" fontId="12" fillId="0" borderId="0" xfId="0" applyFont="1" applyBorder="1"/>
    <xf numFmtId="0" fontId="1" fillId="0" borderId="32" xfId="0" applyFont="1" applyFill="1" applyBorder="1" applyAlignment="1">
      <alignment horizontal="left"/>
    </xf>
    <xf numFmtId="0" fontId="1" fillId="0" borderId="107" xfId="46" quotePrefix="1" applyFont="1" applyFill="1" applyBorder="1" applyAlignment="1">
      <alignment horizontal="center"/>
    </xf>
    <xf numFmtId="0" fontId="85" fillId="0" borderId="0" xfId="0" applyFont="1" applyFill="1"/>
    <xf numFmtId="0" fontId="85" fillId="0" borderId="0" xfId="0" applyFont="1"/>
    <xf numFmtId="3" fontId="85" fillId="0" borderId="0" xfId="0" applyNumberFormat="1" applyFont="1"/>
    <xf numFmtId="0" fontId="85" fillId="0" borderId="0" xfId="0" applyFont="1" applyFill="1" applyAlignment="1">
      <alignment horizontal="center"/>
    </xf>
    <xf numFmtId="0" fontId="85" fillId="0" borderId="0" xfId="0" applyFont="1" applyAlignment="1">
      <alignment horizontal="center"/>
    </xf>
    <xf numFmtId="3" fontId="85" fillId="0" borderId="0" xfId="0" applyNumberFormat="1" applyFont="1" applyAlignment="1">
      <alignment horizontal="center"/>
    </xf>
    <xf numFmtId="3" fontId="85" fillId="0" borderId="0" xfId="0" applyNumberFormat="1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3" fontId="85" fillId="0" borderId="0" xfId="0" applyNumberFormat="1" applyFont="1" applyFill="1" applyBorder="1"/>
    <xf numFmtId="3" fontId="85" fillId="0" borderId="0" xfId="0" applyNumberFormat="1" applyFont="1" applyFill="1"/>
    <xf numFmtId="3" fontId="73" fillId="0" borderId="51" xfId="0" applyNumberFormat="1" applyFont="1" applyBorder="1" applyAlignment="1">
      <alignment horizontal="center" vertical="center" wrapText="1"/>
    </xf>
    <xf numFmtId="0" fontId="52" fillId="0" borderId="115" xfId="38" applyFont="1" applyBorder="1" applyAlignment="1">
      <alignment horizontal="center"/>
    </xf>
    <xf numFmtId="0" fontId="52" fillId="0" borderId="116" xfId="38" applyFont="1" applyBorder="1" applyAlignment="1">
      <alignment horizontal="center"/>
    </xf>
    <xf numFmtId="0" fontId="28" fillId="0" borderId="43" xfId="0" applyFont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0" fillId="0" borderId="19" xfId="0" applyBorder="1"/>
    <xf numFmtId="0" fontId="0" fillId="0" borderId="19" xfId="0" applyBorder="1" applyAlignment="1">
      <alignment horizontal="right"/>
    </xf>
    <xf numFmtId="0" fontId="1" fillId="0" borderId="19" xfId="0" applyFont="1" applyBorder="1" applyAlignment="1"/>
    <xf numFmtId="0" fontId="1" fillId="0" borderId="19" xfId="0" applyFont="1" applyBorder="1" applyAlignment="1">
      <alignment horizontal="right"/>
    </xf>
    <xf numFmtId="0" fontId="5" fillId="0" borderId="46" xfId="0" applyFont="1" applyBorder="1"/>
    <xf numFmtId="0" fontId="0" fillId="0" borderId="47" xfId="0" applyBorder="1" applyAlignment="1"/>
    <xf numFmtId="0" fontId="0" fillId="0" borderId="47" xfId="0" applyBorder="1"/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8" xfId="0" applyBorder="1"/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/>
    <xf numFmtId="0" fontId="1" fillId="0" borderId="32" xfId="0" applyFont="1" applyFill="1" applyBorder="1"/>
    <xf numFmtId="0" fontId="5" fillId="0" borderId="87" xfId="0" applyFont="1" applyFill="1" applyBorder="1"/>
    <xf numFmtId="0" fontId="1" fillId="0" borderId="0" xfId="0" applyFont="1" applyFill="1" applyAlignment="1">
      <alignment horizontal="justify" vertical="center"/>
    </xf>
    <xf numFmtId="3" fontId="86" fillId="0" borderId="16" xfId="0" applyNumberFormat="1" applyFont="1" applyBorder="1"/>
    <xf numFmtId="0" fontId="70" fillId="0" borderId="18" xfId="44" applyFont="1" applyFill="1" applyBorder="1" applyAlignment="1">
      <alignment horizontal="left" indent="4"/>
    </xf>
    <xf numFmtId="0" fontId="29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60" fillId="30" borderId="32" xfId="0" applyFont="1" applyFill="1" applyBorder="1" applyAlignment="1">
      <alignment horizontal="center"/>
    </xf>
    <xf numFmtId="0" fontId="29" fillId="30" borderId="32" xfId="0" applyFont="1" applyFill="1" applyBorder="1" applyAlignment="1">
      <alignment horizontal="right"/>
    </xf>
    <xf numFmtId="0" fontId="60" fillId="30" borderId="32" xfId="0" applyFont="1" applyFill="1" applyBorder="1" applyAlignment="1">
      <alignment horizontal="right"/>
    </xf>
    <xf numFmtId="0" fontId="59" fillId="30" borderId="32" xfId="0" applyFont="1" applyFill="1" applyBorder="1" applyAlignment="1">
      <alignment horizontal="right"/>
    </xf>
    <xf numFmtId="3" fontId="73" fillId="0" borderId="24" xfId="44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left"/>
    </xf>
    <xf numFmtId="3" fontId="16" fillId="0" borderId="19" xfId="0" applyNumberFormat="1" applyFont="1" applyFill="1" applyBorder="1"/>
    <xf numFmtId="3" fontId="17" fillId="0" borderId="19" xfId="0" applyNumberFormat="1" applyFont="1" applyFill="1" applyBorder="1"/>
    <xf numFmtId="3" fontId="17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/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9" fontId="5" fillId="0" borderId="48" xfId="51" applyFont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9" fontId="5" fillId="0" borderId="20" xfId="51" applyFont="1" applyBorder="1" applyAlignment="1">
      <alignment horizontal="center" wrapText="1"/>
    </xf>
    <xf numFmtId="9" fontId="17" fillId="0" borderId="20" xfId="51" applyFont="1" applyBorder="1" applyAlignment="1">
      <alignment horizontal="center"/>
    </xf>
    <xf numFmtId="0" fontId="17" fillId="0" borderId="18" xfId="0" applyFont="1" applyBorder="1"/>
    <xf numFmtId="0" fontId="16" fillId="0" borderId="18" xfId="0" applyFont="1" applyBorder="1"/>
    <xf numFmtId="9" fontId="16" fillId="0" borderId="20" xfId="51" applyFont="1" applyFill="1" applyBorder="1"/>
    <xf numFmtId="9" fontId="16" fillId="0" borderId="20" xfId="51" applyFont="1" applyBorder="1"/>
    <xf numFmtId="0" fontId="2" fillId="0" borderId="18" xfId="0" applyFont="1" applyBorder="1"/>
    <xf numFmtId="9" fontId="17" fillId="0" borderId="20" xfId="51" applyFont="1" applyBorder="1" applyAlignment="1">
      <alignment horizontal="right"/>
    </xf>
    <xf numFmtId="9" fontId="2" fillId="0" borderId="20" xfId="51" applyFont="1" applyBorder="1"/>
    <xf numFmtId="9" fontId="2" fillId="0" borderId="20" xfId="51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3" fontId="0" fillId="0" borderId="44" xfId="0" applyNumberFormat="1" applyFill="1" applyBorder="1"/>
    <xf numFmtId="3" fontId="0" fillId="0" borderId="20" xfId="0" applyNumberFormat="1" applyFill="1" applyBorder="1" applyAlignment="1">
      <alignment horizontal="right"/>
    </xf>
    <xf numFmtId="3" fontId="10" fillId="0" borderId="51" xfId="0" applyNumberFormat="1" applyFont="1" applyFill="1" applyBorder="1"/>
    <xf numFmtId="3" fontId="5" fillId="0" borderId="44" xfId="0" applyNumberFormat="1" applyFont="1" applyFill="1" applyBorder="1"/>
    <xf numFmtId="3" fontId="23" fillId="0" borderId="20" xfId="0" applyNumberFormat="1" applyFont="1" applyFill="1" applyBorder="1"/>
    <xf numFmtId="3" fontId="21" fillId="0" borderId="22" xfId="0" applyNumberFormat="1" applyFont="1" applyFill="1" applyBorder="1"/>
    <xf numFmtId="0" fontId="16" fillId="35" borderId="14" xfId="0" applyFont="1" applyFill="1" applyBorder="1" applyAlignment="1">
      <alignment horizontal="center"/>
    </xf>
    <xf numFmtId="0" fontId="16" fillId="35" borderId="14" xfId="0" applyFont="1" applyFill="1" applyBorder="1"/>
    <xf numFmtId="0" fontId="2" fillId="0" borderId="66" xfId="0" applyFont="1" applyBorder="1"/>
    <xf numFmtId="0" fontId="17" fillId="0" borderId="26" xfId="0" applyFont="1" applyBorder="1"/>
    <xf numFmtId="0" fontId="17" fillId="0" borderId="56" xfId="0" applyFont="1" applyBorder="1"/>
    <xf numFmtId="3" fontId="17" fillId="0" borderId="56" xfId="0" applyNumberFormat="1" applyFont="1" applyFill="1" applyBorder="1" applyAlignment="1">
      <alignment horizontal="right"/>
    </xf>
    <xf numFmtId="9" fontId="17" fillId="0" borderId="44" xfId="51" applyFont="1" applyBorder="1" applyAlignment="1">
      <alignment horizontal="right"/>
    </xf>
    <xf numFmtId="0" fontId="16" fillId="22" borderId="25" xfId="0" applyFont="1" applyFill="1" applyBorder="1"/>
    <xf numFmtId="0" fontId="16" fillId="22" borderId="87" xfId="0" applyFont="1" applyFill="1" applyBorder="1"/>
    <xf numFmtId="9" fontId="16" fillId="22" borderId="50" xfId="51" applyFont="1" applyFill="1" applyBorder="1"/>
    <xf numFmtId="3" fontId="2" fillId="0" borderId="65" xfId="0" applyNumberFormat="1" applyFont="1" applyFill="1" applyBorder="1"/>
    <xf numFmtId="9" fontId="2" fillId="0" borderId="41" xfId="51" applyFont="1" applyBorder="1"/>
    <xf numFmtId="0" fontId="16" fillId="35" borderId="25" xfId="0" applyFont="1" applyFill="1" applyBorder="1"/>
    <xf numFmtId="0" fontId="16" fillId="35" borderId="87" xfId="0" applyFont="1" applyFill="1" applyBorder="1"/>
    <xf numFmtId="3" fontId="16" fillId="35" borderId="87" xfId="0" applyNumberFormat="1" applyFont="1" applyFill="1" applyBorder="1"/>
    <xf numFmtId="9" fontId="16" fillId="35" borderId="50" xfId="51" applyFont="1" applyFill="1" applyBorder="1"/>
    <xf numFmtId="0" fontId="14" fillId="0" borderId="65" xfId="0" applyFont="1" applyBorder="1"/>
    <xf numFmtId="0" fontId="2" fillId="0" borderId="54" xfId="0" applyFont="1" applyBorder="1"/>
    <xf numFmtId="0" fontId="2" fillId="0" borderId="119" xfId="0" applyFont="1" applyFill="1" applyBorder="1" applyAlignment="1">
      <alignment horizontal="left"/>
    </xf>
    <xf numFmtId="3" fontId="2" fillId="0" borderId="119" xfId="0" applyNumberFormat="1" applyFont="1" applyFill="1" applyBorder="1"/>
    <xf numFmtId="9" fontId="2" fillId="0" borderId="106" xfId="51" applyFont="1" applyBorder="1"/>
    <xf numFmtId="0" fontId="16" fillId="22" borderId="120" xfId="0" applyFont="1" applyFill="1" applyBorder="1"/>
    <xf numFmtId="3" fontId="16" fillId="21" borderId="120" xfId="0" applyNumberFormat="1" applyFont="1" applyFill="1" applyBorder="1"/>
    <xf numFmtId="0" fontId="16" fillId="0" borderId="66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9" fontId="16" fillId="0" borderId="41" xfId="51" applyFont="1" applyBorder="1" applyAlignment="1">
      <alignment horizontal="center"/>
    </xf>
    <xf numFmtId="3" fontId="17" fillId="0" borderId="56" xfId="0" applyNumberFormat="1" applyFont="1" applyFill="1" applyBorder="1"/>
    <xf numFmtId="9" fontId="17" fillId="0" borderId="44" xfId="51" applyFont="1" applyFill="1" applyBorder="1"/>
    <xf numFmtId="0" fontId="63" fillId="0" borderId="10" xfId="0" applyFont="1" applyFill="1" applyBorder="1"/>
    <xf numFmtId="0" fontId="63" fillId="0" borderId="46" xfId="0" applyFont="1" applyFill="1" applyBorder="1"/>
    <xf numFmtId="0" fontId="5" fillId="0" borderId="32" xfId="0" applyFont="1" applyFill="1" applyBorder="1" applyAlignment="1">
      <alignment horizontal="right"/>
    </xf>
    <xf numFmtId="0" fontId="1" fillId="0" borderId="35" xfId="0" applyFont="1" applyBorder="1"/>
    <xf numFmtId="0" fontId="1" fillId="0" borderId="23" xfId="0" applyFont="1" applyBorder="1"/>
    <xf numFmtId="0" fontId="1" fillId="0" borderId="23" xfId="0" applyFont="1" applyFill="1" applyBorder="1"/>
    <xf numFmtId="0" fontId="1" fillId="0" borderId="35" xfId="0" applyFont="1" applyFill="1" applyBorder="1"/>
    <xf numFmtId="0" fontId="28" fillId="0" borderId="58" xfId="0" applyFont="1" applyBorder="1"/>
    <xf numFmtId="0" fontId="0" fillId="0" borderId="48" xfId="0" applyBorder="1"/>
    <xf numFmtId="0" fontId="12" fillId="0" borderId="35" xfId="0" applyFont="1" applyFill="1" applyBorder="1" applyAlignment="1">
      <alignment horizontal="left"/>
    </xf>
    <xf numFmtId="0" fontId="1" fillId="0" borderId="19" xfId="0" applyFont="1" applyBorder="1"/>
    <xf numFmtId="3" fontId="5" fillId="0" borderId="16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3" fontId="1" fillId="0" borderId="118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5" fillId="0" borderId="104" xfId="0" applyNumberFormat="1" applyFont="1" applyFill="1" applyBorder="1" applyAlignment="1">
      <alignment horizontal="center"/>
    </xf>
    <xf numFmtId="3" fontId="29" fillId="0" borderId="90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right"/>
    </xf>
    <xf numFmtId="3" fontId="29" fillId="0" borderId="45" xfId="0" applyNumberFormat="1" applyFont="1" applyFill="1" applyBorder="1" applyAlignment="1">
      <alignment horizontal="right"/>
    </xf>
    <xf numFmtId="0" fontId="1" fillId="0" borderId="19" xfId="0" applyFont="1" applyFill="1" applyBorder="1" applyAlignment="1"/>
    <xf numFmtId="0" fontId="0" fillId="0" borderId="19" xfId="0" applyFill="1" applyBorder="1"/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3" fontId="5" fillId="0" borderId="25" xfId="26" applyNumberFormat="1" applyFont="1" applyFill="1" applyBorder="1" applyAlignment="1">
      <alignment horizontal="right"/>
    </xf>
    <xf numFmtId="3" fontId="5" fillId="0" borderId="50" xfId="26" applyNumberFormat="1" applyFont="1" applyFill="1" applyBorder="1" applyAlignment="1">
      <alignment horizontal="right"/>
    </xf>
    <xf numFmtId="0" fontId="57" fillId="23" borderId="19" xfId="38" applyFont="1" applyFill="1" applyBorder="1" applyAlignment="1">
      <alignment horizontal="center" wrapText="1"/>
    </xf>
    <xf numFmtId="3" fontId="86" fillId="0" borderId="123" xfId="0" applyNumberFormat="1" applyFont="1" applyBorder="1" applyAlignment="1">
      <alignment horizontal="center" vertical="center" wrapText="1"/>
    </xf>
    <xf numFmtId="3" fontId="73" fillId="0" borderId="44" xfId="0" applyNumberFormat="1" applyFont="1" applyBorder="1"/>
    <xf numFmtId="3" fontId="86" fillId="0" borderId="55" xfId="0" applyNumberFormat="1" applyFont="1" applyBorder="1"/>
    <xf numFmtId="3" fontId="73" fillId="0" borderId="20" xfId="0" applyNumberFormat="1" applyFont="1" applyBorder="1"/>
    <xf numFmtId="3" fontId="86" fillId="0" borderId="58" xfId="0" applyNumberFormat="1" applyFont="1" applyBorder="1"/>
    <xf numFmtId="3" fontId="73" fillId="0" borderId="48" xfId="0" applyNumberFormat="1" applyFont="1" applyBorder="1"/>
    <xf numFmtId="3" fontId="86" fillId="0" borderId="18" xfId="0" applyNumberFormat="1" applyFont="1" applyBorder="1"/>
    <xf numFmtId="3" fontId="73" fillId="0" borderId="57" xfId="0" applyNumberFormat="1" applyFont="1" applyBorder="1"/>
    <xf numFmtId="3" fontId="73" fillId="0" borderId="124" xfId="0" applyNumberFormat="1" applyFont="1" applyBorder="1"/>
    <xf numFmtId="3" fontId="86" fillId="0" borderId="54" xfId="0" applyNumberFormat="1" applyFont="1" applyBorder="1"/>
    <xf numFmtId="3" fontId="87" fillId="0" borderId="23" xfId="0" applyNumberFormat="1" applyFont="1" applyBorder="1"/>
    <xf numFmtId="3" fontId="74" fillId="0" borderId="20" xfId="0" applyNumberFormat="1" applyFont="1" applyBorder="1"/>
    <xf numFmtId="3" fontId="87" fillId="0" borderId="57" xfId="0" applyNumberFormat="1" applyFont="1" applyBorder="1"/>
    <xf numFmtId="3" fontId="87" fillId="0" borderId="18" xfId="0" applyNumberFormat="1" applyFont="1" applyBorder="1"/>
    <xf numFmtId="3" fontId="74" fillId="0" borderId="57" xfId="0" applyNumberFormat="1" applyFont="1" applyBorder="1"/>
    <xf numFmtId="3" fontId="74" fillId="0" borderId="85" xfId="0" applyNumberFormat="1" applyFont="1" applyBorder="1"/>
    <xf numFmtId="3" fontId="88" fillId="0" borderId="23" xfId="0" applyNumberFormat="1" applyFont="1" applyBorder="1"/>
    <xf numFmtId="3" fontId="75" fillId="0" borderId="20" xfId="0" applyNumberFormat="1" applyFont="1" applyBorder="1"/>
    <xf numFmtId="3" fontId="88" fillId="0" borderId="57" xfId="0" applyNumberFormat="1" applyFont="1" applyBorder="1"/>
    <xf numFmtId="3" fontId="88" fillId="0" borderId="18" xfId="0" applyNumberFormat="1" applyFont="1" applyBorder="1"/>
    <xf numFmtId="3" fontId="75" fillId="0" borderId="57" xfId="0" applyNumberFormat="1" applyFont="1" applyBorder="1"/>
    <xf numFmtId="3" fontId="75" fillId="0" borderId="85" xfId="0" applyNumberFormat="1" applyFont="1" applyBorder="1"/>
    <xf numFmtId="3" fontId="88" fillId="0" borderId="66" xfId="0" applyNumberFormat="1" applyFont="1" applyBorder="1"/>
    <xf numFmtId="3" fontId="86" fillId="0" borderId="66" xfId="0" applyNumberFormat="1" applyFont="1" applyBorder="1"/>
    <xf numFmtId="3" fontId="86" fillId="0" borderId="26" xfId="0" applyNumberFormat="1" applyFont="1" applyBorder="1"/>
    <xf numFmtId="3" fontId="90" fillId="0" borderId="20" xfId="0" applyNumberFormat="1" applyFont="1" applyBorder="1"/>
    <xf numFmtId="3" fontId="90" fillId="0" borderId="57" xfId="0" applyNumberFormat="1" applyFont="1" applyBorder="1"/>
    <xf numFmtId="3" fontId="88" fillId="0" borderId="123" xfId="0" applyNumberFormat="1" applyFont="1" applyBorder="1"/>
    <xf numFmtId="3" fontId="75" fillId="0" borderId="51" xfId="0" applyNumberFormat="1" applyFont="1" applyBorder="1"/>
    <xf numFmtId="3" fontId="88" fillId="0" borderId="69" xfId="0" applyNumberFormat="1" applyFont="1" applyBorder="1"/>
    <xf numFmtId="10" fontId="75" fillId="0" borderId="51" xfId="51" applyNumberFormat="1" applyFont="1" applyBorder="1"/>
    <xf numFmtId="3" fontId="86" fillId="0" borderId="62" xfId="0" applyNumberFormat="1" applyFont="1" applyBorder="1"/>
    <xf numFmtId="3" fontId="73" fillId="0" borderId="41" xfId="0" applyNumberFormat="1" applyFont="1" applyBorder="1"/>
    <xf numFmtId="3" fontId="86" fillId="0" borderId="24" xfId="0" applyNumberFormat="1" applyFont="1" applyBorder="1"/>
    <xf numFmtId="3" fontId="73" fillId="0" borderId="50" xfId="0" applyNumberFormat="1" applyFont="1" applyBorder="1"/>
    <xf numFmtId="3" fontId="86" fillId="0" borderId="10" xfId="0" applyNumberFormat="1" applyFont="1" applyBorder="1"/>
    <xf numFmtId="3" fontId="73" fillId="0" borderId="10" xfId="0" applyNumberFormat="1" applyFont="1" applyBorder="1"/>
    <xf numFmtId="3" fontId="86" fillId="0" borderId="52" xfId="0" applyNumberFormat="1" applyFont="1" applyBorder="1"/>
    <xf numFmtId="3" fontId="73" fillId="0" borderId="58" xfId="0" applyNumberFormat="1" applyFont="1" applyBorder="1"/>
    <xf numFmtId="3" fontId="86" fillId="0" borderId="23" xfId="0" applyNumberFormat="1" applyFont="1" applyBorder="1"/>
    <xf numFmtId="3" fontId="89" fillId="0" borderId="18" xfId="0" applyNumberFormat="1" applyFont="1" applyBorder="1"/>
    <xf numFmtId="3" fontId="89" fillId="0" borderId="23" xfId="0" applyNumberFormat="1" applyFont="1" applyBorder="1"/>
    <xf numFmtId="3" fontId="70" fillId="0" borderId="20" xfId="0" applyNumberFormat="1" applyFont="1" applyBorder="1"/>
    <xf numFmtId="3" fontId="75" fillId="0" borderId="69" xfId="0" applyNumberFormat="1" applyFont="1" applyBorder="1"/>
    <xf numFmtId="3" fontId="73" fillId="0" borderId="120" xfId="0" applyNumberFormat="1" applyFont="1" applyBorder="1"/>
    <xf numFmtId="3" fontId="73" fillId="0" borderId="55" xfId="0" applyNumberFormat="1" applyFont="1" applyBorder="1"/>
    <xf numFmtId="0" fontId="82" fillId="0" borderId="107" xfId="0" applyFont="1" applyFill="1" applyBorder="1" applyAlignment="1">
      <alignment horizontal="left"/>
    </xf>
    <xf numFmtId="0" fontId="81" fillId="0" borderId="16" xfId="0" applyFont="1" applyFill="1" applyBorder="1"/>
    <xf numFmtId="0" fontId="9" fillId="0" borderId="11" xfId="0" applyFont="1" applyBorder="1"/>
    <xf numFmtId="0" fontId="12" fillId="0" borderId="1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/>
    </xf>
    <xf numFmtId="0" fontId="5" fillId="0" borderId="89" xfId="0" applyFont="1" applyBorder="1"/>
    <xf numFmtId="0" fontId="21" fillId="0" borderId="0" xfId="0" applyFont="1" applyFill="1"/>
    <xf numFmtId="3" fontId="73" fillId="30" borderId="44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75" fillId="0" borderId="39" xfId="0" applyNumberFormat="1" applyFont="1" applyBorder="1"/>
    <xf numFmtId="3" fontId="88" fillId="0" borderId="13" xfId="0" applyNumberFormat="1" applyFont="1" applyBorder="1"/>
    <xf numFmtId="3" fontId="75" fillId="0" borderId="13" xfId="0" applyNumberFormat="1" applyFont="1" applyBorder="1"/>
    <xf numFmtId="3" fontId="87" fillId="0" borderId="13" xfId="0" applyNumberFormat="1" applyFont="1" applyBorder="1"/>
    <xf numFmtId="3" fontId="75" fillId="0" borderId="90" xfId="0" applyNumberFormat="1" applyFont="1" applyBorder="1"/>
    <xf numFmtId="3" fontId="88" fillId="0" borderId="37" xfId="0" applyNumberFormat="1" applyFont="1" applyBorder="1"/>
    <xf numFmtId="10" fontId="75" fillId="0" borderId="90" xfId="51" applyNumberFormat="1" applyFont="1" applyBorder="1"/>
    <xf numFmtId="0" fontId="73" fillId="0" borderId="35" xfId="44" applyFont="1" applyFill="1" applyBorder="1" applyAlignment="1"/>
    <xf numFmtId="0" fontId="74" fillId="0" borderId="23" xfId="44" applyFont="1" applyFill="1" applyBorder="1" applyAlignment="1">
      <alignment horizontal="left" indent="1"/>
    </xf>
    <xf numFmtId="0" fontId="75" fillId="0" borderId="23" xfId="44" applyFont="1" applyFill="1" applyBorder="1" applyAlignment="1">
      <alignment horizontal="left" vertical="center" wrapText="1" indent="3"/>
    </xf>
    <xf numFmtId="0" fontId="75" fillId="0" borderId="23" xfId="44" applyFont="1" applyFill="1" applyBorder="1" applyAlignment="1">
      <alignment horizontal="left" indent="4"/>
    </xf>
    <xf numFmtId="0" fontId="75" fillId="0" borderId="23" xfId="44" applyFont="1" applyFill="1" applyBorder="1" applyAlignment="1">
      <alignment horizontal="left" vertical="center" indent="3"/>
    </xf>
    <xf numFmtId="0" fontId="75" fillId="0" borderId="23" xfId="44" applyFont="1" applyFill="1" applyBorder="1" applyAlignment="1">
      <alignment horizontal="left" vertical="center" indent="5"/>
    </xf>
    <xf numFmtId="0" fontId="75" fillId="0" borderId="23" xfId="44" applyFont="1" applyFill="1" applyBorder="1" applyAlignment="1">
      <alignment horizontal="left" indent="2"/>
    </xf>
    <xf numFmtId="0" fontId="73" fillId="0" borderId="23" xfId="44" applyFont="1" applyFill="1" applyBorder="1" applyAlignment="1"/>
    <xf numFmtId="0" fontId="75" fillId="0" borderId="123" xfId="44" applyFont="1" applyFill="1" applyBorder="1" applyAlignment="1">
      <alignment horizontal="left" indent="4"/>
    </xf>
    <xf numFmtId="0" fontId="73" fillId="0" borderId="59" xfId="44" applyFont="1" applyFill="1" applyBorder="1" applyAlignment="1">
      <alignment horizontal="center"/>
    </xf>
    <xf numFmtId="0" fontId="74" fillId="0" borderId="13" xfId="44" applyFont="1" applyFill="1" applyBorder="1" applyAlignment="1">
      <alignment horizontal="center"/>
    </xf>
    <xf numFmtId="0" fontId="75" fillId="0" borderId="13" xfId="44" applyFont="1" applyFill="1" applyBorder="1" applyAlignment="1">
      <alignment horizontal="center" vertical="center" wrapText="1"/>
    </xf>
    <xf numFmtId="0" fontId="75" fillId="0" borderId="13" xfId="44" applyFont="1" applyFill="1" applyBorder="1" applyAlignment="1">
      <alignment horizontal="center"/>
    </xf>
    <xf numFmtId="0" fontId="75" fillId="0" borderId="13" xfId="44" applyFont="1" applyFill="1" applyBorder="1" applyAlignment="1">
      <alignment horizontal="center" vertical="center"/>
    </xf>
    <xf numFmtId="0" fontId="73" fillId="0" borderId="13" xfId="44" applyFont="1" applyFill="1" applyBorder="1" applyAlignment="1">
      <alignment horizontal="center"/>
    </xf>
    <xf numFmtId="0" fontId="75" fillId="0" borderId="37" xfId="44" applyFont="1" applyFill="1" applyBorder="1" applyAlignment="1">
      <alignment horizontal="center"/>
    </xf>
    <xf numFmtId="3" fontId="73" fillId="0" borderId="40" xfId="0" applyNumberFormat="1" applyFont="1" applyBorder="1"/>
    <xf numFmtId="3" fontId="86" fillId="0" borderId="59" xfId="0" applyNumberFormat="1" applyFont="1" applyBorder="1"/>
    <xf numFmtId="3" fontId="85" fillId="0" borderId="20" xfId="0" applyNumberFormat="1" applyFont="1" applyFill="1" applyBorder="1" applyAlignment="1">
      <alignment horizontal="right"/>
    </xf>
    <xf numFmtId="3" fontId="92" fillId="0" borderId="50" xfId="0" applyNumberFormat="1" applyFont="1" applyFill="1" applyBorder="1" applyAlignment="1">
      <alignment horizontal="right"/>
    </xf>
    <xf numFmtId="3" fontId="75" fillId="0" borderId="20" xfId="0" applyNumberFormat="1" applyFont="1" applyFill="1" applyBorder="1"/>
    <xf numFmtId="0" fontId="7" fillId="0" borderId="56" xfId="0" applyFont="1" applyFill="1" applyBorder="1"/>
    <xf numFmtId="0" fontId="1" fillId="0" borderId="19" xfId="0" applyFont="1" applyFill="1" applyBorder="1" applyAlignment="1">
      <alignment horizontal="center"/>
    </xf>
    <xf numFmtId="165" fontId="63" fillId="0" borderId="48" xfId="26" applyNumberFormat="1" applyFont="1" applyFill="1" applyBorder="1"/>
    <xf numFmtId="165" fontId="63" fillId="0" borderId="22" xfId="26" applyNumberFormat="1" applyFont="1" applyFill="1" applyBorder="1"/>
    <xf numFmtId="0" fontId="63" fillId="0" borderId="28" xfId="0" applyFont="1" applyFill="1" applyBorder="1"/>
    <xf numFmtId="3" fontId="1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74" fillId="0" borderId="39" xfId="0" applyNumberFormat="1" applyFont="1" applyFill="1" applyBorder="1"/>
    <xf numFmtId="3" fontId="75" fillId="0" borderId="39" xfId="0" applyNumberFormat="1" applyFont="1" applyFill="1" applyBorder="1"/>
    <xf numFmtId="3" fontId="70" fillId="0" borderId="20" xfId="0" applyNumberFormat="1" applyFont="1" applyFill="1" applyBorder="1"/>
    <xf numFmtId="3" fontId="74" fillId="0" borderId="20" xfId="0" applyNumberFormat="1" applyFont="1" applyFill="1" applyBorder="1"/>
    <xf numFmtId="0" fontId="93" fillId="0" borderId="18" xfId="0" applyFont="1" applyBorder="1"/>
    <xf numFmtId="0" fontId="93" fillId="0" borderId="19" xfId="0" applyFont="1" applyBorder="1"/>
    <xf numFmtId="3" fontId="93" fillId="0" borderId="19" xfId="0" applyNumberFormat="1" applyFont="1" applyFill="1" applyBorder="1" applyAlignment="1">
      <alignment horizontal="right"/>
    </xf>
    <xf numFmtId="9" fontId="93" fillId="0" borderId="20" xfId="51" applyFont="1" applyBorder="1" applyAlignment="1">
      <alignment horizontal="right"/>
    </xf>
    <xf numFmtId="0" fontId="93" fillId="0" borderId="66" xfId="0" applyFont="1" applyBorder="1"/>
    <xf numFmtId="0" fontId="93" fillId="0" borderId="65" xfId="0" applyFont="1" applyBorder="1"/>
    <xf numFmtId="3" fontId="93" fillId="0" borderId="65" xfId="0" applyNumberFormat="1" applyFont="1" applyFill="1" applyBorder="1" applyAlignment="1">
      <alignment horizontal="right"/>
    </xf>
    <xf numFmtId="9" fontId="93" fillId="0" borderId="41" xfId="51" applyFont="1" applyFill="1" applyBorder="1" applyAlignment="1">
      <alignment horizontal="right"/>
    </xf>
    <xf numFmtId="3" fontId="21" fillId="0" borderId="17" xfId="0" applyNumberFormat="1" applyFont="1" applyFill="1" applyBorder="1"/>
    <xf numFmtId="165" fontId="1" fillId="0" borderId="0" xfId="26" applyNumberFormat="1" applyFont="1" applyFill="1"/>
    <xf numFmtId="0" fontId="17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3" fontId="17" fillId="0" borderId="39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17" fillId="21" borderId="16" xfId="0" applyNumberFormat="1" applyFont="1" applyFill="1" applyBorder="1"/>
    <xf numFmtId="0" fontId="2" fillId="0" borderId="40" xfId="0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3" fontId="17" fillId="35" borderId="49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 applyAlignment="1">
      <alignment wrapText="1"/>
    </xf>
    <xf numFmtId="0" fontId="2" fillId="0" borderId="0" xfId="0" applyFont="1" applyBorder="1"/>
    <xf numFmtId="9" fontId="17" fillId="0" borderId="14" xfId="5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5" xfId="51" applyFont="1" applyFill="1" applyBorder="1" applyAlignment="1">
      <alignment horizontal="right"/>
    </xf>
    <xf numFmtId="9" fontId="17" fillId="0" borderId="39" xfId="51" applyFont="1" applyFill="1" applyBorder="1" applyAlignment="1">
      <alignment horizontal="right"/>
    </xf>
    <xf numFmtId="9" fontId="2" fillId="0" borderId="40" xfId="51" applyFont="1" applyFill="1" applyBorder="1" applyAlignment="1">
      <alignment horizontal="right"/>
    </xf>
    <xf numFmtId="9" fontId="2" fillId="0" borderId="40" xfId="51" applyNumberFormat="1" applyFont="1" applyFill="1" applyBorder="1" applyAlignment="1">
      <alignment horizontal="right"/>
    </xf>
    <xf numFmtId="9" fontId="17" fillId="0" borderId="118" xfId="51" applyFont="1" applyFill="1" applyBorder="1" applyAlignment="1">
      <alignment horizontal="right"/>
    </xf>
    <xf numFmtId="9" fontId="17" fillId="22" borderId="16" xfId="51" applyFont="1" applyFill="1" applyBorder="1"/>
    <xf numFmtId="9" fontId="2" fillId="0" borderId="39" xfId="51" applyFont="1" applyFill="1" applyBorder="1" applyAlignment="1">
      <alignment horizontal="right"/>
    </xf>
    <xf numFmtId="9" fontId="17" fillId="35" borderId="51" xfId="51" applyFont="1" applyFill="1" applyBorder="1"/>
    <xf numFmtId="9" fontId="2" fillId="0" borderId="0" xfId="51" applyFont="1" applyFill="1"/>
    <xf numFmtId="9" fontId="2" fillId="0" borderId="0" xfId="51" applyFont="1"/>
    <xf numFmtId="0" fontId="12" fillId="0" borderId="34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" fillId="0" borderId="0" xfId="0" applyFont="1" applyBorder="1"/>
    <xf numFmtId="3" fontId="5" fillId="0" borderId="20" xfId="0" applyNumberFormat="1" applyFont="1" applyFill="1" applyBorder="1"/>
    <xf numFmtId="0" fontId="80" fillId="0" borderId="0" xfId="0" applyFont="1" applyBorder="1" applyAlignment="1">
      <alignment horizontal="center"/>
    </xf>
    <xf numFmtId="3" fontId="73" fillId="0" borderId="52" xfId="0" applyNumberFormat="1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3" fontId="73" fillId="0" borderId="46" xfId="0" applyNumberFormat="1" applyFont="1" applyBorder="1" applyAlignment="1">
      <alignment horizontal="center" vertical="center" wrapText="1"/>
    </xf>
    <xf numFmtId="3" fontId="73" fillId="0" borderId="48" xfId="0" applyNumberFormat="1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3" fontId="73" fillId="0" borderId="58" xfId="0" applyNumberFormat="1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86" xfId="0" applyFont="1" applyBorder="1" applyAlignment="1">
      <alignment horizontal="center" vertical="center" wrapText="1"/>
    </xf>
    <xf numFmtId="0" fontId="73" fillId="0" borderId="82" xfId="0" applyFont="1" applyBorder="1" applyAlignment="1">
      <alignment horizontal="center" vertical="center" wrapText="1"/>
    </xf>
    <xf numFmtId="3" fontId="73" fillId="0" borderId="42" xfId="0" applyNumberFormat="1" applyFont="1" applyFill="1" applyBorder="1" applyAlignment="1">
      <alignment horizontal="center" vertical="center" wrapText="1"/>
    </xf>
    <xf numFmtId="3" fontId="73" fillId="0" borderId="48" xfId="0" applyNumberFormat="1" applyFont="1" applyFill="1" applyBorder="1" applyAlignment="1">
      <alignment horizontal="center" vertical="center" wrapText="1"/>
    </xf>
    <xf numFmtId="3" fontId="73" fillId="0" borderId="117" xfId="0" applyNumberFormat="1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4" xfId="0" applyFont="1" applyBorder="1"/>
    <xf numFmtId="0" fontId="5" fillId="0" borderId="45" xfId="0" applyFont="1" applyBorder="1"/>
    <xf numFmtId="0" fontId="5" fillId="23" borderId="108" xfId="0" applyFont="1" applyFill="1" applyBorder="1" applyAlignment="1">
      <alignment horizontal="center" wrapText="1"/>
    </xf>
    <xf numFmtId="0" fontId="5" fillId="23" borderId="109" xfId="0" applyFont="1" applyFill="1" applyBorder="1" applyAlignment="1">
      <alignment horizontal="center" wrapText="1"/>
    </xf>
    <xf numFmtId="0" fontId="5" fillId="23" borderId="110" xfId="0" applyFont="1" applyFill="1" applyBorder="1" applyAlignment="1">
      <alignment horizontal="center" wrapText="1"/>
    </xf>
    <xf numFmtId="0" fontId="5" fillId="23" borderId="111" xfId="0" applyFont="1" applyFill="1" applyBorder="1" applyAlignment="1">
      <alignment horizontal="center" wrapText="1"/>
    </xf>
    <xf numFmtId="0" fontId="5" fillId="23" borderId="38" xfId="0" applyFont="1" applyFill="1" applyBorder="1" applyAlignment="1">
      <alignment horizontal="center" wrapText="1"/>
    </xf>
    <xf numFmtId="0" fontId="5" fillId="23" borderId="29" xfId="0" applyFont="1" applyFill="1" applyBorder="1" applyAlignment="1">
      <alignment horizontal="center" wrapText="1"/>
    </xf>
    <xf numFmtId="0" fontId="5" fillId="23" borderId="112" xfId="0" applyFont="1" applyFill="1" applyBorder="1" applyAlignment="1">
      <alignment horizontal="center" wrapText="1"/>
    </xf>
    <xf numFmtId="0" fontId="5" fillId="23" borderId="82" xfId="0" applyFont="1" applyFill="1" applyBorder="1" applyAlignment="1">
      <alignment horizontal="center" wrapText="1"/>
    </xf>
    <xf numFmtId="0" fontId="5" fillId="23" borderId="11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1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52" xfId="46" applyFont="1" applyBorder="1" applyAlignment="1">
      <alignment horizontal="center"/>
    </xf>
    <xf numFmtId="0" fontId="5" fillId="0" borderId="107" xfId="46" applyFont="1" applyBorder="1" applyAlignment="1">
      <alignment horizontal="center"/>
    </xf>
    <xf numFmtId="0" fontId="5" fillId="0" borderId="34" xfId="46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88" xfId="46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" fillId="0" borderId="108" xfId="0" applyFont="1" applyFill="1" applyBorder="1" applyAlignment="1">
      <alignment horizontal="center" wrapText="1"/>
    </xf>
    <xf numFmtId="0" fontId="5" fillId="0" borderId="109" xfId="0" applyFont="1" applyFill="1" applyBorder="1" applyAlignment="1">
      <alignment horizontal="center" wrapText="1"/>
    </xf>
    <xf numFmtId="0" fontId="5" fillId="0" borderId="110" xfId="0" applyFont="1" applyFill="1" applyBorder="1" applyAlignment="1">
      <alignment horizontal="center" wrapText="1"/>
    </xf>
    <xf numFmtId="0" fontId="5" fillId="0" borderId="11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114" xfId="0" applyFont="1" applyFill="1" applyBorder="1" applyAlignment="1">
      <alignment wrapText="1"/>
    </xf>
    <xf numFmtId="0" fontId="5" fillId="0" borderId="24" xfId="0" applyFont="1" applyFill="1" applyBorder="1"/>
    <xf numFmtId="0" fontId="5" fillId="0" borderId="45" xfId="0" applyFont="1" applyFill="1" applyBorder="1"/>
    <xf numFmtId="0" fontId="66" fillId="0" borderId="67" xfId="0" applyFont="1" applyFill="1" applyBorder="1" applyAlignment="1">
      <alignment horizontal="center" wrapText="1"/>
    </xf>
    <xf numFmtId="0" fontId="66" fillId="0" borderId="68" xfId="0" applyFont="1" applyFill="1" applyBorder="1" applyAlignment="1">
      <alignment horizontal="center" wrapText="1"/>
    </xf>
    <xf numFmtId="0" fontId="65" fillId="0" borderId="55" xfId="0" applyFont="1" applyBorder="1" applyAlignment="1">
      <alignment horizontal="center" wrapText="1"/>
    </xf>
    <xf numFmtId="0" fontId="65" fillId="0" borderId="62" xfId="0" applyFont="1" applyBorder="1" applyAlignment="1">
      <alignment horizontal="center" wrapText="1"/>
    </xf>
    <xf numFmtId="0" fontId="67" fillId="0" borderId="19" xfId="0" applyFont="1" applyFill="1" applyBorder="1" applyAlignment="1">
      <alignment horizontal="justify" wrapText="1"/>
    </xf>
    <xf numFmtId="166" fontId="67" fillId="0" borderId="19" xfId="0" applyNumberFormat="1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left"/>
    </xf>
    <xf numFmtId="0" fontId="56" fillId="33" borderId="73" xfId="38" applyFont="1" applyFill="1" applyBorder="1"/>
    <xf numFmtId="3" fontId="1" fillId="0" borderId="73" xfId="38" applyNumberFormat="1" applyFont="1" applyBorder="1"/>
    <xf numFmtId="3" fontId="1" fillId="0" borderId="19" xfId="0" applyNumberFormat="1" applyFont="1" applyBorder="1"/>
    <xf numFmtId="3" fontId="1" fillId="0" borderId="57" xfId="0" applyNumberFormat="1" applyFont="1" applyBorder="1"/>
    <xf numFmtId="3" fontId="1" fillId="0" borderId="20" xfId="0" applyNumberFormat="1" applyFont="1" applyBorder="1"/>
    <xf numFmtId="3" fontId="28" fillId="0" borderId="57" xfId="0" applyNumberFormat="1" applyFont="1" applyBorder="1"/>
    <xf numFmtId="3" fontId="1" fillId="0" borderId="72" xfId="38" applyNumberFormat="1" applyFont="1" applyBorder="1"/>
    <xf numFmtId="3" fontId="94" fillId="0" borderId="57" xfId="0" applyNumberFormat="1" applyFont="1" applyBorder="1"/>
    <xf numFmtId="3" fontId="95" fillId="0" borderId="57" xfId="0" applyNumberFormat="1" applyFont="1" applyBorder="1"/>
    <xf numFmtId="3" fontId="1" fillId="0" borderId="57" xfId="0" applyNumberFormat="1" applyFont="1" applyFill="1" applyBorder="1"/>
    <xf numFmtId="3" fontId="1" fillId="0" borderId="19" xfId="0" applyNumberFormat="1" applyFont="1" applyFill="1" applyBorder="1"/>
    <xf numFmtId="3" fontId="5" fillId="25" borderId="73" xfId="38" applyNumberFormat="1" applyFont="1" applyFill="1" applyBorder="1"/>
    <xf numFmtId="3" fontId="1" fillId="25" borderId="57" xfId="0" applyNumberFormat="1" applyFont="1" applyFill="1" applyBorder="1"/>
    <xf numFmtId="3" fontId="5" fillId="30" borderId="67" xfId="0" applyNumberFormat="1" applyFont="1" applyFill="1" applyBorder="1"/>
    <xf numFmtId="3" fontId="1" fillId="0" borderId="67" xfId="0" applyNumberFormat="1" applyFont="1" applyBorder="1"/>
    <xf numFmtId="3" fontId="5" fillId="31" borderId="120" xfId="39" applyNumberFormat="1" applyFont="1" applyFill="1" applyBorder="1"/>
    <xf numFmtId="0" fontId="56" fillId="0" borderId="73" xfId="38" applyFont="1" applyFill="1" applyBorder="1"/>
    <xf numFmtId="3" fontId="1" fillId="0" borderId="121" xfId="38" applyNumberFormat="1" applyFont="1" applyFill="1" applyBorder="1"/>
    <xf numFmtId="3" fontId="52" fillId="0" borderId="72" xfId="38" applyNumberFormat="1" applyFont="1" applyBorder="1" applyAlignment="1">
      <alignment horizontal="center"/>
    </xf>
    <xf numFmtId="3" fontId="28" fillId="0" borderId="19" xfId="0" applyNumberFormat="1" applyFont="1" applyBorder="1"/>
    <xf numFmtId="0" fontId="1" fillId="0" borderId="20" xfId="0" applyFont="1" applyBorder="1"/>
    <xf numFmtId="3" fontId="94" fillId="0" borderId="105" xfId="38" applyNumberFormat="1" applyFont="1" applyBorder="1"/>
    <xf numFmtId="3" fontId="94" fillId="0" borderId="19" xfId="0" applyNumberFormat="1" applyFont="1" applyBorder="1"/>
    <xf numFmtId="0" fontId="95" fillId="0" borderId="20" xfId="0" applyFont="1" applyBorder="1"/>
    <xf numFmtId="3" fontId="94" fillId="0" borderId="73" xfId="38" applyNumberFormat="1" applyFont="1" applyBorder="1"/>
    <xf numFmtId="3" fontId="1" fillId="0" borderId="73" xfId="38" applyNumberFormat="1" applyFont="1" applyFill="1" applyBorder="1"/>
    <xf numFmtId="3" fontId="95" fillId="0" borderId="19" xfId="0" applyNumberFormat="1" applyFont="1" applyBorder="1"/>
    <xf numFmtId="3" fontId="5" fillId="25" borderId="122" xfId="38" applyNumberFormat="1" applyFont="1" applyFill="1" applyBorder="1"/>
    <xf numFmtId="0" fontId="52" fillId="0" borderId="72" xfId="38" applyFont="1" applyBorder="1" applyAlignment="1">
      <alignment horizontal="center"/>
    </xf>
    <xf numFmtId="0" fontId="56" fillId="0" borderId="72" xfId="38" applyFont="1" applyBorder="1"/>
    <xf numFmtId="0" fontId="76" fillId="0" borderId="73" xfId="38" applyFont="1" applyBorder="1"/>
    <xf numFmtId="0" fontId="96" fillId="0" borderId="73" xfId="38" applyFont="1" applyBorder="1"/>
    <xf numFmtId="0" fontId="52" fillId="25" borderId="73" xfId="38" applyFont="1" applyFill="1" applyBorder="1" applyAlignment="1">
      <alignment wrapText="1"/>
    </xf>
    <xf numFmtId="3" fontId="1" fillId="0" borderId="19" xfId="38" applyNumberFormat="1" applyFont="1" applyBorder="1"/>
    <xf numFmtId="3" fontId="1" fillId="0" borderId="57" xfId="38" applyNumberFormat="1" applyFont="1" applyBorder="1"/>
    <xf numFmtId="3" fontId="5" fillId="0" borderId="73" xfId="38" applyNumberFormat="1" applyFont="1" applyFill="1" applyBorder="1"/>
    <xf numFmtId="3" fontId="5" fillId="0" borderId="19" xfId="0" applyNumberFormat="1" applyFont="1" applyFill="1" applyBorder="1"/>
    <xf numFmtId="0" fontId="1" fillId="0" borderId="20" xfId="0" applyFont="1" applyFill="1" applyBorder="1"/>
    <xf numFmtId="0" fontId="56" fillId="33" borderId="19" xfId="38" applyFont="1" applyFill="1" applyBorder="1"/>
    <xf numFmtId="3" fontId="1" fillId="25" borderId="19" xfId="0" applyNumberFormat="1" applyFont="1" applyFill="1" applyBorder="1"/>
    <xf numFmtId="3" fontId="5" fillId="25" borderId="19" xfId="0" applyNumberFormat="1" applyFont="1" applyFill="1" applyBorder="1"/>
    <xf numFmtId="3" fontId="5" fillId="25" borderId="57" xfId="0" applyNumberFormat="1" applyFont="1" applyFill="1" applyBorder="1"/>
    <xf numFmtId="0" fontId="28" fillId="26" borderId="0" xfId="0" applyFont="1" applyFill="1"/>
    <xf numFmtId="0" fontId="56" fillId="0" borderId="19" xfId="38" applyFont="1" applyBorder="1"/>
    <xf numFmtId="3" fontId="1" fillId="0" borderId="19" xfId="38" applyNumberFormat="1" applyFont="1" applyFill="1" applyBorder="1"/>
    <xf numFmtId="0" fontId="52" fillId="25" borderId="19" xfId="38" applyFont="1" applyFill="1" applyBorder="1"/>
    <xf numFmtId="3" fontId="5" fillId="25" borderId="19" xfId="38" applyNumberFormat="1" applyFont="1" applyFill="1" applyBorder="1"/>
    <xf numFmtId="0" fontId="56" fillId="30" borderId="65" xfId="38" applyFont="1" applyFill="1" applyBorder="1" applyAlignment="1">
      <alignment horizontal="center" wrapText="1"/>
    </xf>
    <xf numFmtId="3" fontId="5" fillId="30" borderId="65" xfId="38" applyNumberFormat="1" applyFont="1" applyFill="1" applyBorder="1"/>
    <xf numFmtId="3" fontId="5" fillId="30" borderId="65" xfId="0" applyNumberFormat="1" applyFont="1" applyFill="1" applyBorder="1"/>
    <xf numFmtId="0" fontId="56" fillId="0" borderId="65" xfId="38" applyFont="1" applyBorder="1"/>
    <xf numFmtId="3" fontId="1" fillId="0" borderId="65" xfId="38" applyNumberFormat="1" applyFont="1" applyFill="1" applyBorder="1"/>
    <xf numFmtId="3" fontId="1" fillId="0" borderId="65" xfId="0" applyNumberFormat="1" applyFont="1" applyBorder="1"/>
    <xf numFmtId="0" fontId="54" fillId="31" borderId="87" xfId="38" applyFont="1" applyFill="1" applyBorder="1"/>
    <xf numFmtId="3" fontId="5" fillId="31" borderId="87" xfId="39" applyNumberFormat="1" applyFont="1" applyFill="1" applyBorder="1"/>
    <xf numFmtId="3" fontId="5" fillId="31" borderId="50" xfId="39" applyNumberFormat="1" applyFont="1" applyFill="1" applyBorder="1"/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 2_2011 gördülő" xfId="38" xr:uid="{00000000-0005-0000-0000-000026000000}"/>
    <cellStyle name="Normál 2_2011 gördülő" xfId="39" xr:uid="{00000000-0005-0000-0000-000027000000}"/>
    <cellStyle name="Normál 3" xfId="40" xr:uid="{00000000-0005-0000-0000-000028000000}"/>
    <cellStyle name="Normál 4" xfId="41" xr:uid="{00000000-0005-0000-0000-000029000000}"/>
    <cellStyle name="Normál 5" xfId="42" xr:uid="{00000000-0005-0000-0000-00002A000000}"/>
    <cellStyle name="Normal_KTRSZJ" xfId="43" xr:uid="{00000000-0005-0000-0000-00002B000000}"/>
    <cellStyle name="Normál_Munka1" xfId="44" xr:uid="{00000000-0005-0000-0000-00002C000000}"/>
    <cellStyle name="Normál_működési felhalmozási mérleg" xfId="45" xr:uid="{00000000-0005-0000-0000-00002D000000}"/>
    <cellStyle name="Normál_összesítő" xfId="46" xr:uid="{00000000-0005-0000-0000-00002E000000}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  <cellStyle name="Százalék" xfId="51" builtinId="5"/>
  </cellStyles>
  <dxfs count="0"/>
  <tableStyles count="0" defaultTableStyle="TableStyleMedium9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J60"/>
  <sheetViews>
    <sheetView zoomScale="90" zoomScaleNormal="90" workbookViewId="0">
      <selection activeCell="D57" sqref="D57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149" customWidth="1"/>
    <col min="4" max="4" width="15" customWidth="1"/>
    <col min="6" max="6" width="9.85546875" bestFit="1" customWidth="1"/>
  </cols>
  <sheetData>
    <row r="1" spans="1:10" ht="16.5" thickBot="1" x14ac:dyDescent="0.3">
      <c r="A1" s="858"/>
      <c r="B1" s="858"/>
      <c r="C1" s="858"/>
    </row>
    <row r="2" spans="1:10" ht="42" customHeight="1" x14ac:dyDescent="0.2">
      <c r="A2" s="140"/>
      <c r="B2" s="141"/>
      <c r="C2" s="433" t="s">
        <v>202</v>
      </c>
      <c r="D2" s="433" t="s">
        <v>386</v>
      </c>
    </row>
    <row r="3" spans="1:10" ht="24.95" customHeight="1" thickBot="1" x14ac:dyDescent="0.3">
      <c r="A3" s="435"/>
      <c r="B3" s="436" t="s">
        <v>3</v>
      </c>
      <c r="C3" s="437" t="s">
        <v>128</v>
      </c>
      <c r="D3" s="437" t="s">
        <v>128</v>
      </c>
    </row>
    <row r="4" spans="1:10" ht="24.95" customHeight="1" thickBot="1" x14ac:dyDescent="0.25">
      <c r="A4" s="438"/>
      <c r="B4" s="439" t="s">
        <v>387</v>
      </c>
      <c r="C4" s="440">
        <f>+C6+C17+C27</f>
        <v>1821824</v>
      </c>
      <c r="D4" s="440">
        <f>+D6+D17+D27</f>
        <v>2137768</v>
      </c>
    </row>
    <row r="5" spans="1:10" ht="16.5" x14ac:dyDescent="0.25">
      <c r="A5" s="399" t="s">
        <v>258</v>
      </c>
      <c r="B5" s="441" t="s">
        <v>257</v>
      </c>
      <c r="C5" s="442">
        <f>+C6+C17</f>
        <v>1414669</v>
      </c>
      <c r="D5" s="442">
        <f>+D6+D17</f>
        <v>1516838</v>
      </c>
    </row>
    <row r="6" spans="1:10" ht="16.5" x14ac:dyDescent="0.25">
      <c r="A6" s="443"/>
      <c r="B6" s="444" t="s">
        <v>259</v>
      </c>
      <c r="C6" s="445">
        <f>+C7+C10+C14+C15</f>
        <v>1216684</v>
      </c>
      <c r="D6" s="445">
        <f>+D7+D10+D14+D15</f>
        <v>1220979</v>
      </c>
      <c r="I6" s="33"/>
      <c r="J6" s="149"/>
    </row>
    <row r="7" spans="1:10" x14ac:dyDescent="0.2">
      <c r="A7" s="446" t="s">
        <v>261</v>
      </c>
      <c r="B7" s="447" t="s">
        <v>260</v>
      </c>
      <c r="C7" s="174">
        <f>+C8+C9</f>
        <v>508964</v>
      </c>
      <c r="D7" s="174">
        <f>+D8+D9</f>
        <v>584897</v>
      </c>
    </row>
    <row r="8" spans="1:10" x14ac:dyDescent="0.2">
      <c r="A8" s="448" t="s">
        <v>263</v>
      </c>
      <c r="B8" s="449" t="s">
        <v>262</v>
      </c>
      <c r="C8" s="166">
        <f>+'4.sz.m.Bevételek'!C7</f>
        <v>507214</v>
      </c>
      <c r="D8" s="166">
        <f>+'4.sz.m.Bevételek'!D7</f>
        <v>581747</v>
      </c>
    </row>
    <row r="9" spans="1:10" x14ac:dyDescent="0.2">
      <c r="A9" s="448" t="s">
        <v>265</v>
      </c>
      <c r="B9" s="449" t="s">
        <v>264</v>
      </c>
      <c r="C9" s="166">
        <f>+'4.sz.m.Bevételek'!C8</f>
        <v>1750</v>
      </c>
      <c r="D9" s="166">
        <f>+'4.sz.m.Bevételek'!D8</f>
        <v>3150</v>
      </c>
    </row>
    <row r="10" spans="1:10" x14ac:dyDescent="0.2">
      <c r="A10" s="450" t="s">
        <v>267</v>
      </c>
      <c r="B10" s="451" t="s">
        <v>266</v>
      </c>
      <c r="C10" s="174">
        <f>+C11+C12+C13</f>
        <v>636473</v>
      </c>
      <c r="D10" s="174">
        <f>+D11+D12+D13</f>
        <v>494300</v>
      </c>
    </row>
    <row r="11" spans="1:10" x14ac:dyDescent="0.2">
      <c r="A11" s="448" t="s">
        <v>269</v>
      </c>
      <c r="B11" s="449" t="s">
        <v>268</v>
      </c>
      <c r="C11" s="174">
        <f>+'4.sz.m.Bevételek'!C10</f>
        <v>585407</v>
      </c>
      <c r="D11" s="174">
        <f>+'4.sz.m.Bevételek'!D10</f>
        <v>469300</v>
      </c>
    </row>
    <row r="12" spans="1:10" x14ac:dyDescent="0.2">
      <c r="A12" s="448" t="s">
        <v>271</v>
      </c>
      <c r="B12" s="449" t="s">
        <v>270</v>
      </c>
      <c r="C12" s="174">
        <f>+'4.sz.m.Bevételek'!C11</f>
        <v>33066</v>
      </c>
      <c r="D12" s="174">
        <f>+'4.sz.m.Bevételek'!D11</f>
        <v>0</v>
      </c>
    </row>
    <row r="13" spans="1:10" x14ac:dyDescent="0.2">
      <c r="A13" s="448" t="s">
        <v>273</v>
      </c>
      <c r="B13" s="449" t="s">
        <v>272</v>
      </c>
      <c r="C13" s="174">
        <f>+'4.sz.m.Bevételek'!C12</f>
        <v>18000</v>
      </c>
      <c r="D13" s="174">
        <f>+'4.sz.m.Bevételek'!D12</f>
        <v>25000</v>
      </c>
    </row>
    <row r="14" spans="1:10" x14ac:dyDescent="0.2">
      <c r="A14" s="446" t="s">
        <v>275</v>
      </c>
      <c r="B14" s="447" t="s">
        <v>274</v>
      </c>
      <c r="C14" s="174">
        <f>+'4.sz.m.Bevételek'!C13</f>
        <v>71247</v>
      </c>
      <c r="D14" s="174">
        <f>+'4.sz.m.Bevételek'!D13</f>
        <v>121782</v>
      </c>
    </row>
    <row r="15" spans="1:10" x14ac:dyDescent="0.2">
      <c r="A15" s="446" t="s">
        <v>277</v>
      </c>
      <c r="B15" s="447" t="s">
        <v>276</v>
      </c>
      <c r="C15" s="174">
        <f>+'4.sz.m.Bevételek'!C14</f>
        <v>0</v>
      </c>
      <c r="D15" s="174">
        <f>+'4.sz.m.Bevételek'!D14</f>
        <v>20000</v>
      </c>
    </row>
    <row r="16" spans="1:10" x14ac:dyDescent="0.2">
      <c r="A16" s="448" t="s">
        <v>279</v>
      </c>
      <c r="B16" s="449" t="s">
        <v>278</v>
      </c>
      <c r="C16" s="174">
        <f>+'4.sz.m.Bevételek'!C15</f>
        <v>0</v>
      </c>
      <c r="D16" s="174">
        <f>+'4.sz.m.Bevételek'!D15</f>
        <v>20000</v>
      </c>
    </row>
    <row r="17" spans="1:6" x14ac:dyDescent="0.2">
      <c r="A17" s="452"/>
      <c r="B17" s="444" t="s">
        <v>280</v>
      </c>
      <c r="C17" s="442">
        <f>+C18+C21+C24</f>
        <v>197985</v>
      </c>
      <c r="D17" s="442">
        <f>+D18+D21+D24</f>
        <v>295859</v>
      </c>
    </row>
    <row r="18" spans="1:6" x14ac:dyDescent="0.2">
      <c r="A18" s="446" t="s">
        <v>282</v>
      </c>
      <c r="B18" s="447" t="s">
        <v>281</v>
      </c>
      <c r="C18" s="166">
        <f>+C19+C20</f>
        <v>190676</v>
      </c>
      <c r="D18" s="166">
        <f>+D19+D20</f>
        <v>295859</v>
      </c>
    </row>
    <row r="19" spans="1:6" x14ac:dyDescent="0.2">
      <c r="A19" s="450" t="s">
        <v>284</v>
      </c>
      <c r="B19" s="453" t="s">
        <v>283</v>
      </c>
      <c r="C19" s="166"/>
      <c r="D19" s="142"/>
    </row>
    <row r="20" spans="1:6" ht="12.75" customHeight="1" x14ac:dyDescent="0.2">
      <c r="A20" s="450" t="s">
        <v>286</v>
      </c>
      <c r="B20" s="453" t="s">
        <v>285</v>
      </c>
      <c r="C20" s="166">
        <f>+'4.sz.m.Bevételek'!C19</f>
        <v>190676</v>
      </c>
      <c r="D20" s="166">
        <f>+'4.sz.m.Bevételek'!D19</f>
        <v>295859</v>
      </c>
    </row>
    <row r="21" spans="1:6" ht="12.75" customHeight="1" x14ac:dyDescent="0.2">
      <c r="A21" s="446" t="s">
        <v>288</v>
      </c>
      <c r="B21" s="447" t="s">
        <v>287</v>
      </c>
      <c r="C21" s="166">
        <f>+C22+C23</f>
        <v>7309</v>
      </c>
      <c r="D21" s="166">
        <f>+D22+D23</f>
        <v>0</v>
      </c>
    </row>
    <row r="22" spans="1:6" ht="12.75" customHeight="1" x14ac:dyDescent="0.2">
      <c r="A22" s="450" t="s">
        <v>290</v>
      </c>
      <c r="B22" s="453" t="s">
        <v>289</v>
      </c>
      <c r="C22" s="166">
        <f>+'4.sz.m.Bevételek'!C21</f>
        <v>7309</v>
      </c>
      <c r="D22" s="166">
        <f>+'4.sz.m.Bevételek'!D21</f>
        <v>0</v>
      </c>
    </row>
    <row r="23" spans="1:6" x14ac:dyDescent="0.2">
      <c r="A23" s="450" t="s">
        <v>292</v>
      </c>
      <c r="B23" s="453" t="s">
        <v>291</v>
      </c>
      <c r="C23" s="166"/>
      <c r="D23" s="166"/>
    </row>
    <row r="24" spans="1:6" x14ac:dyDescent="0.2">
      <c r="A24" s="446" t="s">
        <v>294</v>
      </c>
      <c r="B24" s="447" t="s">
        <v>293</v>
      </c>
      <c r="C24" s="166">
        <f>+C25</f>
        <v>0</v>
      </c>
      <c r="D24" s="166">
        <f>+D25</f>
        <v>0</v>
      </c>
    </row>
    <row r="25" spans="1:6" ht="12.75" customHeight="1" x14ac:dyDescent="0.2">
      <c r="A25" s="450" t="s">
        <v>296</v>
      </c>
      <c r="B25" s="453" t="s">
        <v>295</v>
      </c>
      <c r="C25" s="166">
        <f>+'4.sz.m.Bevételek'!C24</f>
        <v>0</v>
      </c>
      <c r="D25" s="166">
        <f>+'4.sz.m.Bevételek'!D24</f>
        <v>0</v>
      </c>
    </row>
    <row r="26" spans="1:6" x14ac:dyDescent="0.2">
      <c r="A26" s="448"/>
      <c r="B26" s="454"/>
      <c r="C26" s="166"/>
      <c r="D26" s="142"/>
    </row>
    <row r="27" spans="1:6" ht="15.75" x14ac:dyDescent="0.25">
      <c r="A27" s="455" t="s">
        <v>298</v>
      </c>
      <c r="B27" s="456" t="s">
        <v>297</v>
      </c>
      <c r="C27" s="442">
        <f>+C28</f>
        <v>407155</v>
      </c>
      <c r="D27" s="442">
        <f>+D28</f>
        <v>620930</v>
      </c>
    </row>
    <row r="28" spans="1:6" x14ac:dyDescent="0.2">
      <c r="A28" s="452" t="s">
        <v>300</v>
      </c>
      <c r="B28" s="444" t="s">
        <v>299</v>
      </c>
      <c r="C28" s="166">
        <f>+C29+C30+C31+C32</f>
        <v>407155</v>
      </c>
      <c r="D28" s="166">
        <f>+D29+D30+D31+D32</f>
        <v>620930</v>
      </c>
    </row>
    <row r="29" spans="1:6" x14ac:dyDescent="0.2">
      <c r="A29" s="446" t="s">
        <v>302</v>
      </c>
      <c r="B29" s="447" t="s">
        <v>301</v>
      </c>
      <c r="C29" s="166"/>
      <c r="D29" s="142"/>
      <c r="F29" s="33"/>
    </row>
    <row r="30" spans="1:6" x14ac:dyDescent="0.2">
      <c r="A30" s="446" t="s">
        <v>304</v>
      </c>
      <c r="B30" s="447" t="s">
        <v>303</v>
      </c>
      <c r="C30" s="166"/>
      <c r="D30" s="142"/>
    </row>
    <row r="31" spans="1:6" hidden="1" x14ac:dyDescent="0.2">
      <c r="A31" s="446" t="s">
        <v>306</v>
      </c>
      <c r="B31" s="447" t="s">
        <v>305</v>
      </c>
      <c r="C31" s="166"/>
      <c r="D31" s="142"/>
    </row>
    <row r="32" spans="1:6" x14ac:dyDescent="0.2">
      <c r="A32" s="446" t="s">
        <v>308</v>
      </c>
      <c r="B32" s="447" t="s">
        <v>307</v>
      </c>
      <c r="C32" s="174">
        <f>+'4.sz.m.Bevételek'!C26</f>
        <v>407155</v>
      </c>
      <c r="D32" s="174">
        <f>+'4.sz.m.Bevételek'!D26</f>
        <v>620930</v>
      </c>
    </row>
    <row r="33" spans="1:4" ht="13.5" thickBot="1" x14ac:dyDescent="0.25">
      <c r="A33" s="457"/>
      <c r="B33" s="434"/>
      <c r="C33" s="174"/>
      <c r="D33" s="174"/>
    </row>
    <row r="34" spans="1:4" ht="16.5" thickBot="1" x14ac:dyDescent="0.25">
      <c r="A34" s="458"/>
      <c r="B34" s="439" t="s">
        <v>388</v>
      </c>
      <c r="C34" s="459">
        <f>+C35+C52</f>
        <v>3016940</v>
      </c>
      <c r="D34" s="459">
        <f>+D35+D52</f>
        <v>2730288</v>
      </c>
    </row>
    <row r="35" spans="1:4" ht="15.75" x14ac:dyDescent="0.25">
      <c r="A35" s="460" t="s">
        <v>312</v>
      </c>
      <c r="B35" s="441" t="s">
        <v>311</v>
      </c>
      <c r="C35" s="461">
        <f>+C36+C45</f>
        <v>2597388</v>
      </c>
      <c r="D35" s="461">
        <f>+D36+D45</f>
        <v>2222630</v>
      </c>
    </row>
    <row r="36" spans="1:4" x14ac:dyDescent="0.2">
      <c r="A36" s="452"/>
      <c r="B36" s="444" t="s">
        <v>259</v>
      </c>
      <c r="C36" s="462">
        <f>+C37+C38+C39+C40+C41</f>
        <v>546579</v>
      </c>
      <c r="D36" s="462">
        <f>+D37+D38+D39+D40+D41</f>
        <v>489617</v>
      </c>
    </row>
    <row r="37" spans="1:4" x14ac:dyDescent="0.2">
      <c r="A37" s="448" t="s">
        <v>314</v>
      </c>
      <c r="B37" s="454" t="s">
        <v>313</v>
      </c>
      <c r="C37" s="306">
        <f>+'6.sz.m.Kiadások'!C5</f>
        <v>37682</v>
      </c>
      <c r="D37" s="306">
        <f>+'6.sz.m.Kiadások'!D5</f>
        <v>44144</v>
      </c>
    </row>
    <row r="38" spans="1:4" x14ac:dyDescent="0.2">
      <c r="A38" s="448" t="s">
        <v>316</v>
      </c>
      <c r="B38" s="454" t="s">
        <v>315</v>
      </c>
      <c r="C38" s="306">
        <f>+'6.sz.m.Kiadások'!C8</f>
        <v>7789</v>
      </c>
      <c r="D38" s="306">
        <f>+'6.sz.m.Kiadások'!D8</f>
        <v>8091</v>
      </c>
    </row>
    <row r="39" spans="1:4" x14ac:dyDescent="0.2">
      <c r="A39" s="448" t="s">
        <v>318</v>
      </c>
      <c r="B39" s="454" t="s">
        <v>317</v>
      </c>
      <c r="C39" s="306">
        <f>+'6.sz.m.Kiadások'!C9</f>
        <v>273025</v>
      </c>
      <c r="D39" s="306">
        <f>+'6.sz.m.Kiadások'!D9</f>
        <v>320394</v>
      </c>
    </row>
    <row r="40" spans="1:4" x14ac:dyDescent="0.2">
      <c r="A40" s="448" t="s">
        <v>320</v>
      </c>
      <c r="B40" s="454" t="s">
        <v>319</v>
      </c>
      <c r="C40" s="166">
        <f>+'6.sz.m.Kiadások'!C15</f>
        <v>37000</v>
      </c>
      <c r="D40" s="166">
        <f>+'6.sz.m.Kiadások'!D15</f>
        <v>24494</v>
      </c>
    </row>
    <row r="41" spans="1:4" x14ac:dyDescent="0.2">
      <c r="A41" s="448" t="s">
        <v>322</v>
      </c>
      <c r="B41" s="454" t="s">
        <v>321</v>
      </c>
      <c r="C41" s="166">
        <f>+C42+C43+C44</f>
        <v>191083</v>
      </c>
      <c r="D41" s="166">
        <f>+D42+D43+D44</f>
        <v>92494</v>
      </c>
    </row>
    <row r="42" spans="1:4" x14ac:dyDescent="0.2">
      <c r="A42" s="448" t="s">
        <v>324</v>
      </c>
      <c r="B42" s="449" t="s">
        <v>323</v>
      </c>
      <c r="C42" s="166"/>
      <c r="D42" s="142"/>
    </row>
    <row r="43" spans="1:4" x14ac:dyDescent="0.2">
      <c r="A43" s="448" t="s">
        <v>326</v>
      </c>
      <c r="B43" s="449" t="s">
        <v>325</v>
      </c>
      <c r="C43" s="166">
        <v>26940</v>
      </c>
      <c r="D43" s="166">
        <v>34344</v>
      </c>
    </row>
    <row r="44" spans="1:4" x14ac:dyDescent="0.2">
      <c r="A44" s="448" t="s">
        <v>328</v>
      </c>
      <c r="B44" s="449" t="s">
        <v>327</v>
      </c>
      <c r="C44" s="166">
        <v>164143</v>
      </c>
      <c r="D44" s="166">
        <v>58150</v>
      </c>
    </row>
    <row r="45" spans="1:4" x14ac:dyDescent="0.2">
      <c r="A45" s="452"/>
      <c r="B45" s="444" t="s">
        <v>329</v>
      </c>
      <c r="C45" s="463">
        <f>+C46+C47+C48</f>
        <v>2050809</v>
      </c>
      <c r="D45" s="463">
        <f>+D46+D47+D48</f>
        <v>1733013</v>
      </c>
    </row>
    <row r="46" spans="1:4" x14ac:dyDescent="0.2">
      <c r="A46" s="448" t="s">
        <v>331</v>
      </c>
      <c r="B46" s="454" t="s">
        <v>330</v>
      </c>
      <c r="C46" s="464">
        <v>2043309</v>
      </c>
      <c r="D46" s="464">
        <v>1733013</v>
      </c>
    </row>
    <row r="47" spans="1:4" x14ac:dyDescent="0.2">
      <c r="A47" s="448" t="s">
        <v>333</v>
      </c>
      <c r="B47" s="454" t="s">
        <v>332</v>
      </c>
      <c r="C47" s="464">
        <v>7500</v>
      </c>
      <c r="D47" s="465"/>
    </row>
    <row r="48" spans="1:4" x14ac:dyDescent="0.2">
      <c r="A48" s="448" t="s">
        <v>335</v>
      </c>
      <c r="B48" s="454" t="s">
        <v>334</v>
      </c>
      <c r="C48" s="464">
        <f>+C49+C50</f>
        <v>0</v>
      </c>
      <c r="D48" s="464">
        <f>+D49+D50</f>
        <v>0</v>
      </c>
    </row>
    <row r="49" spans="1:4" x14ac:dyDescent="0.2">
      <c r="A49" s="448" t="s">
        <v>337</v>
      </c>
      <c r="B49" s="449" t="s">
        <v>336</v>
      </c>
      <c r="C49" s="464"/>
      <c r="D49" s="465"/>
    </row>
    <row r="50" spans="1:4" x14ac:dyDescent="0.2">
      <c r="A50" s="448" t="s">
        <v>339</v>
      </c>
      <c r="B50" s="449" t="s">
        <v>338</v>
      </c>
      <c r="C50" s="464"/>
      <c r="D50" s="465"/>
    </row>
    <row r="51" spans="1:4" x14ac:dyDescent="0.2">
      <c r="A51" s="448"/>
      <c r="B51" s="449"/>
      <c r="C51" s="464"/>
      <c r="D51" s="465"/>
    </row>
    <row r="52" spans="1:4" ht="15.75" x14ac:dyDescent="0.25">
      <c r="A52" s="455" t="s">
        <v>341</v>
      </c>
      <c r="B52" s="456" t="s">
        <v>340</v>
      </c>
      <c r="C52" s="463">
        <f>+C53+C54+C55+C56</f>
        <v>419552</v>
      </c>
      <c r="D52" s="463">
        <f>+D53+D54+D55+D56</f>
        <v>507658</v>
      </c>
    </row>
    <row r="53" spans="1:4" x14ac:dyDescent="0.2">
      <c r="A53" s="452" t="s">
        <v>343</v>
      </c>
      <c r="B53" s="444" t="s">
        <v>342</v>
      </c>
      <c r="C53" s="464"/>
      <c r="D53" s="465"/>
    </row>
    <row r="54" spans="1:4" x14ac:dyDescent="0.2">
      <c r="A54" s="448" t="s">
        <v>345</v>
      </c>
      <c r="B54" s="454" t="s">
        <v>344</v>
      </c>
      <c r="C54" s="166"/>
      <c r="D54" s="142"/>
    </row>
    <row r="55" spans="1:4" x14ac:dyDescent="0.2">
      <c r="A55" s="448" t="s">
        <v>347</v>
      </c>
      <c r="B55" s="454" t="s">
        <v>346</v>
      </c>
      <c r="C55" s="166"/>
      <c r="D55" s="142"/>
    </row>
    <row r="56" spans="1:4" x14ac:dyDescent="0.2">
      <c r="A56" s="448" t="s">
        <v>349</v>
      </c>
      <c r="B56" s="454" t="s">
        <v>348</v>
      </c>
      <c r="C56" s="166">
        <v>419552</v>
      </c>
      <c r="D56" s="166">
        <v>507658</v>
      </c>
    </row>
    <row r="57" spans="1:4" ht="16.5" thickBot="1" x14ac:dyDescent="0.3">
      <c r="A57" s="407"/>
      <c r="B57" s="410"/>
      <c r="C57" s="307"/>
      <c r="D57" s="307"/>
    </row>
    <row r="58" spans="1:4" ht="13.5" thickBot="1" x14ac:dyDescent="0.25"/>
    <row r="59" spans="1:4" ht="13.5" thickBot="1" x14ac:dyDescent="0.25">
      <c r="B59" s="46" t="s">
        <v>130</v>
      </c>
      <c r="C59" s="466">
        <f>+C4-C34</f>
        <v>-1195116</v>
      </c>
      <c r="D59" s="466">
        <f>+D4-D34</f>
        <v>-592520</v>
      </c>
    </row>
    <row r="60" spans="1:4" x14ac:dyDescent="0.2">
      <c r="C60" s="318"/>
      <c r="D60" s="33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91" orientation="landscape" r:id="rId1"/>
  <headerFooter alignWithMargins="0">
    <oddHeader>&amp;L1/A sz. számú melléklet&amp;C&amp;"Arial,Félkövér"&amp;12Nagykovácsi 
Nagyközség Önkormányzatának 2015. évi bevételei és kiadásai&amp;R A 2015. évi önkormányzati költségvetési rendelethez</oddHeader>
    <oddFooter>&amp;L&amp;"Arial,Dőlt"&amp;8&amp;D&amp;R&amp;"Arial,Dőlt"&amp;8&amp;F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5"/>
  <sheetViews>
    <sheetView zoomScaleNormal="100" workbookViewId="0">
      <selection activeCell="Y22" sqref="Y22"/>
    </sheetView>
  </sheetViews>
  <sheetFormatPr defaultRowHeight="12.75" x14ac:dyDescent="0.2"/>
  <cols>
    <col min="1" max="1" width="8.140625" style="11" customWidth="1"/>
    <col min="2" max="2" width="72.5703125" style="11" bestFit="1" customWidth="1"/>
    <col min="3" max="3" width="13.7109375" style="11" customWidth="1"/>
    <col min="4" max="4" width="13.7109375" style="11" hidden="1" customWidth="1"/>
    <col min="5" max="5" width="15.140625" style="11" hidden="1" customWidth="1"/>
    <col min="6" max="6" width="13.7109375" style="11" hidden="1" customWidth="1"/>
    <col min="7" max="9" width="16.7109375" style="11" hidden="1" customWidth="1"/>
    <col min="10" max="10" width="13.7109375" style="11" hidden="1" customWidth="1"/>
    <col min="11" max="11" width="16.7109375" style="11" hidden="1" customWidth="1"/>
    <col min="12" max="12" width="13.7109375" style="11" hidden="1" customWidth="1"/>
    <col min="13" max="13" width="14.7109375" style="11" hidden="1" customWidth="1"/>
    <col min="14" max="14" width="13.7109375" style="11" hidden="1" customWidth="1"/>
    <col min="15" max="15" width="18.28515625" style="11" hidden="1" customWidth="1"/>
    <col min="16" max="16" width="9.140625" style="11"/>
    <col min="17" max="17" width="0" style="593" hidden="1" customWidth="1"/>
    <col min="18" max="20" width="0" style="594" hidden="1" customWidth="1"/>
    <col min="21" max="21" width="0" style="595" hidden="1" customWidth="1"/>
    <col min="22" max="22" width="10.140625" style="594" hidden="1" customWidth="1"/>
    <col min="23" max="16384" width="9.140625" style="3"/>
  </cols>
  <sheetData>
    <row r="1" spans="1:22" ht="23.25" customHeight="1" x14ac:dyDescent="0.2"/>
    <row r="2" spans="1:22" ht="33.75" customHeight="1" thickBot="1" x14ac:dyDescent="0.3">
      <c r="B2" s="546"/>
      <c r="U2" s="595" t="s">
        <v>423</v>
      </c>
    </row>
    <row r="3" spans="1:22" s="151" customFormat="1" x14ac:dyDescent="0.2">
      <c r="A3" s="547" t="s">
        <v>134</v>
      </c>
      <c r="B3" s="548" t="s">
        <v>135</v>
      </c>
      <c r="C3" s="549" t="s">
        <v>494</v>
      </c>
      <c r="D3" s="711" t="s">
        <v>177</v>
      </c>
      <c r="E3" s="549" t="s">
        <v>178</v>
      </c>
      <c r="F3" s="549" t="s">
        <v>176</v>
      </c>
      <c r="G3" s="549" t="s">
        <v>179</v>
      </c>
      <c r="H3" s="549" t="s">
        <v>169</v>
      </c>
      <c r="I3" s="549" t="s">
        <v>180</v>
      </c>
      <c r="J3" s="549" t="s">
        <v>181</v>
      </c>
      <c r="K3" s="549" t="s">
        <v>182</v>
      </c>
      <c r="L3" s="549" t="s">
        <v>183</v>
      </c>
      <c r="M3" s="549" t="s">
        <v>184</v>
      </c>
      <c r="N3" s="549" t="s">
        <v>185</v>
      </c>
      <c r="O3" s="549" t="s">
        <v>186</v>
      </c>
      <c r="P3" s="550"/>
      <c r="Q3" s="596" t="s">
        <v>424</v>
      </c>
      <c r="R3" s="597" t="s">
        <v>425</v>
      </c>
      <c r="S3" s="597"/>
      <c r="T3" s="597"/>
      <c r="U3" s="598"/>
      <c r="V3" s="597"/>
    </row>
    <row r="4" spans="1:22" s="151" customFormat="1" ht="13.5" thickBot="1" x14ac:dyDescent="0.25">
      <c r="A4" s="551"/>
      <c r="B4" s="552"/>
      <c r="C4" s="553" t="s">
        <v>139</v>
      </c>
      <c r="D4" s="712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0"/>
      <c r="Q4" s="596"/>
      <c r="R4" s="597"/>
      <c r="S4" s="597"/>
      <c r="T4" s="597"/>
      <c r="U4" s="598"/>
      <c r="V4" s="597"/>
    </row>
    <row r="5" spans="1:22" s="151" customFormat="1" x14ac:dyDescent="0.2">
      <c r="A5" s="554">
        <v>1</v>
      </c>
      <c r="B5" s="559" t="s">
        <v>447</v>
      </c>
      <c r="C5" s="706">
        <v>11889</v>
      </c>
      <c r="D5" s="713"/>
      <c r="E5" s="556">
        <f t="shared" ref="E5:E12" si="0">+C5+D5</f>
        <v>11889</v>
      </c>
      <c r="F5" s="556"/>
      <c r="G5" s="556">
        <f t="shared" ref="G5:G12" si="1">+E5+F5</f>
        <v>11889</v>
      </c>
      <c r="H5" s="556"/>
      <c r="I5" s="557">
        <f t="shared" ref="I5:I12" si="2">+H5/G5</f>
        <v>0</v>
      </c>
      <c r="J5" s="556"/>
      <c r="K5" s="556">
        <f t="shared" ref="K5:K12" si="3">+G5+J5</f>
        <v>11889</v>
      </c>
      <c r="L5" s="556"/>
      <c r="M5" s="556">
        <f t="shared" ref="M5:M12" si="4">+K5+L5</f>
        <v>11889</v>
      </c>
      <c r="N5" s="556"/>
      <c r="O5" s="556">
        <f t="shared" ref="O5:O12" si="5">+M5+N5</f>
        <v>11889</v>
      </c>
      <c r="P5" s="550"/>
      <c r="Q5" s="599">
        <f t="shared" ref="Q5:Q12" si="6">+C5</f>
        <v>11889</v>
      </c>
      <c r="R5" s="597"/>
      <c r="S5" s="597"/>
      <c r="T5" s="597"/>
      <c r="U5" s="598"/>
      <c r="V5" s="597"/>
    </row>
    <row r="6" spans="1:22" s="151" customFormat="1" ht="12.95" customHeight="1" x14ac:dyDescent="0.2">
      <c r="A6" s="558">
        <v>2</v>
      </c>
      <c r="B6" s="559" t="s">
        <v>498</v>
      </c>
      <c r="C6" s="154">
        <v>1500</v>
      </c>
      <c r="D6" s="708"/>
      <c r="E6" s="556">
        <f t="shared" si="0"/>
        <v>1500</v>
      </c>
      <c r="F6" s="154"/>
      <c r="G6" s="154">
        <f t="shared" si="1"/>
        <v>1500</v>
      </c>
      <c r="H6" s="154"/>
      <c r="I6" s="204">
        <f t="shared" si="2"/>
        <v>0</v>
      </c>
      <c r="J6" s="154"/>
      <c r="K6" s="154">
        <f t="shared" si="3"/>
        <v>1500</v>
      </c>
      <c r="L6" s="154"/>
      <c r="M6" s="154">
        <f t="shared" si="4"/>
        <v>1500</v>
      </c>
      <c r="N6" s="154"/>
      <c r="O6" s="154">
        <f t="shared" si="5"/>
        <v>1500</v>
      </c>
      <c r="P6" s="550"/>
      <c r="Q6" s="599">
        <f t="shared" si="6"/>
        <v>1500</v>
      </c>
      <c r="R6" s="597"/>
      <c r="S6" s="597"/>
      <c r="T6" s="597"/>
      <c r="U6" s="598"/>
      <c r="V6" s="597"/>
    </row>
    <row r="7" spans="1:22" s="151" customFormat="1" ht="12.95" customHeight="1" x14ac:dyDescent="0.2">
      <c r="A7" s="554">
        <v>3</v>
      </c>
      <c r="B7" s="659" t="s">
        <v>415</v>
      </c>
      <c r="C7" s="154">
        <v>2200</v>
      </c>
      <c r="D7" s="708"/>
      <c r="E7" s="556"/>
      <c r="F7" s="154"/>
      <c r="G7" s="154"/>
      <c r="H7" s="154"/>
      <c r="I7" s="204"/>
      <c r="J7" s="154"/>
      <c r="K7" s="154"/>
      <c r="L7" s="154"/>
      <c r="M7" s="154"/>
      <c r="N7" s="154"/>
      <c r="O7" s="154"/>
      <c r="P7" s="550"/>
      <c r="Q7" s="599">
        <f t="shared" si="6"/>
        <v>2200</v>
      </c>
      <c r="R7" s="597"/>
      <c r="S7" s="597"/>
      <c r="T7" s="597"/>
      <c r="U7" s="598"/>
      <c r="V7" s="597"/>
    </row>
    <row r="8" spans="1:22" s="152" customFormat="1" ht="12.75" customHeight="1" x14ac:dyDescent="0.2">
      <c r="A8" s="558">
        <v>4</v>
      </c>
      <c r="B8" s="559" t="s">
        <v>412</v>
      </c>
      <c r="C8" s="154">
        <v>350</v>
      </c>
      <c r="D8" s="709"/>
      <c r="E8" s="556">
        <f t="shared" si="0"/>
        <v>350</v>
      </c>
      <c r="F8" s="205"/>
      <c r="G8" s="205">
        <f t="shared" si="1"/>
        <v>350</v>
      </c>
      <c r="H8" s="205"/>
      <c r="I8" s="206">
        <f t="shared" si="2"/>
        <v>0</v>
      </c>
      <c r="J8" s="205"/>
      <c r="K8" s="205">
        <f t="shared" si="3"/>
        <v>350</v>
      </c>
      <c r="L8" s="205"/>
      <c r="M8" s="205">
        <f t="shared" si="4"/>
        <v>350</v>
      </c>
      <c r="N8" s="205"/>
      <c r="O8" s="205">
        <f t="shared" si="5"/>
        <v>350</v>
      </c>
      <c r="Q8" s="599">
        <f t="shared" si="6"/>
        <v>350</v>
      </c>
      <c r="R8" s="600"/>
      <c r="S8" s="600"/>
      <c r="T8" s="600"/>
      <c r="U8" s="601"/>
      <c r="V8" s="600"/>
    </row>
    <row r="9" spans="1:22" s="152" customFormat="1" ht="12.75" customHeight="1" x14ac:dyDescent="0.2">
      <c r="A9" s="554">
        <v>5</v>
      </c>
      <c r="B9" s="559" t="s">
        <v>230</v>
      </c>
      <c r="C9" s="154">
        <v>50</v>
      </c>
      <c r="D9" s="709"/>
      <c r="E9" s="556">
        <f t="shared" si="0"/>
        <v>50</v>
      </c>
      <c r="F9" s="205"/>
      <c r="G9" s="205">
        <f t="shared" si="1"/>
        <v>50</v>
      </c>
      <c r="H9" s="205"/>
      <c r="I9" s="206">
        <f t="shared" si="2"/>
        <v>0</v>
      </c>
      <c r="J9" s="205"/>
      <c r="K9" s="205">
        <f t="shared" si="3"/>
        <v>50</v>
      </c>
      <c r="L9" s="205"/>
      <c r="M9" s="205">
        <f t="shared" si="4"/>
        <v>50</v>
      </c>
      <c r="N9" s="205"/>
      <c r="O9" s="205">
        <f t="shared" si="5"/>
        <v>50</v>
      </c>
      <c r="Q9" s="601">
        <f t="shared" si="6"/>
        <v>50</v>
      </c>
      <c r="R9" s="601"/>
      <c r="S9" s="600"/>
      <c r="T9" s="600"/>
      <c r="U9" s="601"/>
      <c r="V9" s="600"/>
    </row>
    <row r="10" spans="1:22" s="152" customFormat="1" ht="12.75" customHeight="1" x14ac:dyDescent="0.2">
      <c r="A10" s="558">
        <v>6</v>
      </c>
      <c r="B10" s="559" t="s">
        <v>187</v>
      </c>
      <c r="C10" s="154">
        <v>1000</v>
      </c>
      <c r="D10" s="709"/>
      <c r="E10" s="556">
        <f t="shared" si="0"/>
        <v>1000</v>
      </c>
      <c r="F10" s="205"/>
      <c r="G10" s="205">
        <f t="shared" si="1"/>
        <v>1000</v>
      </c>
      <c r="H10" s="205"/>
      <c r="I10" s="206">
        <f t="shared" si="2"/>
        <v>0</v>
      </c>
      <c r="J10" s="205"/>
      <c r="K10" s="205">
        <f t="shared" si="3"/>
        <v>1000</v>
      </c>
      <c r="L10" s="205"/>
      <c r="M10" s="205">
        <f t="shared" si="4"/>
        <v>1000</v>
      </c>
      <c r="N10" s="205"/>
      <c r="O10" s="205">
        <f t="shared" si="5"/>
        <v>1000</v>
      </c>
      <c r="Q10" s="599">
        <f t="shared" si="6"/>
        <v>1000</v>
      </c>
      <c r="R10" s="600"/>
      <c r="S10" s="600"/>
      <c r="T10" s="600"/>
      <c r="U10" s="601"/>
      <c r="V10" s="600"/>
    </row>
    <row r="11" spans="1:22" s="152" customFormat="1" ht="12.75" customHeight="1" x14ac:dyDescent="0.2">
      <c r="A11" s="554">
        <v>7</v>
      </c>
      <c r="B11" s="559" t="s">
        <v>420</v>
      </c>
      <c r="C11" s="154">
        <v>579</v>
      </c>
      <c r="D11" s="710"/>
      <c r="E11" s="544">
        <f t="shared" si="0"/>
        <v>579</v>
      </c>
      <c r="F11" s="564"/>
      <c r="G11" s="564">
        <f t="shared" si="1"/>
        <v>579</v>
      </c>
      <c r="H11" s="564"/>
      <c r="I11" s="565">
        <f t="shared" si="2"/>
        <v>0</v>
      </c>
      <c r="J11" s="564"/>
      <c r="K11" s="564">
        <f t="shared" si="3"/>
        <v>579</v>
      </c>
      <c r="L11" s="564"/>
      <c r="M11" s="564">
        <f t="shared" si="4"/>
        <v>579</v>
      </c>
      <c r="N11" s="564"/>
      <c r="O11" s="564">
        <f t="shared" si="5"/>
        <v>579</v>
      </c>
      <c r="Q11" s="599">
        <f t="shared" si="6"/>
        <v>579</v>
      </c>
      <c r="R11" s="600"/>
      <c r="S11" s="600"/>
      <c r="T11" s="600"/>
      <c r="U11" s="601"/>
      <c r="V11" s="600"/>
    </row>
    <row r="12" spans="1:22" s="152" customFormat="1" ht="12.75" customHeight="1" thickBot="1" x14ac:dyDescent="0.25">
      <c r="A12" s="558">
        <v>8</v>
      </c>
      <c r="B12" s="555" t="s">
        <v>140</v>
      </c>
      <c r="C12" s="154">
        <v>3262</v>
      </c>
      <c r="D12" s="710"/>
      <c r="E12" s="544">
        <f t="shared" si="0"/>
        <v>3262</v>
      </c>
      <c r="F12" s="564"/>
      <c r="G12" s="564">
        <f t="shared" si="1"/>
        <v>3262</v>
      </c>
      <c r="H12" s="564"/>
      <c r="I12" s="565">
        <f t="shared" si="2"/>
        <v>0</v>
      </c>
      <c r="J12" s="564"/>
      <c r="K12" s="564">
        <f t="shared" si="3"/>
        <v>3262</v>
      </c>
      <c r="L12" s="564"/>
      <c r="M12" s="564">
        <f t="shared" si="4"/>
        <v>3262</v>
      </c>
      <c r="N12" s="564"/>
      <c r="O12" s="564">
        <f t="shared" si="5"/>
        <v>3262</v>
      </c>
      <c r="Q12" s="599">
        <f t="shared" si="6"/>
        <v>3262</v>
      </c>
      <c r="R12" s="600"/>
      <c r="S12" s="600"/>
      <c r="T12" s="600"/>
      <c r="U12" s="601"/>
      <c r="V12" s="600"/>
    </row>
    <row r="13" spans="1:22" ht="24.75" customHeight="1" thickBot="1" x14ac:dyDescent="0.25">
      <c r="A13" s="560"/>
      <c r="B13" s="626" t="s">
        <v>456</v>
      </c>
      <c r="C13" s="707">
        <f>SUM(C5:C12)</f>
        <v>20830</v>
      </c>
      <c r="D13" s="714">
        <f>SUM(D5:D10)</f>
        <v>0</v>
      </c>
      <c r="E13" s="561">
        <f>SUM(E5:E12)</f>
        <v>18630</v>
      </c>
      <c r="F13" s="561">
        <f>SUM(F5:F10)</f>
        <v>0</v>
      </c>
      <c r="G13" s="561">
        <f>SUM(G5:G12)</f>
        <v>18630</v>
      </c>
      <c r="H13" s="561">
        <f>SUM(H5:H10)</f>
        <v>0</v>
      </c>
      <c r="I13" s="561">
        <f>SUM(I5:I12)</f>
        <v>0</v>
      </c>
      <c r="J13" s="561">
        <f>SUM(J5:J10)</f>
        <v>0</v>
      </c>
      <c r="K13" s="561">
        <f>SUM(K5:K12)</f>
        <v>18630</v>
      </c>
      <c r="L13" s="561">
        <f>SUM(L5:L10)</f>
        <v>0</v>
      </c>
      <c r="M13" s="561">
        <f>SUM(M5:M12)</f>
        <v>18630</v>
      </c>
      <c r="N13" s="561">
        <f>SUM(N5:N10)</f>
        <v>0</v>
      </c>
      <c r="O13" s="561">
        <f>SUM(O5:O12)</f>
        <v>18630</v>
      </c>
      <c r="Q13" s="604">
        <f>SUM(Q5:Q12)</f>
        <v>20830</v>
      </c>
      <c r="R13" s="604">
        <f>SUM(R5:R12)</f>
        <v>0</v>
      </c>
      <c r="S13" s="595">
        <f>+Q13+R13</f>
        <v>20830</v>
      </c>
    </row>
    <row r="14" spans="1:22" s="148" customFormat="1" x14ac:dyDescent="0.2">
      <c r="A14" s="9"/>
      <c r="B14" s="153"/>
      <c r="C14" s="602"/>
      <c r="I14" s="207"/>
      <c r="M14" s="208">
        <f>+K14+L14</f>
        <v>0</v>
      </c>
      <c r="O14" s="148">
        <f t="shared" ref="O14:O25" si="7">+M14+N14</f>
        <v>0</v>
      </c>
      <c r="Q14" s="602"/>
      <c r="R14" s="602"/>
      <c r="S14" s="602"/>
      <c r="T14" s="602"/>
      <c r="U14" s="603"/>
      <c r="V14" s="602"/>
    </row>
    <row r="15" spans="1:22" s="11" customFormat="1" ht="13.5" thickBot="1" x14ac:dyDescent="0.25">
      <c r="A15" s="9"/>
      <c r="B15" s="153"/>
      <c r="C15" s="602"/>
      <c r="D15" s="148"/>
      <c r="E15" s="148"/>
      <c r="F15" s="148"/>
      <c r="G15" s="148"/>
      <c r="H15" s="148"/>
      <c r="I15" s="207"/>
      <c r="J15" s="148"/>
      <c r="K15" s="148"/>
      <c r="L15" s="148"/>
      <c r="M15" s="208">
        <f>+K15+L15</f>
        <v>0</v>
      </c>
      <c r="N15" s="148"/>
      <c r="O15" s="148">
        <f t="shared" si="7"/>
        <v>0</v>
      </c>
      <c r="Q15" s="593"/>
      <c r="R15" s="593"/>
      <c r="S15" s="593"/>
      <c r="T15" s="593"/>
      <c r="U15" s="604"/>
      <c r="V15" s="593"/>
    </row>
    <row r="16" spans="1:22" s="152" customFormat="1" x14ac:dyDescent="0.2">
      <c r="A16" s="562">
        <v>1</v>
      </c>
      <c r="B16" s="569" t="s">
        <v>228</v>
      </c>
      <c r="C16" s="155">
        <v>500</v>
      </c>
      <c r="D16" s="155"/>
      <c r="E16" s="155">
        <v>315</v>
      </c>
      <c r="F16" s="155"/>
      <c r="G16" s="155">
        <f>+E16+F16</f>
        <v>315</v>
      </c>
      <c r="H16" s="155"/>
      <c r="I16" s="209">
        <f>+H16/G16</f>
        <v>0</v>
      </c>
      <c r="J16" s="155"/>
      <c r="K16" s="155">
        <f>+G16+J16</f>
        <v>315</v>
      </c>
      <c r="L16" s="155"/>
      <c r="M16" s="155">
        <f>+K16+L16</f>
        <v>315</v>
      </c>
      <c r="N16" s="155"/>
      <c r="O16" s="155">
        <f t="shared" si="7"/>
        <v>315</v>
      </c>
      <c r="Q16" s="599">
        <f>+C16</f>
        <v>500</v>
      </c>
      <c r="R16" s="600"/>
      <c r="S16" s="600"/>
      <c r="T16" s="600"/>
      <c r="U16" s="601"/>
      <c r="V16" s="600"/>
    </row>
    <row r="17" spans="1:22" s="152" customFormat="1" x14ac:dyDescent="0.2">
      <c r="A17" s="808">
        <v>2</v>
      </c>
      <c r="B17" s="807" t="s">
        <v>501</v>
      </c>
      <c r="C17" s="706">
        <v>981</v>
      </c>
      <c r="D17" s="564"/>
      <c r="E17" s="564"/>
      <c r="F17" s="564"/>
      <c r="G17" s="564"/>
      <c r="H17" s="564"/>
      <c r="I17" s="565"/>
      <c r="J17" s="564"/>
      <c r="K17" s="564"/>
      <c r="L17" s="564"/>
      <c r="M17" s="564"/>
      <c r="N17" s="564"/>
      <c r="O17" s="564"/>
      <c r="Q17" s="599"/>
      <c r="R17" s="600"/>
      <c r="S17" s="600"/>
      <c r="T17" s="600"/>
      <c r="U17" s="601"/>
      <c r="V17" s="600"/>
    </row>
    <row r="18" spans="1:22" s="152" customFormat="1" x14ac:dyDescent="0.2">
      <c r="A18" s="808">
        <v>3</v>
      </c>
      <c r="B18" s="559" t="s">
        <v>497</v>
      </c>
      <c r="C18" s="154">
        <v>2599</v>
      </c>
      <c r="D18" s="564"/>
      <c r="E18" s="564"/>
      <c r="F18" s="564"/>
      <c r="G18" s="564"/>
      <c r="H18" s="564"/>
      <c r="I18" s="565"/>
      <c r="J18" s="564"/>
      <c r="K18" s="564"/>
      <c r="L18" s="564"/>
      <c r="M18" s="564"/>
      <c r="N18" s="564"/>
      <c r="O18" s="564"/>
      <c r="Q18" s="599">
        <f>+C18</f>
        <v>2599</v>
      </c>
      <c r="R18" s="600"/>
      <c r="S18" s="600"/>
      <c r="T18" s="600"/>
      <c r="U18" s="601"/>
      <c r="V18" s="600"/>
    </row>
    <row r="19" spans="1:22" s="152" customFormat="1" x14ac:dyDescent="0.2">
      <c r="A19" s="808">
        <v>4</v>
      </c>
      <c r="B19" s="559" t="s">
        <v>495</v>
      </c>
      <c r="C19" s="154">
        <v>13046</v>
      </c>
      <c r="D19" s="564"/>
      <c r="E19" s="564"/>
      <c r="F19" s="564"/>
      <c r="G19" s="564"/>
      <c r="H19" s="564"/>
      <c r="I19" s="565"/>
      <c r="J19" s="564"/>
      <c r="K19" s="564"/>
      <c r="L19" s="564"/>
      <c r="M19" s="564"/>
      <c r="N19" s="564"/>
      <c r="O19" s="564"/>
      <c r="Q19" s="599"/>
      <c r="R19" s="600"/>
      <c r="S19" s="600"/>
      <c r="T19" s="600"/>
      <c r="U19" s="601"/>
      <c r="V19" s="600"/>
    </row>
    <row r="20" spans="1:22" s="152" customFormat="1" x14ac:dyDescent="0.2">
      <c r="A20" s="808">
        <v>5</v>
      </c>
      <c r="B20" s="559" t="s">
        <v>448</v>
      </c>
      <c r="C20" s="154">
        <v>4025</v>
      </c>
      <c r="D20" s="564"/>
      <c r="E20" s="564"/>
      <c r="F20" s="564"/>
      <c r="G20" s="564"/>
      <c r="H20" s="564"/>
      <c r="I20" s="565"/>
      <c r="J20" s="564"/>
      <c r="K20" s="564"/>
      <c r="L20" s="564"/>
      <c r="M20" s="564"/>
      <c r="N20" s="564"/>
      <c r="O20" s="564"/>
      <c r="Q20" s="599"/>
      <c r="R20" s="600"/>
      <c r="S20" s="600"/>
      <c r="T20" s="600"/>
      <c r="U20" s="601"/>
      <c r="V20" s="600"/>
    </row>
    <row r="21" spans="1:22" s="152" customFormat="1" x14ac:dyDescent="0.2">
      <c r="A21" s="808">
        <v>6</v>
      </c>
      <c r="B21" s="559" t="s">
        <v>496</v>
      </c>
      <c r="C21" s="154">
        <v>26500</v>
      </c>
      <c r="D21" s="564"/>
      <c r="E21" s="564"/>
      <c r="F21" s="564"/>
      <c r="G21" s="564"/>
      <c r="H21" s="564"/>
      <c r="I21" s="565"/>
      <c r="J21" s="564"/>
      <c r="K21" s="564"/>
      <c r="L21" s="564"/>
      <c r="M21" s="564"/>
      <c r="N21" s="564"/>
      <c r="O21" s="564"/>
      <c r="P21" s="778"/>
      <c r="Q21" s="599">
        <f>+C21</f>
        <v>26500</v>
      </c>
      <c r="R21" s="600"/>
      <c r="S21" s="600"/>
      <c r="T21" s="600"/>
      <c r="U21" s="601"/>
      <c r="V21" s="600"/>
    </row>
    <row r="22" spans="1:22" s="152" customFormat="1" ht="13.5" thickBot="1" x14ac:dyDescent="0.25">
      <c r="A22" s="554">
        <v>7</v>
      </c>
      <c r="B22" s="559" t="s">
        <v>481</v>
      </c>
      <c r="C22" s="154">
        <v>1100</v>
      </c>
      <c r="D22" s="564"/>
      <c r="E22" s="564"/>
      <c r="F22" s="564"/>
      <c r="G22" s="564"/>
      <c r="H22" s="564"/>
      <c r="I22" s="565"/>
      <c r="J22" s="564"/>
      <c r="K22" s="564"/>
      <c r="L22" s="564"/>
      <c r="M22" s="564"/>
      <c r="N22" s="564"/>
      <c r="O22" s="564"/>
      <c r="P22" s="778"/>
      <c r="Q22" s="599"/>
      <c r="R22" s="600"/>
      <c r="S22" s="600"/>
      <c r="T22" s="600"/>
      <c r="U22" s="601"/>
      <c r="V22" s="600"/>
    </row>
    <row r="23" spans="1:22" ht="24.75" customHeight="1" thickBot="1" x14ac:dyDescent="0.25">
      <c r="A23" s="560"/>
      <c r="B23" s="626" t="s">
        <v>457</v>
      </c>
      <c r="C23" s="707">
        <f>SUM(C16:C22)</f>
        <v>48751</v>
      </c>
      <c r="D23" s="561">
        <f t="shared" ref="D23:N23" si="8">SUM(D16:D16)</f>
        <v>0</v>
      </c>
      <c r="E23" s="561">
        <f t="shared" si="8"/>
        <v>315</v>
      </c>
      <c r="F23" s="561">
        <f t="shared" si="8"/>
        <v>0</v>
      </c>
      <c r="G23" s="561">
        <f t="shared" si="8"/>
        <v>315</v>
      </c>
      <c r="H23" s="561">
        <f t="shared" si="8"/>
        <v>0</v>
      </c>
      <c r="I23" s="561">
        <f t="shared" si="8"/>
        <v>0</v>
      </c>
      <c r="J23" s="561">
        <f t="shared" si="8"/>
        <v>0</v>
      </c>
      <c r="K23" s="561">
        <f t="shared" si="8"/>
        <v>315</v>
      </c>
      <c r="L23" s="561">
        <f t="shared" si="8"/>
        <v>0</v>
      </c>
      <c r="M23" s="561">
        <f t="shared" si="8"/>
        <v>315</v>
      </c>
      <c r="N23" s="561">
        <f t="shared" si="8"/>
        <v>0</v>
      </c>
      <c r="O23" s="561">
        <f t="shared" si="7"/>
        <v>315</v>
      </c>
    </row>
    <row r="24" spans="1:22" ht="13.5" thickBot="1" x14ac:dyDescent="0.25">
      <c r="A24" s="9"/>
      <c r="B24" s="148"/>
      <c r="C24" s="148"/>
      <c r="D24" s="148"/>
      <c r="E24" s="148"/>
      <c r="F24" s="148"/>
      <c r="G24" s="148"/>
      <c r="H24" s="148"/>
      <c r="I24" s="207"/>
      <c r="J24" s="148"/>
      <c r="K24" s="148"/>
      <c r="L24" s="148"/>
      <c r="M24" s="208">
        <f>+K24+L24</f>
        <v>0</v>
      </c>
      <c r="N24" s="148"/>
      <c r="O24" s="148">
        <f t="shared" si="7"/>
        <v>0</v>
      </c>
      <c r="Q24" s="604">
        <f>SUM(Q16:Q23)</f>
        <v>29599</v>
      </c>
    </row>
    <row r="25" spans="1:22" ht="24.75" customHeight="1" thickBot="1" x14ac:dyDescent="0.25">
      <c r="A25" s="560"/>
      <c r="B25" s="626" t="s">
        <v>188</v>
      </c>
      <c r="C25" s="707">
        <f>+C13+C23</f>
        <v>69581</v>
      </c>
      <c r="D25" s="561">
        <f>+D13+D23</f>
        <v>0</v>
      </c>
      <c r="E25" s="561">
        <f>+E13+E23</f>
        <v>18945</v>
      </c>
      <c r="F25" s="561">
        <f>+F13+F23</f>
        <v>0</v>
      </c>
      <c r="G25" s="561">
        <f>+E25+F25</f>
        <v>18945</v>
      </c>
      <c r="H25" s="561">
        <f>+H13+H23</f>
        <v>0</v>
      </c>
      <c r="I25" s="563">
        <f>+H25/G25</f>
        <v>0</v>
      </c>
      <c r="J25" s="561">
        <f>+J13+J23</f>
        <v>0</v>
      </c>
      <c r="K25" s="561">
        <f>+G25+J25</f>
        <v>18945</v>
      </c>
      <c r="L25" s="561">
        <f>+L13+L23</f>
        <v>0</v>
      </c>
      <c r="M25" s="561">
        <f>+K25+L25</f>
        <v>18945</v>
      </c>
      <c r="N25" s="561">
        <f>+N13+N23</f>
        <v>0</v>
      </c>
      <c r="O25" s="561">
        <f t="shared" si="7"/>
        <v>18945</v>
      </c>
      <c r="Q25" s="604">
        <f>+Q13+Q24</f>
        <v>50429</v>
      </c>
      <c r="R25" s="604">
        <f>SUM(R13:R24)</f>
        <v>0</v>
      </c>
      <c r="S25" s="594">
        <f>+Q25+R25</f>
        <v>50429</v>
      </c>
    </row>
  </sheetData>
  <phoneticPr fontId="11" type="noConversion"/>
  <printOptions horizontalCentered="1"/>
  <pageMargins left="0.47244094488188981" right="0.6692913385826772" top="1.2598425196850394" bottom="0.98425196850393704" header="0.51181102362204722" footer="0.51181102362204722"/>
  <pageSetup paperSize="9" orientation="landscape" r:id="rId1"/>
  <headerFooter alignWithMargins="0">
    <oddHeader>&amp;L7.sz.melléklet&amp;C&amp;"Arial,Félkövér"&amp;12Nagykovácsi Nagyközség Önkormányzatának 
2021. évi működési célú pénzeszköz átadási előirányzata&amp;Radatok  eFt-ban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1"/>
  <sheetViews>
    <sheetView zoomScaleNormal="100" workbookViewId="0">
      <selection activeCell="F14" sqref="F14"/>
    </sheetView>
  </sheetViews>
  <sheetFormatPr defaultRowHeight="12.75" x14ac:dyDescent="0.2"/>
  <cols>
    <col min="1" max="1" width="8.140625" style="3" customWidth="1"/>
    <col min="2" max="2" width="72.5703125" style="3" bestFit="1" customWidth="1"/>
    <col min="3" max="3" width="13.7109375" style="3" customWidth="1"/>
  </cols>
  <sheetData>
    <row r="2" spans="1:4" ht="15.75" thickBot="1" x14ac:dyDescent="0.3">
      <c r="A2" s="11"/>
      <c r="B2" s="546"/>
      <c r="C2" s="11"/>
      <c r="D2" s="1"/>
    </row>
    <row r="3" spans="1:4" x14ac:dyDescent="0.2">
      <c r="A3" s="547" t="s">
        <v>134</v>
      </c>
      <c r="B3" s="548" t="s">
        <v>135</v>
      </c>
      <c r="C3" s="549" t="s">
        <v>494</v>
      </c>
      <c r="D3" s="1"/>
    </row>
    <row r="4" spans="1:4" ht="13.5" thickBot="1" x14ac:dyDescent="0.25">
      <c r="A4" s="551"/>
      <c r="B4" s="552"/>
      <c r="C4" s="553" t="s">
        <v>139</v>
      </c>
      <c r="D4" s="1"/>
    </row>
    <row r="5" spans="1:4" x14ac:dyDescent="0.2">
      <c r="A5" s="657">
        <v>1</v>
      </c>
      <c r="B5" s="543"/>
      <c r="C5" s="804"/>
      <c r="D5" s="1"/>
    </row>
    <row r="6" spans="1:4" ht="13.5" thickBot="1" x14ac:dyDescent="0.25">
      <c r="A6" s="658">
        <v>2</v>
      </c>
      <c r="B6" s="659"/>
      <c r="C6" s="804"/>
      <c r="D6" s="1"/>
    </row>
    <row r="7" spans="1:4" ht="13.5" thickBot="1" x14ac:dyDescent="0.25">
      <c r="A7" s="560"/>
      <c r="B7" s="626" t="s">
        <v>459</v>
      </c>
      <c r="C7" s="805">
        <f>SUM(C5:C6)</f>
        <v>0</v>
      </c>
      <c r="D7" s="1"/>
    </row>
    <row r="8" spans="1:4" x14ac:dyDescent="0.2">
      <c r="A8" s="539"/>
      <c r="B8" s="153"/>
      <c r="C8" s="148"/>
      <c r="D8" s="1"/>
    </row>
    <row r="9" spans="1:4" x14ac:dyDescent="0.2">
      <c r="A9" s="148"/>
      <c r="B9" s="153"/>
      <c r="C9" s="148"/>
      <c r="D9" s="1"/>
    </row>
    <row r="10" spans="1:4" x14ac:dyDescent="0.2">
      <c r="A10" s="11"/>
      <c r="B10" s="11"/>
      <c r="C10" s="11"/>
      <c r="D10" s="1"/>
    </row>
    <row r="11" spans="1:4" x14ac:dyDescent="0.2">
      <c r="A11" s="11"/>
      <c r="B11" s="11"/>
      <c r="C11" s="11"/>
      <c r="D11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Header>&amp;L7.2. sz. táblázat &amp;C&amp;"Arial,Félkövér"&amp;12Nagykovácsi Nagyközség Önkormányzatának 
2020. évi felhalmozási célú pénzeszköz átadási előirányzata&amp;Radatok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1"/>
  <sheetViews>
    <sheetView zoomScaleNormal="100" workbookViewId="0">
      <selection activeCell="K32" sqref="K32"/>
    </sheetView>
  </sheetViews>
  <sheetFormatPr defaultRowHeight="15" x14ac:dyDescent="0.25"/>
  <cols>
    <col min="1" max="1" width="73.7109375" style="330" customWidth="1"/>
    <col min="2" max="2" width="24.5703125" style="331" bestFit="1" customWidth="1"/>
  </cols>
  <sheetData>
    <row r="1" spans="1:5" ht="15.75" thickBot="1" x14ac:dyDescent="0.3">
      <c r="A1" s="326" t="s">
        <v>206</v>
      </c>
      <c r="B1" s="327"/>
      <c r="C1" s="3"/>
      <c r="D1" s="3"/>
      <c r="E1" s="3"/>
    </row>
    <row r="2" spans="1:5" ht="15.75" thickBot="1" x14ac:dyDescent="0.3">
      <c r="A2" s="328"/>
      <c r="B2" s="329" t="s">
        <v>418</v>
      </c>
      <c r="C2" s="3"/>
      <c r="D2" s="3"/>
      <c r="E2" s="3"/>
    </row>
    <row r="3" spans="1:5" x14ac:dyDescent="0.25">
      <c r="A3" s="695" t="s">
        <v>207</v>
      </c>
      <c r="B3" s="809">
        <v>57198</v>
      </c>
      <c r="C3" s="3"/>
      <c r="D3" s="3"/>
      <c r="E3" s="3"/>
    </row>
    <row r="4" spans="1:5" ht="15.75" thickBot="1" x14ac:dyDescent="0.3">
      <c r="A4" s="694" t="s">
        <v>411</v>
      </c>
      <c r="B4" s="810">
        <f>+B16</f>
        <v>18900</v>
      </c>
      <c r="C4" s="3"/>
      <c r="D4" s="3"/>
      <c r="E4" s="3"/>
    </row>
    <row r="5" spans="1:5" ht="15" customHeight="1" thickBot="1" x14ac:dyDescent="0.3">
      <c r="A5" s="811" t="s">
        <v>208</v>
      </c>
      <c r="B5" s="810">
        <f>+B3+B4</f>
        <v>76098</v>
      </c>
      <c r="C5" s="3"/>
      <c r="D5" s="3"/>
      <c r="E5" s="3"/>
    </row>
    <row r="6" spans="1:5" x14ac:dyDescent="0.25">
      <c r="C6" s="3"/>
      <c r="D6" s="3"/>
      <c r="E6" s="3"/>
    </row>
    <row r="7" spans="1:5" x14ac:dyDescent="0.25">
      <c r="C7" s="3"/>
      <c r="D7" s="3"/>
      <c r="E7" s="3"/>
    </row>
    <row r="8" spans="1:5" ht="12.75" x14ac:dyDescent="0.2">
      <c r="A8" s="574" t="s">
        <v>419</v>
      </c>
      <c r="B8" s="104"/>
      <c r="C8" s="3"/>
      <c r="D8" s="3"/>
      <c r="E8" s="3"/>
    </row>
    <row r="9" spans="1:5" x14ac:dyDescent="0.25">
      <c r="B9" s="812"/>
      <c r="C9" s="3"/>
      <c r="D9" s="3"/>
      <c r="E9" s="3"/>
    </row>
    <row r="10" spans="1:5" ht="12.75" x14ac:dyDescent="0.2">
      <c r="A10" s="627" t="s">
        <v>438</v>
      </c>
      <c r="B10" s="812">
        <v>10000</v>
      </c>
      <c r="C10" s="3"/>
      <c r="D10" s="3"/>
      <c r="E10" s="3"/>
    </row>
    <row r="11" spans="1:5" ht="12.75" x14ac:dyDescent="0.2">
      <c r="A11" s="627" t="s">
        <v>500</v>
      </c>
      <c r="B11" s="812">
        <v>5000</v>
      </c>
      <c r="C11" s="3"/>
      <c r="D11" s="3"/>
      <c r="E11" s="3"/>
    </row>
    <row r="12" spans="1:5" ht="12.75" x14ac:dyDescent="0.2">
      <c r="A12" s="627" t="s">
        <v>503</v>
      </c>
      <c r="B12" s="812">
        <v>500</v>
      </c>
      <c r="C12" s="3"/>
      <c r="D12" s="3"/>
      <c r="E12" s="3"/>
    </row>
    <row r="13" spans="1:5" ht="12.75" x14ac:dyDescent="0.2">
      <c r="A13" s="627" t="s">
        <v>504</v>
      </c>
      <c r="B13" s="812">
        <v>3400</v>
      </c>
      <c r="C13" s="3"/>
      <c r="D13" s="3"/>
      <c r="E13" s="3"/>
    </row>
    <row r="14" spans="1:5" ht="12.75" x14ac:dyDescent="0.2">
      <c r="A14" s="627"/>
      <c r="B14" s="812"/>
      <c r="C14" s="3"/>
      <c r="D14" s="3"/>
      <c r="E14" s="3"/>
    </row>
    <row r="15" spans="1:5" ht="13.15" customHeight="1" x14ac:dyDescent="0.2">
      <c r="A15" s="627"/>
      <c r="B15" s="812"/>
      <c r="C15" s="3"/>
      <c r="D15" s="3"/>
      <c r="E15" s="3"/>
    </row>
    <row r="16" spans="1:5" x14ac:dyDescent="0.25">
      <c r="A16" s="573" t="s">
        <v>421</v>
      </c>
      <c r="B16" s="813">
        <f>SUM(B9:B15)</f>
        <v>18900</v>
      </c>
      <c r="C16" s="3"/>
      <c r="D16" s="3"/>
      <c r="E16" s="3"/>
    </row>
    <row r="17" spans="3:5" x14ac:dyDescent="0.25">
      <c r="C17" s="3"/>
      <c r="D17" s="3"/>
      <c r="E17" s="3"/>
    </row>
    <row r="18" spans="3:5" x14ac:dyDescent="0.25">
      <c r="C18" s="3"/>
      <c r="D18" s="3"/>
      <c r="E18" s="3"/>
    </row>
    <row r="19" spans="3:5" x14ac:dyDescent="0.25">
      <c r="C19" s="3"/>
      <c r="D19" s="3"/>
      <c r="E19" s="3"/>
    </row>
    <row r="20" spans="3:5" x14ac:dyDescent="0.25">
      <c r="C20" s="3"/>
      <c r="D20" s="3"/>
      <c r="E20" s="3"/>
    </row>
    <row r="21" spans="3:5" x14ac:dyDescent="0.25">
      <c r="C21" s="3"/>
      <c r="D21" s="3"/>
      <c r="E21" s="3"/>
    </row>
  </sheetData>
  <phoneticPr fontId="11" type="noConversion"/>
  <printOptions horizontalCentered="1"/>
  <pageMargins left="0.74803149606299213" right="0.74803149606299213" top="1.5748031496062993" bottom="0.98425196850393704" header="0.51181102362204722" footer="0.51181102362204722"/>
  <pageSetup paperSize="9" orientation="landscape" r:id="rId1"/>
  <headerFooter alignWithMargins="0">
    <oddHeader>&amp;L8. sz. melléklet&amp;C&amp;"Arial,Félkövér"&amp;12 
Nagykovácsi Nagyközség Önkormányzatának tartalékai 2021. év</oddHeader>
  </headerFooter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"/>
  <dimension ref="A1:O27"/>
  <sheetViews>
    <sheetView zoomScale="90" zoomScaleNormal="90" workbookViewId="0">
      <selection activeCell="A31" sqref="A31"/>
    </sheetView>
  </sheetViews>
  <sheetFormatPr defaultRowHeight="12.75" x14ac:dyDescent="0.2"/>
  <cols>
    <col min="1" max="1" width="57.7109375" style="149" bestFit="1" customWidth="1"/>
    <col min="2" max="2" width="13.28515625" style="150" customWidth="1"/>
    <col min="3" max="3" width="11.7109375" style="149" bestFit="1" customWidth="1"/>
    <col min="4" max="4" width="11.5703125" style="149" bestFit="1" customWidth="1"/>
    <col min="5" max="5" width="12.140625" style="149" bestFit="1" customWidth="1"/>
    <col min="6" max="8" width="11.5703125" style="149" bestFit="1" customWidth="1"/>
    <col min="9" max="9" width="10.42578125" style="149" customWidth="1"/>
    <col min="10" max="10" width="11.7109375" style="149" bestFit="1" customWidth="1"/>
    <col min="11" max="11" width="12.140625" style="149" bestFit="1" customWidth="1"/>
    <col min="12" max="13" width="11.5703125" style="149" bestFit="1" customWidth="1"/>
    <col min="14" max="14" width="11.7109375" style="149" bestFit="1" customWidth="1"/>
    <col min="15" max="15" width="10.85546875" style="149" customWidth="1"/>
    <col min="16" max="16384" width="9.140625" style="149"/>
  </cols>
  <sheetData>
    <row r="1" spans="1:15" ht="30.75" customHeight="1" thickBot="1" x14ac:dyDescent="0.25">
      <c r="A1" s="59" t="s">
        <v>98</v>
      </c>
      <c r="B1" s="527" t="s">
        <v>524</v>
      </c>
      <c r="C1" s="528" t="s">
        <v>102</v>
      </c>
      <c r="D1" s="528" t="s">
        <v>103</v>
      </c>
      <c r="E1" s="528" t="s">
        <v>104</v>
      </c>
      <c r="F1" s="528" t="s">
        <v>105</v>
      </c>
      <c r="G1" s="528" t="s">
        <v>106</v>
      </c>
      <c r="H1" s="528" t="s">
        <v>107</v>
      </c>
      <c r="I1" s="528" t="s">
        <v>108</v>
      </c>
      <c r="J1" s="528" t="s">
        <v>109</v>
      </c>
      <c r="K1" s="528" t="s">
        <v>110</v>
      </c>
      <c r="L1" s="528" t="s">
        <v>111</v>
      </c>
      <c r="M1" s="528" t="s">
        <v>112</v>
      </c>
      <c r="N1" s="528" t="s">
        <v>113</v>
      </c>
      <c r="O1" s="389" t="s">
        <v>462</v>
      </c>
    </row>
    <row r="2" spans="1:15" x14ac:dyDescent="0.2">
      <c r="A2" s="697" t="s">
        <v>365</v>
      </c>
      <c r="B2" s="333">
        <f>+'3. sz. m._kiadások-bevételek'!P9</f>
        <v>615897</v>
      </c>
      <c r="C2" s="536">
        <f>+$B2/12</f>
        <v>51324.75</v>
      </c>
      <c r="D2" s="536">
        <f t="shared" ref="D2:N2" si="0">+$B2/12</f>
        <v>51324.75</v>
      </c>
      <c r="E2" s="536">
        <f t="shared" si="0"/>
        <v>51324.75</v>
      </c>
      <c r="F2" s="536">
        <f t="shared" si="0"/>
        <v>51324.75</v>
      </c>
      <c r="G2" s="536">
        <f t="shared" si="0"/>
        <v>51324.75</v>
      </c>
      <c r="H2" s="536">
        <f t="shared" si="0"/>
        <v>51324.75</v>
      </c>
      <c r="I2" s="536">
        <f t="shared" si="0"/>
        <v>51324.75</v>
      </c>
      <c r="J2" s="536">
        <f t="shared" si="0"/>
        <v>51324.75</v>
      </c>
      <c r="K2" s="536">
        <f t="shared" si="0"/>
        <v>51324.75</v>
      </c>
      <c r="L2" s="536">
        <f t="shared" si="0"/>
        <v>51324.75</v>
      </c>
      <c r="M2" s="536">
        <f t="shared" si="0"/>
        <v>51324.75</v>
      </c>
      <c r="N2" s="536">
        <f t="shared" si="0"/>
        <v>51324.75</v>
      </c>
      <c r="O2" s="143">
        <f t="shared" ref="O2:O7" si="1">SUM(C2:N2)</f>
        <v>615897</v>
      </c>
    </row>
    <row r="3" spans="1:15" x14ac:dyDescent="0.2">
      <c r="A3" s="698" t="s">
        <v>232</v>
      </c>
      <c r="B3" s="333">
        <f>+'3. sz. m._kiadások-bevételek'!P12</f>
        <v>494300</v>
      </c>
      <c r="C3" s="536">
        <f>+$B$3*0.078</f>
        <v>38555.4</v>
      </c>
      <c r="D3" s="536">
        <f>+$B$3*0.009</f>
        <v>4448.7</v>
      </c>
      <c r="E3" s="536">
        <f>+$B$3*0.27</f>
        <v>133461</v>
      </c>
      <c r="F3" s="536">
        <f>+$B$3*0.067</f>
        <v>33118.1</v>
      </c>
      <c r="G3" s="536">
        <f>+$B$3*0.068</f>
        <v>33612.400000000001</v>
      </c>
      <c r="H3" s="536">
        <f>+$B$3*0.045</f>
        <v>22243.5</v>
      </c>
      <c r="I3" s="536">
        <f>+$B$3*0.034</f>
        <v>16806.2</v>
      </c>
      <c r="J3" s="536">
        <f>+$B$3*0.061</f>
        <v>30152.3</v>
      </c>
      <c r="K3" s="536">
        <f>+$B$3*0.202</f>
        <v>99848.6</v>
      </c>
      <c r="L3" s="536">
        <f>+$B$3*0.046</f>
        <v>22737.8</v>
      </c>
      <c r="M3" s="536">
        <f>+$B$3*0.058</f>
        <v>28669.4</v>
      </c>
      <c r="N3" s="536">
        <f>+$B$3*0.062</f>
        <v>30646.6</v>
      </c>
      <c r="O3" s="537">
        <f t="shared" si="1"/>
        <v>494299.99999999994</v>
      </c>
    </row>
    <row r="4" spans="1:15" x14ac:dyDescent="0.2">
      <c r="A4" s="698" t="s">
        <v>525</v>
      </c>
      <c r="B4" s="333">
        <f>+'3. sz. m._kiadások-bevételek'!P16+'3. sz. m._kiadások-bevételek'!D17</f>
        <v>173156</v>
      </c>
      <c r="C4" s="536">
        <f>+$B$4*0.078</f>
        <v>13506.168</v>
      </c>
      <c r="D4" s="536">
        <f>+$B$4*0.009</f>
        <v>1558.4039999999998</v>
      </c>
      <c r="E4" s="536">
        <f>+$B$4*0.27</f>
        <v>46752.12</v>
      </c>
      <c r="F4" s="536">
        <f>+$B$4*0.067</f>
        <v>11601.452000000001</v>
      </c>
      <c r="G4" s="536">
        <f>+$B$4*0.068</f>
        <v>11774.608</v>
      </c>
      <c r="H4" s="536">
        <f>+$B$4*0.045</f>
        <v>7792.0199999999995</v>
      </c>
      <c r="I4" s="536">
        <f>+$B$4*0.034</f>
        <v>5887.3040000000001</v>
      </c>
      <c r="J4" s="536">
        <f>+$B$4*0.061</f>
        <v>10562.516</v>
      </c>
      <c r="K4" s="536">
        <f>+$B$4*0.202</f>
        <v>34977.512000000002</v>
      </c>
      <c r="L4" s="536">
        <f>+$B$4*0.046</f>
        <v>7965.1759999999995</v>
      </c>
      <c r="M4" s="536">
        <f>+$B$4*0.058</f>
        <v>10043.048000000001</v>
      </c>
      <c r="N4" s="536">
        <f>+$B$4*0.062</f>
        <v>10735.672</v>
      </c>
      <c r="O4" s="537">
        <f t="shared" si="1"/>
        <v>173156.00000000003</v>
      </c>
    </row>
    <row r="5" spans="1:15" x14ac:dyDescent="0.2">
      <c r="A5" s="697" t="s">
        <v>383</v>
      </c>
      <c r="B5" s="333">
        <f>+'3. sz. m._kiadások-bevételek'!D20</f>
        <v>295859</v>
      </c>
      <c r="C5" s="536">
        <f t="shared" ref="C5:N5" si="2">+$B$5/12</f>
        <v>24654.916666666668</v>
      </c>
      <c r="D5" s="536">
        <f t="shared" si="2"/>
        <v>24654.916666666668</v>
      </c>
      <c r="E5" s="536">
        <f t="shared" si="2"/>
        <v>24654.916666666668</v>
      </c>
      <c r="F5" s="536">
        <f t="shared" si="2"/>
        <v>24654.916666666668</v>
      </c>
      <c r="G5" s="536">
        <f t="shared" si="2"/>
        <v>24654.916666666668</v>
      </c>
      <c r="H5" s="536">
        <f t="shared" si="2"/>
        <v>24654.916666666668</v>
      </c>
      <c r="I5" s="536">
        <f t="shared" si="2"/>
        <v>24654.916666666668</v>
      </c>
      <c r="J5" s="536">
        <f t="shared" si="2"/>
        <v>24654.916666666668</v>
      </c>
      <c r="K5" s="536">
        <f t="shared" si="2"/>
        <v>24654.916666666668</v>
      </c>
      <c r="L5" s="536">
        <f t="shared" si="2"/>
        <v>24654.916666666668</v>
      </c>
      <c r="M5" s="536">
        <f t="shared" si="2"/>
        <v>24654.916666666668</v>
      </c>
      <c r="N5" s="536">
        <f t="shared" si="2"/>
        <v>24654.916666666668</v>
      </c>
      <c r="O5" s="537">
        <f t="shared" si="1"/>
        <v>295859</v>
      </c>
    </row>
    <row r="6" spans="1:15" x14ac:dyDescent="0.2">
      <c r="A6" s="697" t="s">
        <v>97</v>
      </c>
      <c r="B6" s="333">
        <f>+'3. sz. m._kiadások-bevételek'!P23</f>
        <v>0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7">
        <f t="shared" si="1"/>
        <v>0</v>
      </c>
    </row>
    <row r="7" spans="1:15" s="150" customFormat="1" ht="13.5" thickBot="1" x14ac:dyDescent="0.25">
      <c r="A7" s="699" t="s">
        <v>413</v>
      </c>
      <c r="B7" s="333">
        <f>+'3. sz. m._kiadások-bevételek'!P33</f>
        <v>620930</v>
      </c>
      <c r="C7" s="536">
        <v>55304</v>
      </c>
      <c r="D7" s="536">
        <v>101448</v>
      </c>
      <c r="E7" s="536"/>
      <c r="F7" s="536"/>
      <c r="G7" s="536">
        <v>61978</v>
      </c>
      <c r="H7" s="536">
        <v>77330</v>
      </c>
      <c r="I7" s="536">
        <v>84672</v>
      </c>
      <c r="J7" s="536">
        <v>66651</v>
      </c>
      <c r="K7" s="536">
        <v>0</v>
      </c>
      <c r="L7" s="536">
        <v>38911</v>
      </c>
      <c r="M7" s="536">
        <v>68653</v>
      </c>
      <c r="N7" s="536">
        <v>65983</v>
      </c>
      <c r="O7" s="229">
        <f t="shared" si="1"/>
        <v>620930</v>
      </c>
    </row>
    <row r="8" spans="1:15" ht="15" customHeight="1" thickBot="1" x14ac:dyDescent="0.25">
      <c r="A8" s="58" t="s">
        <v>99</v>
      </c>
      <c r="B8" s="146">
        <f t="shared" ref="B8:O8" si="3">SUM(B2:B7)</f>
        <v>2200142</v>
      </c>
      <c r="C8" s="146">
        <f t="shared" si="3"/>
        <v>183345.23466666666</v>
      </c>
      <c r="D8" s="146">
        <f t="shared" si="3"/>
        <v>183434.77066666668</v>
      </c>
      <c r="E8" s="146">
        <f t="shared" si="3"/>
        <v>256192.78666666665</v>
      </c>
      <c r="F8" s="146">
        <f t="shared" si="3"/>
        <v>120699.21866666668</v>
      </c>
      <c r="G8" s="146">
        <f t="shared" si="3"/>
        <v>183344.67466666666</v>
      </c>
      <c r="H8" s="146">
        <f t="shared" si="3"/>
        <v>183345.18666666668</v>
      </c>
      <c r="I8" s="146">
        <f t="shared" si="3"/>
        <v>183345.17066666667</v>
      </c>
      <c r="J8" s="146">
        <f t="shared" si="3"/>
        <v>183345.48266666668</v>
      </c>
      <c r="K8" s="146">
        <f t="shared" si="3"/>
        <v>210805.77866666668</v>
      </c>
      <c r="L8" s="146">
        <f t="shared" si="3"/>
        <v>145593.64266666665</v>
      </c>
      <c r="M8" s="146">
        <f t="shared" si="3"/>
        <v>183345.11466666666</v>
      </c>
      <c r="N8" s="146">
        <f t="shared" si="3"/>
        <v>183344.93866666668</v>
      </c>
      <c r="O8" s="146">
        <f t="shared" si="3"/>
        <v>2200142</v>
      </c>
    </row>
    <row r="9" spans="1:15" ht="36.75" customHeight="1" thickBot="1" x14ac:dyDescent="0.25">
      <c r="A9" s="58" t="s">
        <v>100</v>
      </c>
      <c r="B9" s="527" t="s">
        <v>524</v>
      </c>
      <c r="C9" s="529" t="s">
        <v>102</v>
      </c>
      <c r="D9" s="529" t="s">
        <v>103</v>
      </c>
      <c r="E9" s="529" t="s">
        <v>104</v>
      </c>
      <c r="F9" s="529" t="s">
        <v>105</v>
      </c>
      <c r="G9" s="529" t="s">
        <v>106</v>
      </c>
      <c r="H9" s="529" t="s">
        <v>107</v>
      </c>
      <c r="I9" s="529" t="s">
        <v>108</v>
      </c>
      <c r="J9" s="529" t="s">
        <v>109</v>
      </c>
      <c r="K9" s="529" t="s">
        <v>110</v>
      </c>
      <c r="L9" s="529" t="s">
        <v>111</v>
      </c>
      <c r="M9" s="529" t="s">
        <v>112</v>
      </c>
      <c r="N9" s="529" t="s">
        <v>113</v>
      </c>
      <c r="O9" s="530" t="s">
        <v>462</v>
      </c>
    </row>
    <row r="10" spans="1:15" x14ac:dyDescent="0.2">
      <c r="A10" s="700" t="s">
        <v>2</v>
      </c>
      <c r="B10" s="333">
        <f>+'3. sz. m._kiadások-bevételek'!P44</f>
        <v>608603</v>
      </c>
      <c r="C10" s="536">
        <f t="shared" ref="C10:N10" si="4">+$B$10/12</f>
        <v>50716.916666666664</v>
      </c>
      <c r="D10" s="536">
        <f t="shared" si="4"/>
        <v>50716.916666666664</v>
      </c>
      <c r="E10" s="536">
        <f t="shared" si="4"/>
        <v>50716.916666666664</v>
      </c>
      <c r="F10" s="536">
        <f t="shared" si="4"/>
        <v>50716.916666666664</v>
      </c>
      <c r="G10" s="536">
        <f t="shared" si="4"/>
        <v>50716.916666666664</v>
      </c>
      <c r="H10" s="536">
        <f t="shared" si="4"/>
        <v>50716.916666666664</v>
      </c>
      <c r="I10" s="536">
        <f t="shared" si="4"/>
        <v>50716.916666666664</v>
      </c>
      <c r="J10" s="536">
        <f t="shared" si="4"/>
        <v>50716.916666666664</v>
      </c>
      <c r="K10" s="536">
        <f t="shared" si="4"/>
        <v>50716.916666666664</v>
      </c>
      <c r="L10" s="536">
        <f t="shared" si="4"/>
        <v>50716.916666666664</v>
      </c>
      <c r="M10" s="536">
        <f t="shared" si="4"/>
        <v>50716.916666666664</v>
      </c>
      <c r="N10" s="536">
        <f t="shared" si="4"/>
        <v>50716.916666666664</v>
      </c>
      <c r="O10" s="538">
        <f>SUM(C10:N10)</f>
        <v>608603</v>
      </c>
    </row>
    <row r="11" spans="1:15" x14ac:dyDescent="0.2">
      <c r="A11" s="700" t="s">
        <v>463</v>
      </c>
      <c r="B11" s="333">
        <f>+'3. sz. m._kiadások-bevételek'!P45</f>
        <v>101524</v>
      </c>
      <c r="C11" s="536">
        <f>+$B$11/12</f>
        <v>8460.3333333333339</v>
      </c>
      <c r="D11" s="536">
        <f t="shared" ref="D11:N11" si="5">+$B$11/12</f>
        <v>8460.3333333333339</v>
      </c>
      <c r="E11" s="536">
        <f t="shared" si="5"/>
        <v>8460.3333333333339</v>
      </c>
      <c r="F11" s="536">
        <f t="shared" si="5"/>
        <v>8460.3333333333339</v>
      </c>
      <c r="G11" s="536">
        <f t="shared" si="5"/>
        <v>8460.3333333333339</v>
      </c>
      <c r="H11" s="536">
        <f t="shared" si="5"/>
        <v>8460.3333333333339</v>
      </c>
      <c r="I11" s="536">
        <f t="shared" si="5"/>
        <v>8460.3333333333339</v>
      </c>
      <c r="J11" s="536">
        <f t="shared" si="5"/>
        <v>8460.3333333333339</v>
      </c>
      <c r="K11" s="536">
        <f t="shared" si="5"/>
        <v>8460.3333333333339</v>
      </c>
      <c r="L11" s="536">
        <f t="shared" si="5"/>
        <v>8460.3333333333339</v>
      </c>
      <c r="M11" s="536">
        <f t="shared" si="5"/>
        <v>8460.3333333333339</v>
      </c>
      <c r="N11" s="536">
        <f t="shared" si="5"/>
        <v>8460.3333333333339</v>
      </c>
      <c r="O11" s="538">
        <f t="shared" ref="O11:O19" si="6">SUM(C11:N11)</f>
        <v>101523.99999999999</v>
      </c>
    </row>
    <row r="12" spans="1:15" x14ac:dyDescent="0.2">
      <c r="A12" s="700" t="s">
        <v>24</v>
      </c>
      <c r="B12" s="333">
        <f>+'3. sz. m._kiadások-bevételek'!P46</f>
        <v>527515</v>
      </c>
      <c r="C12" s="536">
        <f t="shared" ref="C12:N12" si="7">+$B$12/12</f>
        <v>43959.583333333336</v>
      </c>
      <c r="D12" s="536">
        <f t="shared" si="7"/>
        <v>43959.583333333336</v>
      </c>
      <c r="E12" s="536">
        <f>+$B$12/12</f>
        <v>43959.583333333336</v>
      </c>
      <c r="F12" s="536">
        <f t="shared" si="7"/>
        <v>43959.583333333336</v>
      </c>
      <c r="G12" s="536">
        <f t="shared" si="7"/>
        <v>43959.583333333336</v>
      </c>
      <c r="H12" s="536">
        <f t="shared" si="7"/>
        <v>43959.583333333336</v>
      </c>
      <c r="I12" s="536">
        <f t="shared" si="7"/>
        <v>43959.583333333336</v>
      </c>
      <c r="J12" s="536">
        <f t="shared" si="7"/>
        <v>43959.583333333336</v>
      </c>
      <c r="K12" s="536">
        <f t="shared" si="7"/>
        <v>43959.583333333336</v>
      </c>
      <c r="L12" s="536">
        <f t="shared" si="7"/>
        <v>43959.583333333336</v>
      </c>
      <c r="M12" s="536">
        <f t="shared" si="7"/>
        <v>43959.583333333336</v>
      </c>
      <c r="N12" s="536">
        <f t="shared" si="7"/>
        <v>43959.583333333336</v>
      </c>
      <c r="O12" s="538">
        <f t="shared" si="6"/>
        <v>527514.99999999988</v>
      </c>
    </row>
    <row r="13" spans="1:15" x14ac:dyDescent="0.2">
      <c r="A13" s="700" t="s">
        <v>407</v>
      </c>
      <c r="B13" s="333">
        <f>+'3. sz. m._kiadások-bevételek'!P47</f>
        <v>24494</v>
      </c>
      <c r="C13" s="536">
        <f>+$B13/12</f>
        <v>2041.1666666666667</v>
      </c>
      <c r="D13" s="536">
        <f t="shared" ref="D13:N13" si="8">+$B13/12</f>
        <v>2041.1666666666667</v>
      </c>
      <c r="E13" s="536">
        <f t="shared" si="8"/>
        <v>2041.1666666666667</v>
      </c>
      <c r="F13" s="536">
        <f t="shared" si="8"/>
        <v>2041.1666666666667</v>
      </c>
      <c r="G13" s="536">
        <f t="shared" si="8"/>
        <v>2041.1666666666667</v>
      </c>
      <c r="H13" s="536">
        <f t="shared" si="8"/>
        <v>2041.1666666666667</v>
      </c>
      <c r="I13" s="536">
        <f t="shared" si="8"/>
        <v>2041.1666666666667</v>
      </c>
      <c r="J13" s="536">
        <f t="shared" si="8"/>
        <v>2041.1666666666667</v>
      </c>
      <c r="K13" s="536">
        <f t="shared" si="8"/>
        <v>2041.1666666666667</v>
      </c>
      <c r="L13" s="536">
        <f t="shared" si="8"/>
        <v>2041.1666666666667</v>
      </c>
      <c r="M13" s="536">
        <f t="shared" si="8"/>
        <v>2041.1666666666667</v>
      </c>
      <c r="N13" s="536">
        <f t="shared" si="8"/>
        <v>2041.1666666666667</v>
      </c>
      <c r="O13" s="229">
        <f t="shared" si="6"/>
        <v>24494.000000000004</v>
      </c>
    </row>
    <row r="14" spans="1:15" x14ac:dyDescent="0.2">
      <c r="A14" s="700" t="s">
        <v>408</v>
      </c>
      <c r="B14" s="333">
        <f>+'3. sz. m._kiadások-bevételek'!P48</f>
        <v>146667</v>
      </c>
      <c r="C14" s="536">
        <f>+$B$14/12</f>
        <v>12222.25</v>
      </c>
      <c r="D14" s="536">
        <f t="shared" ref="D14:N14" si="9">+$B$14/12</f>
        <v>12222.25</v>
      </c>
      <c r="E14" s="536">
        <f t="shared" si="9"/>
        <v>12222.25</v>
      </c>
      <c r="F14" s="536">
        <f t="shared" si="9"/>
        <v>12222.25</v>
      </c>
      <c r="G14" s="536">
        <f t="shared" si="9"/>
        <v>12222.25</v>
      </c>
      <c r="H14" s="536">
        <f t="shared" si="9"/>
        <v>12222.25</v>
      </c>
      <c r="I14" s="536">
        <f t="shared" si="9"/>
        <v>12222.25</v>
      </c>
      <c r="J14" s="536">
        <f t="shared" si="9"/>
        <v>12222.25</v>
      </c>
      <c r="K14" s="536">
        <f t="shared" si="9"/>
        <v>12222.25</v>
      </c>
      <c r="L14" s="536">
        <f t="shared" si="9"/>
        <v>12222.25</v>
      </c>
      <c r="M14" s="536">
        <f t="shared" si="9"/>
        <v>12222.25</v>
      </c>
      <c r="N14" s="536">
        <f t="shared" si="9"/>
        <v>12222.25</v>
      </c>
      <c r="O14" s="229">
        <f t="shared" si="6"/>
        <v>146667</v>
      </c>
    </row>
    <row r="15" spans="1:15" x14ac:dyDescent="0.2">
      <c r="A15" s="531" t="s">
        <v>464</v>
      </c>
      <c r="B15" s="333">
        <f>+'3. sz. m._kiadások-bevételek'!P54+'3. sz. m._kiadások-bevételek'!P55</f>
        <v>791339</v>
      </c>
      <c r="C15" s="536">
        <f>+$B$15/12</f>
        <v>65944.916666666672</v>
      </c>
      <c r="D15" s="536">
        <f t="shared" ref="D15:N15" si="10">+$B$15/12</f>
        <v>65944.916666666672</v>
      </c>
      <c r="E15" s="536">
        <f t="shared" si="10"/>
        <v>65944.916666666672</v>
      </c>
      <c r="F15" s="536">
        <f t="shared" si="10"/>
        <v>65944.916666666672</v>
      </c>
      <c r="G15" s="536">
        <f t="shared" si="10"/>
        <v>65944.916666666672</v>
      </c>
      <c r="H15" s="536">
        <f t="shared" si="10"/>
        <v>65944.916666666672</v>
      </c>
      <c r="I15" s="536">
        <f t="shared" si="10"/>
        <v>65944.916666666672</v>
      </c>
      <c r="J15" s="536">
        <f t="shared" si="10"/>
        <v>65944.916666666672</v>
      </c>
      <c r="K15" s="536">
        <f t="shared" si="10"/>
        <v>65944.916666666672</v>
      </c>
      <c r="L15" s="536">
        <f t="shared" si="10"/>
        <v>65944.916666666672</v>
      </c>
      <c r="M15" s="536">
        <f t="shared" si="10"/>
        <v>65944.916666666672</v>
      </c>
      <c r="N15" s="536">
        <f t="shared" si="10"/>
        <v>65944.916666666672</v>
      </c>
      <c r="O15" s="229">
        <f t="shared" si="6"/>
        <v>791338.99999999988</v>
      </c>
    </row>
    <row r="16" spans="1:15" ht="13.5" thickBot="1" x14ac:dyDescent="0.25">
      <c r="A16" s="531" t="s">
        <v>465</v>
      </c>
      <c r="B16" s="333">
        <f>+'3. sz. m._kiadások-bevételek'!P56</f>
        <v>0</v>
      </c>
      <c r="C16" s="536">
        <f>+$B$16/12</f>
        <v>0</v>
      </c>
      <c r="D16" s="536">
        <f t="shared" ref="D16:N16" si="11">+$B$16/12</f>
        <v>0</v>
      </c>
      <c r="E16" s="536">
        <f t="shared" si="11"/>
        <v>0</v>
      </c>
      <c r="F16" s="536">
        <f t="shared" si="11"/>
        <v>0</v>
      </c>
      <c r="G16" s="536">
        <f t="shared" si="11"/>
        <v>0</v>
      </c>
      <c r="H16" s="536">
        <f t="shared" si="11"/>
        <v>0</v>
      </c>
      <c r="I16" s="536">
        <f t="shared" si="11"/>
        <v>0</v>
      </c>
      <c r="J16" s="536">
        <f t="shared" si="11"/>
        <v>0</v>
      </c>
      <c r="K16" s="536">
        <f t="shared" si="11"/>
        <v>0</v>
      </c>
      <c r="L16" s="536">
        <f t="shared" si="11"/>
        <v>0</v>
      </c>
      <c r="M16" s="536">
        <f t="shared" si="11"/>
        <v>0</v>
      </c>
      <c r="N16" s="536">
        <f t="shared" si="11"/>
        <v>0</v>
      </c>
      <c r="O16" s="229">
        <f t="shared" si="6"/>
        <v>0</v>
      </c>
    </row>
    <row r="17" spans="1:15" ht="15.75" customHeight="1" thickBot="1" x14ac:dyDescent="0.25">
      <c r="A17" s="532" t="s">
        <v>101</v>
      </c>
      <c r="B17" s="146">
        <f>SUM(B10:B16)</f>
        <v>2200142</v>
      </c>
      <c r="C17" s="146">
        <f t="shared" ref="C17:N17" si="12">SUM(C10:C16)</f>
        <v>183345.16666666669</v>
      </c>
      <c r="D17" s="146">
        <f t="shared" si="12"/>
        <v>183345.16666666669</v>
      </c>
      <c r="E17" s="146">
        <f t="shared" si="12"/>
        <v>183345.16666666669</v>
      </c>
      <c r="F17" s="146">
        <f t="shared" si="12"/>
        <v>183345.16666666669</v>
      </c>
      <c r="G17" s="146">
        <f t="shared" si="12"/>
        <v>183345.16666666669</v>
      </c>
      <c r="H17" s="146">
        <f t="shared" si="12"/>
        <v>183345.16666666669</v>
      </c>
      <c r="I17" s="146">
        <f t="shared" si="12"/>
        <v>183345.16666666669</v>
      </c>
      <c r="J17" s="146">
        <f t="shared" si="12"/>
        <v>183345.16666666669</v>
      </c>
      <c r="K17" s="146">
        <f t="shared" si="12"/>
        <v>183345.16666666669</v>
      </c>
      <c r="L17" s="146">
        <f t="shared" si="12"/>
        <v>183345.16666666669</v>
      </c>
      <c r="M17" s="146">
        <f t="shared" si="12"/>
        <v>183345.16666666669</v>
      </c>
      <c r="N17" s="146">
        <f t="shared" si="12"/>
        <v>183345.16666666669</v>
      </c>
      <c r="O17" s="144">
        <f t="shared" si="6"/>
        <v>2200142.0000000005</v>
      </c>
    </row>
    <row r="18" spans="1:15" ht="13.5" thickBot="1" x14ac:dyDescent="0.25">
      <c r="A18" s="533"/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145">
        <f t="shared" si="6"/>
        <v>0</v>
      </c>
    </row>
    <row r="19" spans="1:15" ht="13.5" hidden="1" thickBot="1" x14ac:dyDescent="0.25">
      <c r="A19" s="533" t="s">
        <v>414</v>
      </c>
      <c r="B19" s="50">
        <f t="shared" ref="B19:N19" si="13">+B8-B17</f>
        <v>0</v>
      </c>
      <c r="C19" s="336">
        <f t="shared" si="13"/>
        <v>6.7999999970197678E-2</v>
      </c>
      <c r="D19" s="336">
        <f t="shared" si="13"/>
        <v>89.603999999992084</v>
      </c>
      <c r="E19" s="336">
        <f t="shared" si="13"/>
        <v>72847.619999999966</v>
      </c>
      <c r="F19" s="336">
        <f t="shared" si="13"/>
        <v>-62645.948000000004</v>
      </c>
      <c r="G19" s="336">
        <f t="shared" si="13"/>
        <v>-0.49200000002747402</v>
      </c>
      <c r="H19" s="336">
        <f t="shared" si="13"/>
        <v>1.9999999989522621E-2</v>
      </c>
      <c r="I19" s="336">
        <f t="shared" si="13"/>
        <v>3.999999986262992E-3</v>
      </c>
      <c r="J19" s="336">
        <f t="shared" si="13"/>
        <v>0.3159999999916181</v>
      </c>
      <c r="K19" s="336">
        <f t="shared" si="13"/>
        <v>27460.611999999994</v>
      </c>
      <c r="L19" s="336">
        <f t="shared" si="13"/>
        <v>-37751.524000000034</v>
      </c>
      <c r="M19" s="336">
        <f t="shared" si="13"/>
        <v>-5.200000002514571E-2</v>
      </c>
      <c r="N19" s="336">
        <f t="shared" si="13"/>
        <v>-0.22800000000279397</v>
      </c>
      <c r="O19" s="145">
        <f t="shared" si="6"/>
        <v>-2.0372681319713593E-10</v>
      </c>
    </row>
    <row r="20" spans="1:15" ht="13.5" hidden="1" customHeight="1" x14ac:dyDescent="0.2">
      <c r="A20" s="589"/>
      <c r="B20" s="203"/>
      <c r="C20" s="318"/>
      <c r="D20" s="318"/>
      <c r="E20" s="318"/>
      <c r="F20" s="318">
        <f>+E19+F19</f>
        <v>10201.671999999962</v>
      </c>
      <c r="G20" s="318">
        <f>+F20+G19</f>
        <v>10201.179999999935</v>
      </c>
      <c r="H20" s="318">
        <f>+G20+H19</f>
        <v>10201.199999999924</v>
      </c>
      <c r="I20" s="318"/>
      <c r="J20" s="318"/>
      <c r="K20" s="318"/>
      <c r="L20" s="318">
        <f>+K19+L19</f>
        <v>-10290.91200000004</v>
      </c>
      <c r="M20" s="318">
        <f>+L20+M19</f>
        <v>-10290.964000000065</v>
      </c>
      <c r="N20" s="318"/>
      <c r="O20" s="318"/>
    </row>
    <row r="21" spans="1:15" x14ac:dyDescent="0.2">
      <c r="A21" s="590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15" x14ac:dyDescent="0.2"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</row>
    <row r="24" spans="1:15" x14ac:dyDescent="0.2">
      <c r="E24" s="318"/>
      <c r="F24" s="318"/>
      <c r="G24" s="318"/>
      <c r="H24" s="318"/>
      <c r="I24" s="318"/>
      <c r="J24" s="318"/>
    </row>
    <row r="25" spans="1:15" x14ac:dyDescent="0.2">
      <c r="E25" s="318"/>
      <c r="F25" s="318"/>
      <c r="G25" s="318"/>
      <c r="H25" s="318"/>
      <c r="I25" s="318"/>
      <c r="J25" s="318"/>
      <c r="L25" s="318"/>
      <c r="M25" s="318"/>
    </row>
    <row r="26" spans="1:15" x14ac:dyDescent="0.2">
      <c r="G26" s="318"/>
      <c r="H26" s="318"/>
      <c r="I26" s="318"/>
      <c r="J26" s="318"/>
      <c r="L26" s="318"/>
      <c r="M26" s="318"/>
    </row>
    <row r="27" spans="1:15" x14ac:dyDescent="0.2">
      <c r="H27" s="318"/>
      <c r="I27" s="318"/>
      <c r="J27" s="318"/>
    </row>
  </sheetData>
  <phoneticPr fontId="11" type="noConversion"/>
  <printOptions horizontalCentered="1"/>
  <pageMargins left="0.27559055118110237" right="0.23622047244094491" top="0.94488188976377963" bottom="0.19685039370078741" header="0.47244094488188981" footer="0.15748031496062992"/>
  <pageSetup paperSize="9" scale="65" orientation="landscape" r:id="rId1"/>
  <headerFooter alignWithMargins="0">
    <oddHeader>&amp;L9. sz. melléklet&amp;C&amp;"Arial,Félkövér"&amp;11Nagykovácsi Nagyközség Önkormányzatának 
2021. évi bevétel-kiadás ütemterve&amp;Radatok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0">
    <pageSetUpPr fitToPage="1"/>
  </sheetPr>
  <dimension ref="A2:F16"/>
  <sheetViews>
    <sheetView zoomScaleNormal="100" workbookViewId="0">
      <selection activeCell="M18" sqref="M18"/>
    </sheetView>
  </sheetViews>
  <sheetFormatPr defaultRowHeight="12.75" x14ac:dyDescent="0.2"/>
  <sheetData>
    <row r="2" spans="1:6" ht="15.75" x14ac:dyDescent="0.25">
      <c r="A2" s="776" t="s">
        <v>526</v>
      </c>
      <c r="B2" s="1"/>
      <c r="C2" s="1"/>
      <c r="D2" s="1"/>
      <c r="E2" s="1"/>
      <c r="F2" s="1"/>
    </row>
    <row r="16" spans="1:6" s="8" customFormat="1" x14ac:dyDescent="0.2"/>
  </sheetData>
  <phoneticPr fontId="11" type="noConversion"/>
  <printOptions horizontalCentered="1"/>
  <pageMargins left="0.15748031496062992" right="0.27559055118110237" top="1.6141732283464567" bottom="0.70866141732283472" header="0.59055118110236227" footer="0.19685039370078741"/>
  <pageSetup paperSize="9" orientation="landscape" r:id="rId1"/>
  <headerFooter alignWithMargins="0">
    <oddHeader>&amp;L10.sz.melléklet&amp;C&amp;"Arial,Félkövér"&amp;11
Nagykovácsi Nagyközség Önkormányzat fejlesztési hiteleinek állománya 2021. 
év 
&amp;Radatok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9">
    <pageSetUpPr fitToPage="1"/>
  </sheetPr>
  <dimension ref="A1:Q38"/>
  <sheetViews>
    <sheetView zoomScaleNormal="100" workbookViewId="0">
      <selection activeCell="L18" sqref="L18:L19"/>
    </sheetView>
  </sheetViews>
  <sheetFormatPr defaultRowHeight="12.75" x14ac:dyDescent="0.2"/>
  <cols>
    <col min="1" max="1" width="39.140625" customWidth="1"/>
    <col min="2" max="2" width="7.7109375" hidden="1" customWidth="1"/>
    <col min="3" max="3" width="8.28515625" hidden="1" customWidth="1"/>
    <col min="4" max="4" width="7.7109375" hidden="1" customWidth="1"/>
    <col min="5" max="14" width="7.7109375" customWidth="1"/>
    <col min="15" max="15" width="11.7109375" customWidth="1"/>
    <col min="16" max="16" width="24.140625" bestFit="1" customWidth="1"/>
    <col min="17" max="17" width="22.7109375" customWidth="1"/>
  </cols>
  <sheetData>
    <row r="1" spans="1:17" s="158" customFormat="1" x14ac:dyDescent="0.2">
      <c r="A1" s="156" t="s">
        <v>3</v>
      </c>
      <c r="B1" s="185">
        <v>2010</v>
      </c>
      <c r="C1" s="186">
        <v>2011</v>
      </c>
      <c r="D1" s="210">
        <v>2012</v>
      </c>
      <c r="E1" s="157">
        <v>2014</v>
      </c>
      <c r="F1" s="157">
        <v>2015</v>
      </c>
      <c r="G1" s="157">
        <v>2016</v>
      </c>
      <c r="H1" s="157">
        <v>2017</v>
      </c>
      <c r="I1" s="157">
        <v>2018</v>
      </c>
      <c r="J1" s="157">
        <v>2019</v>
      </c>
      <c r="K1" s="157">
        <v>2020</v>
      </c>
      <c r="L1" s="157">
        <v>2021</v>
      </c>
      <c r="M1" s="157">
        <v>2022</v>
      </c>
      <c r="N1" s="157">
        <v>2023</v>
      </c>
      <c r="O1" s="230" t="s">
        <v>4</v>
      </c>
      <c r="P1" s="183" t="s">
        <v>222</v>
      </c>
      <c r="Q1" s="183" t="s">
        <v>221</v>
      </c>
    </row>
    <row r="2" spans="1:17" s="158" customFormat="1" ht="13.5" thickBot="1" x14ac:dyDescent="0.25">
      <c r="A2" s="159">
        <v>1</v>
      </c>
      <c r="B2" s="187"/>
      <c r="C2" s="188"/>
      <c r="D2" s="211"/>
      <c r="E2" s="161">
        <v>2</v>
      </c>
      <c r="F2" s="161">
        <v>3</v>
      </c>
      <c r="G2" s="161">
        <v>4</v>
      </c>
      <c r="H2" s="161">
        <v>5</v>
      </c>
      <c r="I2" s="160">
        <v>6</v>
      </c>
      <c r="J2" s="160">
        <v>7</v>
      </c>
      <c r="K2" s="160">
        <v>8</v>
      </c>
      <c r="L2" s="160">
        <v>9</v>
      </c>
      <c r="M2" s="160">
        <v>10</v>
      </c>
      <c r="N2" s="162">
        <v>11</v>
      </c>
      <c r="O2" s="231" t="s">
        <v>189</v>
      </c>
      <c r="P2" s="293" t="s">
        <v>223</v>
      </c>
      <c r="Q2" s="293" t="s">
        <v>224</v>
      </c>
    </row>
    <row r="3" spans="1:17" s="158" customFormat="1" ht="12" hidden="1" x14ac:dyDescent="0.2">
      <c r="A3" s="163" t="s">
        <v>142</v>
      </c>
      <c r="B3" s="189"/>
      <c r="C3" s="190"/>
      <c r="D3" s="212"/>
      <c r="E3" s="165"/>
      <c r="F3" s="165"/>
      <c r="G3" s="165"/>
      <c r="H3" s="165"/>
      <c r="I3" s="164"/>
      <c r="J3" s="164"/>
      <c r="K3" s="164"/>
      <c r="L3" s="164"/>
      <c r="M3" s="164"/>
      <c r="N3" s="164"/>
      <c r="O3" s="232"/>
      <c r="P3" s="166"/>
      <c r="Q3" s="166"/>
    </row>
    <row r="4" spans="1:17" s="158" customFormat="1" hidden="1" x14ac:dyDescent="0.2">
      <c r="A4" s="167" t="s">
        <v>143</v>
      </c>
      <c r="B4" s="189"/>
      <c r="C4" s="190"/>
      <c r="D4" s="212"/>
      <c r="E4" s="165"/>
      <c r="F4" s="165"/>
      <c r="G4" s="165"/>
      <c r="H4" s="165"/>
      <c r="I4" s="164"/>
      <c r="J4" s="164"/>
      <c r="K4" s="164"/>
      <c r="L4" s="164"/>
      <c r="M4" s="164"/>
      <c r="N4" s="164"/>
      <c r="O4" s="232"/>
      <c r="P4" s="166"/>
      <c r="Q4" s="166"/>
    </row>
    <row r="5" spans="1:17" s="158" customFormat="1" ht="12" hidden="1" x14ac:dyDescent="0.2">
      <c r="A5" s="168" t="s">
        <v>144</v>
      </c>
      <c r="B5" s="191">
        <v>19680</v>
      </c>
      <c r="C5" s="192">
        <v>0</v>
      </c>
      <c r="D5" s="213">
        <v>0</v>
      </c>
      <c r="E5" s="170"/>
      <c r="F5" s="170"/>
      <c r="G5" s="170"/>
      <c r="H5" s="170"/>
      <c r="I5" s="169"/>
      <c r="J5" s="169"/>
      <c r="K5" s="169"/>
      <c r="L5" s="169"/>
      <c r="M5" s="169"/>
      <c r="N5" s="169"/>
      <c r="O5" s="233">
        <f>SUM(E5:N5)</f>
        <v>0</v>
      </c>
      <c r="P5" s="174">
        <f>+O5</f>
        <v>0</v>
      </c>
      <c r="Q5" s="174">
        <f>+O5+P5</f>
        <v>0</v>
      </c>
    </row>
    <row r="6" spans="1:17" s="158" customFormat="1" ht="12" hidden="1" x14ac:dyDescent="0.2">
      <c r="A6" s="237" t="s">
        <v>145</v>
      </c>
      <c r="B6" s="238">
        <f>SUM(B5:B5)</f>
        <v>19680</v>
      </c>
      <c r="C6" s="239">
        <f>SUM(C5:C5)</f>
        <v>0</v>
      </c>
      <c r="D6" s="240">
        <f>SUM(D5:D5)</f>
        <v>0</v>
      </c>
      <c r="E6" s="241"/>
      <c r="F6" s="241"/>
      <c r="G6" s="241"/>
      <c r="H6" s="241"/>
      <c r="I6" s="242"/>
      <c r="J6" s="242"/>
      <c r="K6" s="242"/>
      <c r="L6" s="242"/>
      <c r="M6" s="242"/>
      <c r="N6" s="242"/>
      <c r="O6" s="243">
        <f t="shared" ref="O6:O28" si="0">SUM(E6:N6)</f>
        <v>0</v>
      </c>
      <c r="P6" s="244">
        <f t="shared" ref="P6:P28" si="1">+O6</f>
        <v>0</v>
      </c>
      <c r="Q6" s="244">
        <f t="shared" ref="Q6:Q28" si="2">+O6+P6</f>
        <v>0</v>
      </c>
    </row>
    <row r="7" spans="1:17" x14ac:dyDescent="0.2">
      <c r="A7" s="245" t="s">
        <v>146</v>
      </c>
      <c r="B7" s="246"/>
      <c r="C7" s="247"/>
      <c r="D7" s="248"/>
      <c r="E7" s="249"/>
      <c r="F7" s="249"/>
      <c r="G7" s="249"/>
      <c r="H7" s="249"/>
      <c r="I7" s="250"/>
      <c r="J7" s="250"/>
      <c r="K7" s="250"/>
      <c r="L7" s="250"/>
      <c r="M7" s="250"/>
      <c r="N7" s="250"/>
      <c r="O7" s="251">
        <f t="shared" si="0"/>
        <v>0</v>
      </c>
      <c r="P7" s="252">
        <f t="shared" si="1"/>
        <v>0</v>
      </c>
      <c r="Q7" s="252">
        <f t="shared" si="2"/>
        <v>0</v>
      </c>
    </row>
    <row r="8" spans="1:17" s="158" customFormat="1" x14ac:dyDescent="0.2">
      <c r="A8" s="173" t="s">
        <v>214</v>
      </c>
      <c r="B8" s="191"/>
      <c r="C8" s="192"/>
      <c r="D8" s="213"/>
      <c r="E8" s="170"/>
      <c r="F8" s="170"/>
      <c r="G8" s="170"/>
      <c r="H8" s="170"/>
      <c r="I8" s="169"/>
      <c r="J8" s="169"/>
      <c r="K8" s="169"/>
      <c r="L8" s="169"/>
      <c r="M8" s="169"/>
      <c r="N8" s="169"/>
      <c r="O8" s="233">
        <f t="shared" si="0"/>
        <v>0</v>
      </c>
      <c r="P8" s="174">
        <v>2531</v>
      </c>
      <c r="Q8" s="174">
        <f>+P8</f>
        <v>2531</v>
      </c>
    </row>
    <row r="9" spans="1:17" s="158" customFormat="1" ht="12" x14ac:dyDescent="0.2">
      <c r="A9" s="175"/>
      <c r="B9" s="191">
        <v>1706</v>
      </c>
      <c r="C9" s="192">
        <v>1706</v>
      </c>
      <c r="D9" s="213">
        <v>1707</v>
      </c>
      <c r="E9" s="170"/>
      <c r="F9" s="170"/>
      <c r="G9" s="170"/>
      <c r="H9" s="170"/>
      <c r="I9" s="169"/>
      <c r="J9" s="169"/>
      <c r="K9" s="169"/>
      <c r="L9" s="169"/>
      <c r="M9" s="169"/>
      <c r="N9" s="169"/>
      <c r="O9" s="233">
        <f t="shared" si="0"/>
        <v>0</v>
      </c>
      <c r="P9" s="174"/>
      <c r="Q9" s="174"/>
    </row>
    <row r="10" spans="1:17" s="158" customFormat="1" thickBot="1" x14ac:dyDescent="0.25">
      <c r="A10" s="253" t="s">
        <v>145</v>
      </c>
      <c r="B10" s="254">
        <f>SUM(B9:B9)</f>
        <v>1706</v>
      </c>
      <c r="C10" s="255">
        <f>SUM(C9:C9)</f>
        <v>1706</v>
      </c>
      <c r="D10" s="256">
        <f>SUM(D9:D9)</f>
        <v>1707</v>
      </c>
      <c r="E10" s="257">
        <f>SUM(E9:E9)</f>
        <v>0</v>
      </c>
      <c r="F10" s="257"/>
      <c r="G10" s="257"/>
      <c r="H10" s="257"/>
      <c r="I10" s="258"/>
      <c r="J10" s="258"/>
      <c r="K10" s="258"/>
      <c r="L10" s="258"/>
      <c r="M10" s="258"/>
      <c r="N10" s="258"/>
      <c r="O10" s="259">
        <f t="shared" si="0"/>
        <v>0</v>
      </c>
      <c r="P10" s="260">
        <f t="shared" si="1"/>
        <v>0</v>
      </c>
      <c r="Q10" s="260">
        <f t="shared" si="2"/>
        <v>0</v>
      </c>
    </row>
    <row r="11" spans="1:17" s="1" customFormat="1" x14ac:dyDescent="0.2">
      <c r="A11" s="261" t="s">
        <v>147</v>
      </c>
      <c r="B11" s="246"/>
      <c r="C11" s="247"/>
      <c r="D11" s="248"/>
      <c r="E11" s="262"/>
      <c r="F11" s="262"/>
      <c r="G11" s="262"/>
      <c r="H11" s="262"/>
      <c r="I11" s="263"/>
      <c r="J11" s="263"/>
      <c r="K11" s="263"/>
      <c r="L11" s="263"/>
      <c r="M11" s="263"/>
      <c r="N11" s="263"/>
      <c r="O11" s="251">
        <f t="shared" si="0"/>
        <v>0</v>
      </c>
      <c r="P11" s="264">
        <f t="shared" si="1"/>
        <v>0</v>
      </c>
      <c r="Q11" s="264">
        <f t="shared" si="2"/>
        <v>0</v>
      </c>
    </row>
    <row r="12" spans="1:17" s="1" customFormat="1" x14ac:dyDescent="0.2">
      <c r="A12" s="173" t="s">
        <v>215</v>
      </c>
      <c r="B12" s="193"/>
      <c r="C12" s="194"/>
      <c r="D12" s="214"/>
      <c r="E12" s="40"/>
      <c r="F12" s="40"/>
      <c r="G12" s="40"/>
      <c r="H12" s="40"/>
      <c r="I12" s="176"/>
      <c r="J12" s="176"/>
      <c r="K12" s="176"/>
      <c r="L12" s="176"/>
      <c r="M12" s="176"/>
      <c r="N12" s="176"/>
      <c r="O12" s="234">
        <f t="shared" si="0"/>
        <v>0</v>
      </c>
      <c r="P12" s="35">
        <v>0</v>
      </c>
      <c r="Q12" s="174">
        <f>+P12</f>
        <v>0</v>
      </c>
    </row>
    <row r="13" spans="1:17" s="1" customFormat="1" x14ac:dyDescent="0.2">
      <c r="A13" s="177"/>
      <c r="B13" s="193">
        <v>4840</v>
      </c>
      <c r="C13" s="194">
        <v>4840</v>
      </c>
      <c r="D13" s="214">
        <v>4840</v>
      </c>
      <c r="E13" s="40"/>
      <c r="F13" s="40"/>
      <c r="G13" s="40"/>
      <c r="H13" s="40"/>
      <c r="I13" s="176"/>
      <c r="J13" s="176"/>
      <c r="K13" s="176"/>
      <c r="L13" s="176"/>
      <c r="M13" s="176"/>
      <c r="N13" s="176"/>
      <c r="O13" s="234">
        <f t="shared" si="0"/>
        <v>0</v>
      </c>
      <c r="P13" s="35"/>
      <c r="Q13" s="174">
        <f t="shared" si="2"/>
        <v>0</v>
      </c>
    </row>
    <row r="14" spans="1:17" s="1" customFormat="1" ht="13.5" thickBot="1" x14ac:dyDescent="0.25">
      <c r="A14" s="265" t="s">
        <v>145</v>
      </c>
      <c r="B14" s="266">
        <f>SUM(B13:B13)</f>
        <v>4840</v>
      </c>
      <c r="C14" s="267">
        <f>SUM(C13:C13)</f>
        <v>4840</v>
      </c>
      <c r="D14" s="268">
        <f>SUM(D13:D13)</f>
        <v>4840</v>
      </c>
      <c r="E14" s="269">
        <f>SUM(E13:E13)</f>
        <v>0</v>
      </c>
      <c r="F14" s="270"/>
      <c r="G14" s="269"/>
      <c r="H14" s="269"/>
      <c r="I14" s="271"/>
      <c r="J14" s="271"/>
      <c r="K14" s="271"/>
      <c r="L14" s="271"/>
      <c r="M14" s="271"/>
      <c r="N14" s="271"/>
      <c r="O14" s="272">
        <f t="shared" si="0"/>
        <v>0</v>
      </c>
      <c r="P14" s="273">
        <f t="shared" si="1"/>
        <v>0</v>
      </c>
      <c r="Q14" s="273">
        <f t="shared" si="2"/>
        <v>0</v>
      </c>
    </row>
    <row r="15" spans="1:17" x14ac:dyDescent="0.2">
      <c r="A15" s="274" t="s">
        <v>148</v>
      </c>
      <c r="B15" s="246"/>
      <c r="C15" s="247"/>
      <c r="D15" s="248"/>
      <c r="E15" s="249"/>
      <c r="F15" s="249"/>
      <c r="G15" s="249"/>
      <c r="H15" s="249"/>
      <c r="I15" s="250"/>
      <c r="J15" s="250"/>
      <c r="K15" s="250"/>
      <c r="L15" s="250"/>
      <c r="M15" s="250"/>
      <c r="N15" s="250"/>
      <c r="O15" s="251">
        <f t="shared" si="0"/>
        <v>0</v>
      </c>
      <c r="P15" s="252">
        <f t="shared" si="1"/>
        <v>0</v>
      </c>
      <c r="Q15" s="252">
        <f t="shared" si="2"/>
        <v>0</v>
      </c>
    </row>
    <row r="16" spans="1:17" s="158" customFormat="1" x14ac:dyDescent="0.2">
      <c r="A16" s="173" t="s">
        <v>216</v>
      </c>
      <c r="B16" s="191"/>
      <c r="C16" s="192"/>
      <c r="D16" s="213"/>
      <c r="E16" s="170"/>
      <c r="F16" s="170"/>
      <c r="G16" s="170"/>
      <c r="H16" s="170"/>
      <c r="I16" s="169"/>
      <c r="J16" s="169"/>
      <c r="K16" s="169"/>
      <c r="L16" s="169"/>
      <c r="M16" s="169"/>
      <c r="N16" s="169"/>
      <c r="O16" s="233">
        <f t="shared" si="0"/>
        <v>0</v>
      </c>
      <c r="P16" s="174">
        <v>0</v>
      </c>
      <c r="Q16" s="174">
        <f>+P16</f>
        <v>0</v>
      </c>
    </row>
    <row r="17" spans="1:17" s="158" customFormat="1" ht="12" x14ac:dyDescent="0.2">
      <c r="A17" s="175"/>
      <c r="B17" s="191">
        <v>4240</v>
      </c>
      <c r="C17" s="192">
        <v>4240</v>
      </c>
      <c r="D17" s="213">
        <v>4240</v>
      </c>
      <c r="E17" s="170"/>
      <c r="F17" s="170"/>
      <c r="G17" s="170"/>
      <c r="H17" s="170"/>
      <c r="I17" s="169"/>
      <c r="J17" s="169"/>
      <c r="K17" s="169"/>
      <c r="L17" s="169"/>
      <c r="M17" s="169"/>
      <c r="N17" s="169"/>
      <c r="O17" s="233">
        <f t="shared" si="0"/>
        <v>0</v>
      </c>
      <c r="P17" s="174"/>
      <c r="Q17" s="174">
        <f t="shared" si="2"/>
        <v>0</v>
      </c>
    </row>
    <row r="18" spans="1:17" s="158" customFormat="1" thickBot="1" x14ac:dyDescent="0.25">
      <c r="A18" s="253" t="s">
        <v>145</v>
      </c>
      <c r="B18" s="254">
        <f t="shared" ref="B18:G18" si="3">SUM(B17:B17)</f>
        <v>4240</v>
      </c>
      <c r="C18" s="255">
        <f t="shared" si="3"/>
        <v>4240</v>
      </c>
      <c r="D18" s="256">
        <f t="shared" si="3"/>
        <v>4240</v>
      </c>
      <c r="E18" s="257">
        <f t="shared" si="3"/>
        <v>0</v>
      </c>
      <c r="F18" s="257">
        <f t="shared" si="3"/>
        <v>0</v>
      </c>
      <c r="G18" s="257">
        <f t="shared" si="3"/>
        <v>0</v>
      </c>
      <c r="H18" s="257"/>
      <c r="I18" s="258"/>
      <c r="J18" s="258"/>
      <c r="K18" s="258"/>
      <c r="L18" s="258"/>
      <c r="M18" s="258"/>
      <c r="N18" s="258"/>
      <c r="O18" s="259">
        <f t="shared" si="0"/>
        <v>0</v>
      </c>
      <c r="P18" s="260">
        <f t="shared" si="1"/>
        <v>0</v>
      </c>
      <c r="Q18" s="260">
        <f t="shared" si="2"/>
        <v>0</v>
      </c>
    </row>
    <row r="19" spans="1:17" x14ac:dyDescent="0.2">
      <c r="A19" s="245" t="s">
        <v>149</v>
      </c>
      <c r="B19" s="246"/>
      <c r="C19" s="247"/>
      <c r="D19" s="248"/>
      <c r="E19" s="249"/>
      <c r="F19" s="249"/>
      <c r="G19" s="249"/>
      <c r="H19" s="249"/>
      <c r="I19" s="250"/>
      <c r="J19" s="250"/>
      <c r="K19" s="250"/>
      <c r="L19" s="250"/>
      <c r="M19" s="250"/>
      <c r="N19" s="250"/>
      <c r="O19" s="251">
        <f t="shared" si="0"/>
        <v>0</v>
      </c>
      <c r="P19" s="252">
        <f t="shared" si="1"/>
        <v>0</v>
      </c>
      <c r="Q19" s="252">
        <f t="shared" si="2"/>
        <v>0</v>
      </c>
    </row>
    <row r="20" spans="1:17" x14ac:dyDescent="0.2">
      <c r="A20" s="173" t="s">
        <v>217</v>
      </c>
      <c r="B20" s="193"/>
      <c r="C20" s="194"/>
      <c r="D20" s="214"/>
      <c r="E20" s="34"/>
      <c r="F20" s="34"/>
      <c r="G20" s="34"/>
      <c r="H20" s="34"/>
      <c r="I20" s="171"/>
      <c r="J20" s="171"/>
      <c r="K20" s="171"/>
      <c r="L20" s="171"/>
      <c r="M20" s="171"/>
      <c r="N20" s="171"/>
      <c r="O20" s="234">
        <f t="shared" si="0"/>
        <v>0</v>
      </c>
      <c r="P20" s="172">
        <v>1298</v>
      </c>
      <c r="Q20" s="174">
        <f>+P20</f>
        <v>1298</v>
      </c>
    </row>
    <row r="21" spans="1:17" x14ac:dyDescent="0.2">
      <c r="A21" s="178"/>
      <c r="B21" s="193">
        <v>675</v>
      </c>
      <c r="C21" s="194">
        <v>675</v>
      </c>
      <c r="D21" s="214">
        <v>675</v>
      </c>
      <c r="E21" s="34"/>
      <c r="F21" s="34"/>
      <c r="G21" s="34"/>
      <c r="H21" s="34"/>
      <c r="I21" s="171"/>
      <c r="J21" s="171"/>
      <c r="K21" s="171"/>
      <c r="L21" s="171"/>
      <c r="M21" s="171"/>
      <c r="N21" s="171"/>
      <c r="O21" s="234">
        <f t="shared" si="0"/>
        <v>0</v>
      </c>
      <c r="P21" s="172"/>
      <c r="Q21" s="174">
        <f t="shared" si="2"/>
        <v>0</v>
      </c>
    </row>
    <row r="22" spans="1:17" ht="13.5" thickBot="1" x14ac:dyDescent="0.25">
      <c r="A22" s="253" t="s">
        <v>145</v>
      </c>
      <c r="B22" s="266">
        <f t="shared" ref="B22:H22" si="4">SUM(B21:B21)</f>
        <v>675</v>
      </c>
      <c r="C22" s="267">
        <f t="shared" si="4"/>
        <v>675</v>
      </c>
      <c r="D22" s="268">
        <f t="shared" si="4"/>
        <v>675</v>
      </c>
      <c r="E22" s="275">
        <f t="shared" si="4"/>
        <v>0</v>
      </c>
      <c r="F22" s="275">
        <f t="shared" si="4"/>
        <v>0</v>
      </c>
      <c r="G22" s="275">
        <f t="shared" si="4"/>
        <v>0</v>
      </c>
      <c r="H22" s="275">
        <f t="shared" si="4"/>
        <v>0</v>
      </c>
      <c r="I22" s="276"/>
      <c r="J22" s="276"/>
      <c r="K22" s="276"/>
      <c r="L22" s="276"/>
      <c r="M22" s="276"/>
      <c r="N22" s="276"/>
      <c r="O22" s="272">
        <f t="shared" si="0"/>
        <v>0</v>
      </c>
      <c r="P22" s="277">
        <f t="shared" si="1"/>
        <v>0</v>
      </c>
      <c r="Q22" s="277">
        <f t="shared" si="2"/>
        <v>0</v>
      </c>
    </row>
    <row r="23" spans="1:17" x14ac:dyDescent="0.2">
      <c r="A23" s="278" t="s">
        <v>150</v>
      </c>
      <c r="B23" s="279"/>
      <c r="C23" s="280"/>
      <c r="D23" s="281"/>
      <c r="E23" s="282"/>
      <c r="F23" s="282"/>
      <c r="G23" s="282"/>
      <c r="H23" s="282"/>
      <c r="I23" s="283"/>
      <c r="J23" s="283"/>
      <c r="K23" s="283"/>
      <c r="L23" s="283"/>
      <c r="M23" s="283"/>
      <c r="N23" s="283"/>
      <c r="O23" s="284">
        <f t="shared" si="0"/>
        <v>0</v>
      </c>
      <c r="P23" s="285">
        <f t="shared" si="1"/>
        <v>0</v>
      </c>
      <c r="Q23" s="285">
        <f t="shared" si="2"/>
        <v>0</v>
      </c>
    </row>
    <row r="24" spans="1:17" x14ac:dyDescent="0.2">
      <c r="A24" s="173" t="s">
        <v>218</v>
      </c>
      <c r="B24" s="195">
        <v>0</v>
      </c>
      <c r="C24" s="196">
        <v>17500</v>
      </c>
      <c r="D24" s="215">
        <v>37870</v>
      </c>
      <c r="E24" s="179"/>
      <c r="F24" s="179"/>
      <c r="G24" s="179"/>
      <c r="H24" s="179"/>
      <c r="I24" s="179"/>
      <c r="J24" s="179"/>
      <c r="K24" s="179"/>
      <c r="L24" s="179"/>
      <c r="M24" s="180"/>
      <c r="N24" s="180">
        <v>0</v>
      </c>
      <c r="O24" s="235">
        <f t="shared" si="0"/>
        <v>0</v>
      </c>
      <c r="P24" s="184">
        <v>115838</v>
      </c>
      <c r="Q24" s="174">
        <f>+P24</f>
        <v>115838</v>
      </c>
    </row>
    <row r="25" spans="1:17" ht="13.5" thickBot="1" x14ac:dyDescent="0.25">
      <c r="A25" s="253" t="s">
        <v>145</v>
      </c>
      <c r="B25" s="266">
        <f t="shared" ref="B25:N25" si="5">SUM(B24)</f>
        <v>0</v>
      </c>
      <c r="C25" s="267">
        <f t="shared" si="5"/>
        <v>17500</v>
      </c>
      <c r="D25" s="268">
        <f t="shared" si="5"/>
        <v>37870</v>
      </c>
      <c r="E25" s="275">
        <f t="shared" si="5"/>
        <v>0</v>
      </c>
      <c r="F25" s="275">
        <f t="shared" si="5"/>
        <v>0</v>
      </c>
      <c r="G25" s="275">
        <f t="shared" si="5"/>
        <v>0</v>
      </c>
      <c r="H25" s="275">
        <f t="shared" si="5"/>
        <v>0</v>
      </c>
      <c r="I25" s="275">
        <f t="shared" si="5"/>
        <v>0</v>
      </c>
      <c r="J25" s="275">
        <f t="shared" si="5"/>
        <v>0</v>
      </c>
      <c r="K25" s="275">
        <f t="shared" si="5"/>
        <v>0</v>
      </c>
      <c r="L25" s="275">
        <f t="shared" si="5"/>
        <v>0</v>
      </c>
      <c r="M25" s="275">
        <f t="shared" si="5"/>
        <v>0</v>
      </c>
      <c r="N25" s="275">
        <f t="shared" si="5"/>
        <v>0</v>
      </c>
      <c r="O25" s="272">
        <f t="shared" si="0"/>
        <v>0</v>
      </c>
      <c r="P25" s="277">
        <f t="shared" si="1"/>
        <v>0</v>
      </c>
      <c r="Q25" s="277">
        <f t="shared" si="2"/>
        <v>0</v>
      </c>
    </row>
    <row r="26" spans="1:17" s="149" customFormat="1" x14ac:dyDescent="0.2">
      <c r="A26" s="278" t="s">
        <v>219</v>
      </c>
      <c r="B26" s="286"/>
      <c r="C26" s="287"/>
      <c r="D26" s="288"/>
      <c r="E26" s="289"/>
      <c r="F26" s="289"/>
      <c r="G26" s="289"/>
      <c r="H26" s="289"/>
      <c r="I26" s="289"/>
      <c r="J26" s="289"/>
      <c r="K26" s="289"/>
      <c r="L26" s="289"/>
      <c r="M26" s="289"/>
      <c r="N26" s="290"/>
      <c r="O26" s="291">
        <f t="shared" si="0"/>
        <v>0</v>
      </c>
      <c r="P26" s="292">
        <f t="shared" si="1"/>
        <v>0</v>
      </c>
      <c r="Q26" s="292">
        <f t="shared" si="2"/>
        <v>0</v>
      </c>
    </row>
    <row r="27" spans="1:17" x14ac:dyDescent="0.2">
      <c r="A27" s="173" t="s">
        <v>220</v>
      </c>
      <c r="B27" s="197">
        <v>0</v>
      </c>
      <c r="C27" s="196">
        <v>0</v>
      </c>
      <c r="D27" s="215">
        <v>2625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80"/>
      <c r="O27" s="235">
        <f t="shared" si="0"/>
        <v>0</v>
      </c>
      <c r="P27" s="184">
        <v>28472</v>
      </c>
      <c r="Q27" s="184">
        <f t="shared" si="2"/>
        <v>28472</v>
      </c>
    </row>
    <row r="28" spans="1:17" ht="13.5" thickBot="1" x14ac:dyDescent="0.25">
      <c r="A28" s="253" t="s">
        <v>145</v>
      </c>
      <c r="B28" s="266">
        <f t="shared" ref="B28:N28" si="6">SUM(B27)</f>
        <v>0</v>
      </c>
      <c r="C28" s="267">
        <f t="shared" si="6"/>
        <v>0</v>
      </c>
      <c r="D28" s="268">
        <f t="shared" si="6"/>
        <v>2625</v>
      </c>
      <c r="E28" s="275">
        <f t="shared" si="6"/>
        <v>0</v>
      </c>
      <c r="F28" s="275">
        <f t="shared" si="6"/>
        <v>0</v>
      </c>
      <c r="G28" s="275">
        <f t="shared" si="6"/>
        <v>0</v>
      </c>
      <c r="H28" s="275">
        <f t="shared" si="6"/>
        <v>0</v>
      </c>
      <c r="I28" s="275">
        <f t="shared" si="6"/>
        <v>0</v>
      </c>
      <c r="J28" s="275">
        <f t="shared" si="6"/>
        <v>0</v>
      </c>
      <c r="K28" s="275">
        <f t="shared" si="6"/>
        <v>0</v>
      </c>
      <c r="L28" s="275">
        <f t="shared" si="6"/>
        <v>0</v>
      </c>
      <c r="M28" s="275">
        <f t="shared" si="6"/>
        <v>0</v>
      </c>
      <c r="N28" s="275">
        <f t="shared" si="6"/>
        <v>0</v>
      </c>
      <c r="O28" s="272">
        <f t="shared" si="0"/>
        <v>0</v>
      </c>
      <c r="P28" s="277">
        <f t="shared" si="1"/>
        <v>0</v>
      </c>
      <c r="Q28" s="277">
        <f t="shared" si="2"/>
        <v>0</v>
      </c>
    </row>
    <row r="29" spans="1:17" s="8" customFormat="1" ht="24" customHeight="1" thickBot="1" x14ac:dyDescent="0.25">
      <c r="A29" s="181" t="s">
        <v>151</v>
      </c>
      <c r="B29" s="198">
        <f t="shared" ref="B29:N29" si="7">B6+B10+B14+B18+B22+B25+B28</f>
        <v>31141</v>
      </c>
      <c r="C29" s="199">
        <f t="shared" si="7"/>
        <v>28961</v>
      </c>
      <c r="D29" s="216">
        <f t="shared" si="7"/>
        <v>51957</v>
      </c>
      <c r="E29" s="36">
        <f t="shared" si="7"/>
        <v>0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6">
        <f t="shared" si="7"/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  <c r="O29" s="236">
        <f>+P10+P14+P18+P22+P25+P28</f>
        <v>0</v>
      </c>
      <c r="P29" s="37">
        <f>+P10+P14+P18+P22+P25+P28</f>
        <v>0</v>
      </c>
      <c r="Q29" s="37">
        <f>+Q10+Q14+Q18+Q22+Q25+Q28</f>
        <v>0</v>
      </c>
    </row>
    <row r="38" spans="16:16" x14ac:dyDescent="0.2">
      <c r="P38" s="33"/>
    </row>
  </sheetData>
  <phoneticPr fontId="11" type="noConversion"/>
  <printOptions horizontalCentered="1"/>
  <pageMargins left="0.15748031496062992" right="0.27559055118110237" top="1.61" bottom="0.71" header="0.6" footer="0.19685039370078741"/>
  <pageSetup paperSize="9" scale="83" orientation="landscape" r:id="rId1"/>
  <headerFooter alignWithMargins="0">
    <oddHeader>&amp;L10.sz.melléklet&amp;C&amp;"Arial,Félkövér"&amp;11Nagykovácsi Nagyközség Önkormányzatának
korábbi évek során vállalt kötelezettségek évenkénti hatása
2014. évi költségvetési terv&amp;Radatok eFt-ban</oddHeader>
    <oddFooter>&amp;L&amp;D&amp;C&amp;P&amp;R&amp;F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6">
    <pageSetUpPr fitToPage="1"/>
  </sheetPr>
  <dimension ref="A1:C7"/>
  <sheetViews>
    <sheetView zoomScaleNormal="100" workbookViewId="0">
      <selection sqref="A1:A2"/>
    </sheetView>
  </sheetViews>
  <sheetFormatPr defaultRowHeight="12.75" x14ac:dyDescent="0.2"/>
  <cols>
    <col min="1" max="1" width="67.28515625" style="320" customWidth="1"/>
    <col min="2" max="2" width="18.5703125" style="320" customWidth="1"/>
    <col min="3" max="3" width="17.42578125" style="320" customWidth="1"/>
  </cols>
  <sheetData>
    <row r="1" spans="1:3" ht="15" customHeight="1" x14ac:dyDescent="0.2">
      <c r="A1" s="895" t="s">
        <v>27</v>
      </c>
      <c r="B1" s="897" t="s">
        <v>527</v>
      </c>
      <c r="C1" s="899" t="s">
        <v>528</v>
      </c>
    </row>
    <row r="2" spans="1:3" ht="18" customHeight="1" x14ac:dyDescent="0.2">
      <c r="A2" s="896"/>
      <c r="B2" s="898"/>
      <c r="C2" s="900"/>
    </row>
    <row r="3" spans="1:3" s="1" customFormat="1" x14ac:dyDescent="0.2">
      <c r="A3" s="545"/>
      <c r="B3" s="323"/>
      <c r="C3" s="319"/>
    </row>
    <row r="4" spans="1:3" s="1" customFormat="1" ht="13.5" thickBot="1" x14ac:dyDescent="0.25">
      <c r="A4" s="592" t="s">
        <v>437</v>
      </c>
      <c r="B4" s="322">
        <v>0</v>
      </c>
      <c r="C4" s="319">
        <v>0</v>
      </c>
    </row>
    <row r="5" spans="1:3" s="1" customFormat="1" ht="13.5" thickBot="1" x14ac:dyDescent="0.25">
      <c r="A5" s="324" t="s">
        <v>114</v>
      </c>
      <c r="B5" s="719">
        <f>SUM(B3:B4)</f>
        <v>0</v>
      </c>
      <c r="C5" s="720">
        <f>SUM(C3:C4)</f>
        <v>0</v>
      </c>
    </row>
    <row r="6" spans="1:3" s="1" customFormat="1" x14ac:dyDescent="0.2">
      <c r="A6" s="325"/>
      <c r="B6" s="325"/>
      <c r="C6" s="325"/>
    </row>
    <row r="7" spans="1:3" x14ac:dyDescent="0.2">
      <c r="C7" s="321"/>
    </row>
  </sheetData>
  <mergeCells count="3">
    <mergeCell ref="A1:A2"/>
    <mergeCell ref="B1:B2"/>
    <mergeCell ref="C1:C2"/>
  </mergeCells>
  <phoneticPr fontId="11" type="noConversion"/>
  <printOptions horizontalCentered="1"/>
  <pageMargins left="0.6692913385826772" right="0.6692913385826772" top="1.3779527559055118" bottom="0.98425196850393704" header="0.47244094488188981" footer="0.51181102362204722"/>
  <pageSetup paperSize="9" orientation="landscape" r:id="rId1"/>
  <headerFooter alignWithMargins="0">
    <oddHeader>&amp;L11.sz.melléklet&amp;C&amp;"Arial,Félkövér"&amp;11Nagykovácsi Nagyközség Önkormányzatának
Európai Unios támogatással megvalósuló projektek
bevételei-kiadásai a 2021. évben&amp;Radatok eFt-ban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24"/>
    <pageSetUpPr fitToPage="1"/>
  </sheetPr>
  <dimension ref="A1:G42"/>
  <sheetViews>
    <sheetView zoomScaleNormal="100" zoomScaleSheetLayoutView="100" workbookViewId="0">
      <selection activeCell="B13" sqref="B13"/>
    </sheetView>
  </sheetViews>
  <sheetFormatPr defaultColWidth="9" defaultRowHeight="14.25" x14ac:dyDescent="0.2"/>
  <cols>
    <col min="1" max="1" width="79.140625" style="201" customWidth="1"/>
    <col min="2" max="2" width="14.28515625" style="201" bestFit="1" customWidth="1"/>
    <col min="3" max="3" width="53.28515625" style="201" customWidth="1"/>
    <col min="4" max="4" width="14.28515625" style="201" bestFit="1" customWidth="1"/>
    <col min="5" max="5" width="12.28515625" style="201" bestFit="1" customWidth="1"/>
    <col min="6" max="6" width="9" style="201"/>
    <col min="7" max="7" width="9" style="202"/>
    <col min="8" max="16384" width="9" style="200"/>
  </cols>
  <sheetData>
    <row r="1" spans="1:5" x14ac:dyDescent="0.2">
      <c r="A1" s="901" t="s">
        <v>249</v>
      </c>
      <c r="B1" s="901"/>
      <c r="C1" s="901"/>
      <c r="D1" s="901"/>
      <c r="E1" s="217"/>
    </row>
    <row r="2" spans="1:5" x14ac:dyDescent="0.2">
      <c r="A2" s="901" t="s">
        <v>250</v>
      </c>
      <c r="B2" s="901"/>
      <c r="C2" s="901"/>
      <c r="D2" s="901"/>
      <c r="E2" s="217"/>
    </row>
    <row r="3" spans="1:5" x14ac:dyDescent="0.2">
      <c r="A3" s="901" t="s">
        <v>248</v>
      </c>
      <c r="B3" s="901"/>
      <c r="C3" s="901"/>
      <c r="D3" s="901"/>
      <c r="E3" s="217"/>
    </row>
    <row r="4" spans="1:5" ht="15" x14ac:dyDescent="0.25">
      <c r="A4" s="226"/>
      <c r="B4" s="226"/>
      <c r="C4" s="226"/>
      <c r="D4" s="226"/>
      <c r="E4" s="217"/>
    </row>
    <row r="5" spans="1:5" ht="15" x14ac:dyDescent="0.25">
      <c r="A5" s="226"/>
      <c r="B5" s="226"/>
      <c r="C5" s="226"/>
      <c r="D5" s="226"/>
      <c r="E5" s="217"/>
    </row>
    <row r="6" spans="1:5" ht="28.5" x14ac:dyDescent="0.2">
      <c r="A6" s="502" t="s">
        <v>3</v>
      </c>
      <c r="B6" s="503" t="s">
        <v>256</v>
      </c>
      <c r="C6" s="504" t="s">
        <v>3</v>
      </c>
      <c r="D6" s="505" t="s">
        <v>256</v>
      </c>
      <c r="E6" s="217"/>
    </row>
    <row r="7" spans="1:5" x14ac:dyDescent="0.2">
      <c r="A7" s="506" t="s">
        <v>17</v>
      </c>
      <c r="B7" s="506">
        <f>B8+B9+B10+B11</f>
        <v>1283353</v>
      </c>
      <c r="C7" s="365" t="s">
        <v>152</v>
      </c>
      <c r="D7" s="365">
        <f>D8+D9+D10+D11</f>
        <v>295859</v>
      </c>
      <c r="E7" s="217"/>
    </row>
    <row r="8" spans="1:5" ht="15" customHeight="1" x14ac:dyDescent="0.25">
      <c r="A8" s="507" t="str">
        <f>+'3. sz. m._kiadások-bevételek'!A9</f>
        <v>1. Működési célú támogatások államháztartáson belülről</v>
      </c>
      <c r="B8" s="294">
        <f>+'3. sz. m._kiadások-bevételek'!P9</f>
        <v>615897</v>
      </c>
      <c r="C8" s="373"/>
      <c r="D8" s="367"/>
      <c r="E8" s="217"/>
    </row>
    <row r="9" spans="1:5" ht="15" customHeight="1" x14ac:dyDescent="0.25">
      <c r="A9" s="507" t="str">
        <f>+'3. sz. m._kiadások-bevételek'!A12</f>
        <v xml:space="preserve">2. Közhatalmi bevételek  </v>
      </c>
      <c r="B9" s="294">
        <f>+'3. sz. m._kiadások-bevételek'!P12</f>
        <v>494300</v>
      </c>
      <c r="C9" s="373" t="str">
        <f>+'3. sz. m._kiadások-bevételek'!A20</f>
        <v>1.Felhalmozási célú támogatások államháztartáson belülről</v>
      </c>
      <c r="D9" s="368">
        <f>+'3. sz. m._kiadások-bevételek'!P20</f>
        <v>295859</v>
      </c>
      <c r="E9" s="217"/>
    </row>
    <row r="10" spans="1:5" ht="15" x14ac:dyDescent="0.25">
      <c r="A10" s="507" t="str">
        <f>+'3. sz. m._kiadások-bevételek'!A16</f>
        <v>3. Működési bevételek</v>
      </c>
      <c r="B10" s="294">
        <f>+'3. sz. m._kiadások-bevételek'!P16</f>
        <v>153156</v>
      </c>
      <c r="C10" s="373" t="str">
        <f>+'3. sz. m._kiadások-bevételek'!A23</f>
        <v>2. Felhalmozási bevételek</v>
      </c>
      <c r="D10" s="368">
        <f>+'3. sz. m._kiadások-bevételek'!P23</f>
        <v>0</v>
      </c>
      <c r="E10" s="217"/>
    </row>
    <row r="11" spans="1:5" ht="15" x14ac:dyDescent="0.25">
      <c r="A11" s="507" t="str">
        <f>+'3. sz. m._kiadások-bevételek'!A17</f>
        <v>4. Működési célú átvett pénzeszközök</v>
      </c>
      <c r="B11" s="294">
        <f>+'3. sz. m._kiadások-bevételek'!P17</f>
        <v>20000</v>
      </c>
      <c r="C11" s="373" t="str">
        <f>+'3. sz. m._kiadások-bevételek'!A26</f>
        <v>3. Felhalmozási célú átvett pénzeszközök</v>
      </c>
      <c r="D11" s="368">
        <f>+'3. sz. m._kiadások-bevételek'!P26</f>
        <v>0</v>
      </c>
      <c r="E11" s="217"/>
    </row>
    <row r="12" spans="1:5" ht="15" x14ac:dyDescent="0.25">
      <c r="A12" s="508" t="s">
        <v>413</v>
      </c>
      <c r="B12" s="294">
        <f>+'3. sz. m._kiadások-bevételek'!D33</f>
        <v>620930</v>
      </c>
      <c r="C12" s="363"/>
      <c r="D12" s="509"/>
      <c r="E12" s="217"/>
    </row>
    <row r="13" spans="1:5" x14ac:dyDescent="0.2">
      <c r="A13" s="510" t="s">
        <v>153</v>
      </c>
      <c r="B13" s="366">
        <f>+B7+B12</f>
        <v>1904283</v>
      </c>
      <c r="C13" s="360" t="s">
        <v>154</v>
      </c>
      <c r="D13" s="511">
        <f>+D7+D12</f>
        <v>295859</v>
      </c>
      <c r="E13" s="217"/>
    </row>
    <row r="14" spans="1:5" x14ac:dyDescent="0.2">
      <c r="A14" s="512" t="s">
        <v>131</v>
      </c>
      <c r="B14" s="359">
        <f>+'3. sz. m._kiadások-bevételek'!F34+'3. sz. m._kiadások-bevételek'!H34+'3. sz. m._kiadások-bevételek'!J34+'3. sz. m._kiadások-bevételek'!L34</f>
        <v>695613</v>
      </c>
      <c r="C14" s="362" t="s">
        <v>131</v>
      </c>
      <c r="D14" s="513"/>
      <c r="E14" s="217"/>
    </row>
    <row r="15" spans="1:5" x14ac:dyDescent="0.2">
      <c r="A15" s="514" t="s">
        <v>155</v>
      </c>
      <c r="B15" s="369">
        <f>SUM(B13:B14)</f>
        <v>2599896</v>
      </c>
      <c r="C15" s="370" t="s">
        <v>156</v>
      </c>
      <c r="D15" s="515">
        <f>SUM(D13:D14)</f>
        <v>295859</v>
      </c>
      <c r="E15" s="217"/>
    </row>
    <row r="16" spans="1:5" ht="15" x14ac:dyDescent="0.25">
      <c r="A16" s="516" t="s">
        <v>157</v>
      </c>
      <c r="B16" s="368"/>
      <c r="C16" s="372" t="s">
        <v>158</v>
      </c>
      <c r="D16" s="368"/>
      <c r="E16" s="217"/>
    </row>
    <row r="17" spans="1:7" ht="15" x14ac:dyDescent="0.25">
      <c r="A17" s="507" t="str">
        <f>+'3. sz. m._kiadások-bevételek'!A44</f>
        <v>1. Személyi juttatások</v>
      </c>
      <c r="B17" s="294">
        <f>+'3. sz. m._kiadások-bevételek'!P44</f>
        <v>608603</v>
      </c>
      <c r="C17" s="373" t="str">
        <f>+'3. sz. m._kiadások-bevételek'!A54</f>
        <v>1. Beruházások</v>
      </c>
      <c r="D17" s="368">
        <f>+'3. sz. m._kiadások-bevételek'!P54</f>
        <v>784388</v>
      </c>
      <c r="E17" s="217"/>
    </row>
    <row r="18" spans="1:7" ht="15" x14ac:dyDescent="0.25">
      <c r="A18" s="507" t="str">
        <f>+'3. sz. m._kiadások-bevételek'!A45</f>
        <v>2. Munkaadókat terhelő járulékok és szociális hozzájárulási adó</v>
      </c>
      <c r="B18" s="294">
        <f>+'3. sz. m._kiadások-bevételek'!P45</f>
        <v>101524</v>
      </c>
      <c r="C18" s="373"/>
      <c r="D18" s="368"/>
      <c r="E18" s="217"/>
    </row>
    <row r="19" spans="1:7" ht="15" x14ac:dyDescent="0.25">
      <c r="A19" s="507" t="str">
        <f>+'3. sz. m._kiadások-bevételek'!A46</f>
        <v>3. Dologi  kiadások</v>
      </c>
      <c r="B19" s="294">
        <f>+'3. sz. m._kiadások-bevételek'!P46</f>
        <v>527515</v>
      </c>
      <c r="C19" s="373"/>
      <c r="D19" s="368"/>
      <c r="E19" s="225"/>
    </row>
    <row r="20" spans="1:7" ht="15" x14ac:dyDescent="0.25">
      <c r="A20" s="507" t="str">
        <f>+'3. sz. m._kiadások-bevételek'!A47</f>
        <v>4. Ellátottak pénzbeli juttatásai</v>
      </c>
      <c r="B20" s="294">
        <f>+'3. sz. m._kiadások-bevételek'!P47</f>
        <v>24494</v>
      </c>
      <c r="C20" s="373"/>
      <c r="D20" s="368"/>
      <c r="E20" s="225"/>
    </row>
    <row r="21" spans="1:7" ht="15" x14ac:dyDescent="0.25">
      <c r="A21" s="507" t="str">
        <f>+'3. sz. m._kiadások-bevételek'!A48</f>
        <v>5. Egyéb működési célú kiadások</v>
      </c>
      <c r="B21" s="294">
        <f>+'3. sz. m._kiadások-bevételek'!P48</f>
        <v>146667</v>
      </c>
      <c r="C21" s="373"/>
      <c r="D21" s="368"/>
      <c r="E21" s="225"/>
    </row>
    <row r="22" spans="1:7" x14ac:dyDescent="0.2">
      <c r="A22" s="510" t="s">
        <v>161</v>
      </c>
      <c r="B22" s="366">
        <f>SUM(B17:B21)</f>
        <v>1408803</v>
      </c>
      <c r="C22" s="371" t="s">
        <v>162</v>
      </c>
      <c r="D22" s="511">
        <f>SUM(D17:D21)</f>
        <v>784388</v>
      </c>
      <c r="E22" s="217"/>
    </row>
    <row r="23" spans="1:7" x14ac:dyDescent="0.2">
      <c r="A23" s="512" t="s">
        <v>131</v>
      </c>
      <c r="B23" s="361">
        <f>+'3. sz. m._kiadások-bevételek'!P64</f>
        <v>806725</v>
      </c>
      <c r="C23" s="362" t="s">
        <v>131</v>
      </c>
      <c r="D23" s="513"/>
      <c r="E23" s="217"/>
    </row>
    <row r="24" spans="1:7" s="382" customFormat="1" x14ac:dyDescent="0.2">
      <c r="A24" s="517"/>
      <c r="B24" s="377"/>
      <c r="C24" s="378"/>
      <c r="D24" s="518"/>
      <c r="E24" s="379"/>
      <c r="F24" s="380"/>
      <c r="G24" s="381"/>
    </row>
    <row r="25" spans="1:7" x14ac:dyDescent="0.2">
      <c r="A25" s="519" t="s">
        <v>244</v>
      </c>
      <c r="B25" s="385">
        <f>SUM(B22:B23)</f>
        <v>2215528</v>
      </c>
      <c r="C25" s="386" t="s">
        <v>245</v>
      </c>
      <c r="D25" s="520">
        <f>D22+D23</f>
        <v>784388</v>
      </c>
      <c r="E25" s="217"/>
      <c r="F25" s="374"/>
    </row>
    <row r="26" spans="1:7" ht="15" thickBot="1" x14ac:dyDescent="0.25">
      <c r="A26" s="521" t="s">
        <v>246</v>
      </c>
      <c r="B26" s="388">
        <f>B25-B23</f>
        <v>1408803</v>
      </c>
      <c r="C26" s="387" t="s">
        <v>247</v>
      </c>
      <c r="D26" s="522">
        <f>D25-D23</f>
        <v>784388</v>
      </c>
      <c r="E26" s="217"/>
    </row>
    <row r="27" spans="1:7" s="382" customFormat="1" ht="15.75" thickBot="1" x14ac:dyDescent="0.3">
      <c r="A27" s="523"/>
      <c r="B27" s="383"/>
      <c r="C27" s="384"/>
      <c r="D27" s="524"/>
      <c r="E27" s="379"/>
      <c r="F27" s="380"/>
      <c r="G27" s="381"/>
    </row>
    <row r="28" spans="1:7" x14ac:dyDescent="0.2">
      <c r="A28" s="525" t="s">
        <v>191</v>
      </c>
      <c r="B28" s="224" t="s">
        <v>192</v>
      </c>
      <c r="C28" s="224"/>
      <c r="D28" s="526" t="s">
        <v>192</v>
      </c>
      <c r="E28" s="217"/>
    </row>
    <row r="29" spans="1:7" ht="15" x14ac:dyDescent="0.25">
      <c r="A29" s="363" t="s">
        <v>243</v>
      </c>
      <c r="B29" s="294">
        <f>B13</f>
        <v>1904283</v>
      </c>
      <c r="C29" s="363" t="s">
        <v>193</v>
      </c>
      <c r="D29" s="294">
        <f>B22</f>
        <v>1408803</v>
      </c>
      <c r="E29" s="225"/>
    </row>
    <row r="30" spans="1:7" ht="15" x14ac:dyDescent="0.25">
      <c r="A30" s="363" t="s">
        <v>242</v>
      </c>
      <c r="B30" s="294">
        <f>D13</f>
        <v>295859</v>
      </c>
      <c r="C30" s="363" t="s">
        <v>194</v>
      </c>
      <c r="D30" s="294">
        <f>D22</f>
        <v>784388</v>
      </c>
      <c r="E30" s="225"/>
    </row>
    <row r="31" spans="1:7" ht="15" x14ac:dyDescent="0.25">
      <c r="A31" s="363" t="s">
        <v>195</v>
      </c>
      <c r="B31" s="295">
        <f>+B14+D14</f>
        <v>695613</v>
      </c>
      <c r="C31" s="363" t="s">
        <v>195</v>
      </c>
      <c r="D31" s="294">
        <f>+B31</f>
        <v>695613</v>
      </c>
      <c r="E31" s="225"/>
    </row>
    <row r="32" spans="1:7" ht="15" x14ac:dyDescent="0.25">
      <c r="A32" s="375" t="s">
        <v>196</v>
      </c>
      <c r="B32" s="376">
        <f>SUM(B29:B31)</f>
        <v>2895755</v>
      </c>
      <c r="C32" s="375" t="s">
        <v>197</v>
      </c>
      <c r="D32" s="376">
        <f>SUM(D29:D31)</f>
        <v>2888804</v>
      </c>
      <c r="E32" s="225"/>
    </row>
    <row r="33" spans="1:5" ht="15" x14ac:dyDescent="0.25">
      <c r="A33" s="363" t="s">
        <v>198</v>
      </c>
      <c r="B33" s="294">
        <f>+B14+D14</f>
        <v>695613</v>
      </c>
      <c r="C33" s="363" t="s">
        <v>199</v>
      </c>
      <c r="D33" s="294">
        <f>+B33</f>
        <v>695613</v>
      </c>
      <c r="E33" s="217"/>
    </row>
    <row r="34" spans="1:5" ht="15" x14ac:dyDescent="0.25">
      <c r="A34" s="534" t="s">
        <v>200</v>
      </c>
      <c r="B34" s="535">
        <f>B32-B33-0.5</f>
        <v>2200141.5</v>
      </c>
      <c r="C34" s="534" t="s">
        <v>201</v>
      </c>
      <c r="D34" s="535">
        <f>D32-D33-0.5</f>
        <v>2193190.5</v>
      </c>
      <c r="E34" s="217"/>
    </row>
    <row r="35" spans="1:5" ht="15" x14ac:dyDescent="0.25">
      <c r="A35" s="226"/>
      <c r="B35" s="364"/>
      <c r="C35" s="226"/>
      <c r="D35" s="226"/>
      <c r="E35" s="217"/>
    </row>
    <row r="36" spans="1:5" ht="15" x14ac:dyDescent="0.25">
      <c r="A36" s="226"/>
      <c r="B36" s="364"/>
      <c r="C36" s="226"/>
      <c r="D36" s="226"/>
      <c r="E36" s="217"/>
    </row>
    <row r="37" spans="1:5" x14ac:dyDescent="0.2">
      <c r="E37" s="217"/>
    </row>
    <row r="38" spans="1:5" x14ac:dyDescent="0.2">
      <c r="E38" s="217"/>
    </row>
    <row r="39" spans="1:5" x14ac:dyDescent="0.2">
      <c r="E39" s="217"/>
    </row>
    <row r="40" spans="1:5" x14ac:dyDescent="0.2">
      <c r="E40" s="217"/>
    </row>
    <row r="41" spans="1:5" x14ac:dyDescent="0.2">
      <c r="E41" s="217"/>
    </row>
    <row r="42" spans="1:5" x14ac:dyDescent="0.2">
      <c r="E42" s="217"/>
    </row>
  </sheetData>
  <mergeCells count="3">
    <mergeCell ref="A1:D1"/>
    <mergeCell ref="A2:D2"/>
    <mergeCell ref="A3:D3"/>
  </mergeCells>
  <phoneticPr fontId="51" type="noConversion"/>
  <printOptions horizontalCentered="1"/>
  <pageMargins left="1.1399999999999999" right="0.39374999999999999" top="0.69" bottom="0.59027777777777779" header="0.51180555555555562" footer="0.38"/>
  <pageSetup paperSize="9" scale="82" firstPageNumber="28" orientation="landscape" useFirstPageNumber="1" horizontalDpi="300" verticalDpi="300" r:id="rId1"/>
  <headerFooter alignWithMargins="0">
    <oddHeader>&amp;L13.sz. melléklet&amp;Radatok ezer Ft-ban</oddHeader>
    <oddFooter>&amp;L&amp;D&amp;R&amp;F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32"/>
  <sheetViews>
    <sheetView zoomScaleNormal="100" workbookViewId="0">
      <selection activeCell="G23" sqref="G23"/>
    </sheetView>
  </sheetViews>
  <sheetFormatPr defaultRowHeight="12.75" x14ac:dyDescent="0.2"/>
  <cols>
    <col min="1" max="1" width="64" customWidth="1"/>
    <col min="2" max="2" width="27.42578125" customWidth="1"/>
  </cols>
  <sheetData>
    <row r="1" spans="1:2" s="39" customFormat="1" ht="30" customHeight="1" thickBot="1" x14ac:dyDescent="0.3">
      <c r="A1" s="67" t="s">
        <v>3</v>
      </c>
      <c r="B1" s="220" t="s">
        <v>47</v>
      </c>
    </row>
    <row r="2" spans="1:2" ht="15" customHeight="1" x14ac:dyDescent="0.2">
      <c r="A2" s="68" t="s">
        <v>48</v>
      </c>
      <c r="B2" s="660">
        <v>0</v>
      </c>
    </row>
    <row r="3" spans="1:2" ht="15" customHeight="1" x14ac:dyDescent="0.2">
      <c r="A3" s="31" t="s">
        <v>49</v>
      </c>
      <c r="B3" s="661">
        <v>0</v>
      </c>
    </row>
    <row r="4" spans="1:2" s="2" customFormat="1" ht="17.100000000000001" customHeight="1" thickBot="1" x14ac:dyDescent="0.3">
      <c r="A4" s="69" t="s">
        <v>452</v>
      </c>
      <c r="B4" s="662">
        <f>SUM(B2:B3)</f>
        <v>0</v>
      </c>
    </row>
    <row r="5" spans="1:2" ht="15" customHeight="1" x14ac:dyDescent="0.2">
      <c r="A5" s="68" t="s">
        <v>50</v>
      </c>
      <c r="B5" s="660">
        <v>0</v>
      </c>
    </row>
    <row r="6" spans="1:2" ht="15" customHeight="1" x14ac:dyDescent="0.2">
      <c r="A6" s="31" t="s">
        <v>51</v>
      </c>
      <c r="B6" s="35">
        <v>0</v>
      </c>
    </row>
    <row r="7" spans="1:2" s="2" customFormat="1" ht="17.100000000000001" customHeight="1" thickBot="1" x14ac:dyDescent="0.3">
      <c r="A7" s="69" t="s">
        <v>453</v>
      </c>
      <c r="B7" s="662">
        <f>SUM(B5:B6)</f>
        <v>0</v>
      </c>
    </row>
    <row r="8" spans="1:2" s="8" customFormat="1" ht="15" customHeight="1" x14ac:dyDescent="0.2">
      <c r="A8" s="70" t="s">
        <v>52</v>
      </c>
      <c r="B8" s="663">
        <f>SUM(B7,B9,B12)</f>
        <v>39848</v>
      </c>
    </row>
    <row r="9" spans="1:2" s="72" customFormat="1" ht="15" customHeight="1" x14ac:dyDescent="0.2">
      <c r="A9" s="71" t="s">
        <v>53</v>
      </c>
      <c r="B9" s="664">
        <f>SUM(B10:B11)</f>
        <v>5270</v>
      </c>
    </row>
    <row r="10" spans="1:2" ht="15" customHeight="1" x14ac:dyDescent="0.2">
      <c r="A10" s="31" t="s">
        <v>54</v>
      </c>
      <c r="B10" s="35">
        <v>5270</v>
      </c>
    </row>
    <row r="11" spans="1:2" ht="15" customHeight="1" x14ac:dyDescent="0.2">
      <c r="A11" s="31" t="s">
        <v>55</v>
      </c>
      <c r="B11" s="35">
        <v>0</v>
      </c>
    </row>
    <row r="12" spans="1:2" s="72" customFormat="1" ht="15" customHeight="1" x14ac:dyDescent="0.2">
      <c r="A12" s="71" t="s">
        <v>56</v>
      </c>
      <c r="B12" s="664">
        <f>SUM(B13:B14)</f>
        <v>34578</v>
      </c>
    </row>
    <row r="13" spans="1:2" ht="15" customHeight="1" x14ac:dyDescent="0.2">
      <c r="A13" s="31" t="s">
        <v>57</v>
      </c>
      <c r="B13" s="35">
        <v>34578</v>
      </c>
    </row>
    <row r="14" spans="1:2" ht="15" customHeight="1" x14ac:dyDescent="0.2">
      <c r="A14" s="31" t="s">
        <v>58</v>
      </c>
      <c r="B14" s="35">
        <v>0</v>
      </c>
    </row>
    <row r="15" spans="1:2" ht="15" customHeight="1" x14ac:dyDescent="0.2">
      <c r="A15" s="61" t="s">
        <v>59</v>
      </c>
      <c r="B15" s="857">
        <v>0</v>
      </c>
    </row>
    <row r="16" spans="1:2" ht="17.100000000000001" customHeight="1" thickBot="1" x14ac:dyDescent="0.3">
      <c r="A16" s="69" t="s">
        <v>454</v>
      </c>
      <c r="B16" s="662">
        <f>SUM(B8,B15)</f>
        <v>39848</v>
      </c>
    </row>
    <row r="17" spans="1:2" ht="15" customHeight="1" x14ac:dyDescent="0.2">
      <c r="A17" s="68" t="s">
        <v>60</v>
      </c>
      <c r="B17" s="660">
        <v>0</v>
      </c>
    </row>
    <row r="18" spans="1:2" ht="15" customHeight="1" x14ac:dyDescent="0.2">
      <c r="A18" s="31" t="s">
        <v>61</v>
      </c>
      <c r="B18" s="35">
        <v>0</v>
      </c>
    </row>
    <row r="19" spans="1:2" s="2" customFormat="1" ht="17.100000000000001" customHeight="1" thickBot="1" x14ac:dyDescent="0.3">
      <c r="A19" s="69" t="s">
        <v>455</v>
      </c>
      <c r="B19" s="662">
        <f>SUM(B17:B18)</f>
        <v>0</v>
      </c>
    </row>
    <row r="20" spans="1:2" ht="15" customHeight="1" x14ac:dyDescent="0.2">
      <c r="A20" s="68" t="s">
        <v>62</v>
      </c>
      <c r="B20" s="660">
        <v>0</v>
      </c>
    </row>
    <row r="21" spans="1:2" ht="17.100000000000001" customHeight="1" thickBot="1" x14ac:dyDescent="0.3">
      <c r="A21" s="69" t="s">
        <v>454</v>
      </c>
      <c r="B21" s="662">
        <f>SUM(B20)</f>
        <v>0</v>
      </c>
    </row>
    <row r="22" spans="1:2" s="74" customFormat="1" ht="30" customHeight="1" thickBot="1" x14ac:dyDescent="0.3">
      <c r="A22" s="73" t="s">
        <v>469</v>
      </c>
      <c r="B22" s="665">
        <f>SUM(B4,B7,B16,B19,B21)</f>
        <v>39848</v>
      </c>
    </row>
    <row r="23" spans="1:2" x14ac:dyDescent="0.2">
      <c r="B23" s="33"/>
    </row>
    <row r="24" spans="1:2" x14ac:dyDescent="0.2">
      <c r="B24" s="33"/>
    </row>
    <row r="25" spans="1:2" x14ac:dyDescent="0.2">
      <c r="B25" s="33"/>
    </row>
    <row r="26" spans="1:2" x14ac:dyDescent="0.2">
      <c r="B26" s="33"/>
    </row>
    <row r="27" spans="1:2" x14ac:dyDescent="0.2">
      <c r="B27" s="33"/>
    </row>
    <row r="28" spans="1:2" x14ac:dyDescent="0.2">
      <c r="B28" s="33"/>
    </row>
    <row r="29" spans="1:2" x14ac:dyDescent="0.2">
      <c r="B29" s="33"/>
    </row>
    <row r="30" spans="1:2" x14ac:dyDescent="0.2">
      <c r="B30" s="33"/>
    </row>
    <row r="31" spans="1:2" x14ac:dyDescent="0.2">
      <c r="B31" s="33"/>
    </row>
    <row r="32" spans="1:2" x14ac:dyDescent="0.2">
      <c r="B32" s="33"/>
    </row>
  </sheetData>
  <phoneticPr fontId="11" type="noConversion"/>
  <printOptions horizontalCentered="1" verticalCentered="1"/>
  <pageMargins left="0.47244094488188981" right="0.47244094488188981" top="1.3779527559055118" bottom="1.2598425196850394" header="1.1023622047244095" footer="0.78740157480314965"/>
  <pageSetup paperSize="9" orientation="landscape" r:id="rId1"/>
  <headerFooter alignWithMargins="0">
    <oddHeader>&amp;L12.sz.melléklet&amp;C&amp;"Arial,Félkövér"&amp;12Nagykovácsi Nagyközség Önkormányzat,
2021. évi közvetett támogatások&amp;Rezer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4"/>
  <dimension ref="A1:R30"/>
  <sheetViews>
    <sheetView zoomScale="90" zoomScaleNormal="90" workbookViewId="0">
      <selection activeCell="K24" sqref="K24"/>
    </sheetView>
  </sheetViews>
  <sheetFormatPr defaultRowHeight="12.75" x14ac:dyDescent="0.2"/>
  <cols>
    <col min="1" max="1" width="12.5703125" style="308" customWidth="1"/>
    <col min="2" max="2" width="54.7109375" style="308" customWidth="1"/>
    <col min="3" max="5" width="16.7109375" style="308" customWidth="1"/>
    <col min="6" max="6" width="16.7109375" hidden="1" customWidth="1"/>
    <col min="7" max="10" width="16.7109375" style="308" customWidth="1"/>
  </cols>
  <sheetData>
    <row r="1" spans="1:10" s="1" customFormat="1" ht="16.5" thickBot="1" x14ac:dyDescent="0.3">
      <c r="A1" s="576"/>
      <c r="B1" s="577"/>
      <c r="C1" s="577"/>
      <c r="D1" s="577"/>
      <c r="E1" s="577"/>
      <c r="G1" s="11"/>
      <c r="H1" s="11"/>
      <c r="I1" s="11"/>
      <c r="J1" s="11"/>
    </row>
    <row r="2" spans="1:10" s="579" customFormat="1" ht="15.75" customHeight="1" x14ac:dyDescent="0.2">
      <c r="A2" s="902"/>
      <c r="B2" s="578" t="s">
        <v>3</v>
      </c>
      <c r="C2" s="905" t="s">
        <v>64</v>
      </c>
      <c r="D2" s="906"/>
      <c r="E2" s="906"/>
      <c r="F2" s="906"/>
      <c r="G2" s="906"/>
      <c r="H2" s="906"/>
      <c r="I2" s="906"/>
      <c r="J2" s="907"/>
    </row>
    <row r="3" spans="1:10" s="579" customFormat="1" ht="13.5" thickBot="1" x14ac:dyDescent="0.25">
      <c r="A3" s="903"/>
      <c r="B3" s="580"/>
      <c r="C3" s="908" t="s">
        <v>21</v>
      </c>
      <c r="D3" s="909"/>
      <c r="E3" s="909"/>
      <c r="F3" s="909"/>
      <c r="G3" s="909"/>
      <c r="H3" s="909"/>
      <c r="I3" s="909"/>
      <c r="J3" s="910"/>
    </row>
    <row r="4" spans="1:10" s="579" customFormat="1" ht="52.5" customHeight="1" thickBot="1" x14ac:dyDescent="0.25">
      <c r="A4" s="904"/>
      <c r="B4" s="581"/>
      <c r="C4" s="582" t="s">
        <v>66</v>
      </c>
      <c r="D4" s="582" t="s">
        <v>141</v>
      </c>
      <c r="E4" s="583" t="s">
        <v>167</v>
      </c>
      <c r="F4" s="583" t="s">
        <v>41</v>
      </c>
      <c r="G4" s="582" t="s">
        <v>67</v>
      </c>
      <c r="H4" s="583" t="s">
        <v>255</v>
      </c>
      <c r="I4" s="583" t="s">
        <v>446</v>
      </c>
      <c r="J4" s="582" t="s">
        <v>4</v>
      </c>
    </row>
    <row r="5" spans="1:10" s="579" customFormat="1" ht="18" customHeight="1" thickBot="1" x14ac:dyDescent="0.25">
      <c r="A5" s="630"/>
      <c r="B5" s="630"/>
      <c r="C5" s="630"/>
      <c r="D5" s="630"/>
      <c r="E5" s="631"/>
      <c r="F5" s="631"/>
      <c r="G5" s="630"/>
      <c r="H5" s="631"/>
      <c r="I5" s="631"/>
      <c r="J5" s="630"/>
    </row>
    <row r="6" spans="1:10" s="1" customFormat="1" ht="18" customHeight="1" thickBot="1" x14ac:dyDescent="0.25">
      <c r="A6" s="82"/>
      <c r="B6" s="83" t="s">
        <v>426</v>
      </c>
      <c r="C6" s="311"/>
      <c r="D6" s="314">
        <v>1</v>
      </c>
      <c r="E6" s="85"/>
      <c r="F6" s="632"/>
      <c r="G6" s="314"/>
      <c r="H6" s="314"/>
      <c r="I6" s="314"/>
      <c r="J6" s="315"/>
    </row>
    <row r="7" spans="1:10" s="1" customFormat="1" ht="18" customHeight="1" thickBot="1" x14ac:dyDescent="0.25">
      <c r="A7" s="82"/>
      <c r="B7" s="591" t="s">
        <v>436</v>
      </c>
      <c r="C7" s="311"/>
      <c r="D7" s="314">
        <v>2</v>
      </c>
      <c r="E7" s="85"/>
      <c r="F7" s="632"/>
      <c r="G7" s="314"/>
      <c r="H7" s="314"/>
      <c r="I7" s="314"/>
      <c r="J7" s="315"/>
    </row>
    <row r="8" spans="1:10" s="1" customFormat="1" ht="18" customHeight="1" thickBot="1" x14ac:dyDescent="0.25">
      <c r="A8" s="584"/>
      <c r="B8" s="585" t="s">
        <v>427</v>
      </c>
      <c r="C8" s="311">
        <v>2</v>
      </c>
      <c r="D8" s="311"/>
      <c r="E8" s="84"/>
      <c r="F8" s="634"/>
      <c r="G8" s="311"/>
      <c r="H8" s="311"/>
      <c r="I8" s="311"/>
      <c r="J8" s="315"/>
    </row>
    <row r="9" spans="1:10" s="1" customFormat="1" ht="18" customHeight="1" thickBot="1" x14ac:dyDescent="0.25">
      <c r="A9" s="584"/>
      <c r="B9" s="585" t="s">
        <v>428</v>
      </c>
      <c r="C9" s="311">
        <v>26</v>
      </c>
      <c r="D9" s="311"/>
      <c r="E9" s="84"/>
      <c r="F9" s="634"/>
      <c r="G9" s="311"/>
      <c r="H9" s="311"/>
      <c r="I9" s="311"/>
      <c r="J9" s="315"/>
    </row>
    <row r="10" spans="1:10" s="579" customFormat="1" ht="20.25" customHeight="1" thickBot="1" x14ac:dyDescent="0.25">
      <c r="A10" s="911" t="s">
        <v>431</v>
      </c>
      <c r="B10" s="912"/>
      <c r="C10" s="315">
        <f>SUM(C6:C9)</f>
        <v>28</v>
      </c>
      <c r="D10" s="315">
        <f>SUM(D6:D9)</f>
        <v>3</v>
      </c>
      <c r="E10" s="696"/>
      <c r="F10" s="635"/>
      <c r="G10" s="315"/>
      <c r="H10" s="315"/>
      <c r="I10" s="315"/>
      <c r="J10" s="315"/>
    </row>
    <row r="11" spans="1:10" s="1" customFormat="1" ht="19.5" customHeight="1" thickBot="1" x14ac:dyDescent="0.25">
      <c r="A11" s="584"/>
      <c r="B11" s="625" t="s">
        <v>445</v>
      </c>
      <c r="C11" s="311"/>
      <c r="D11" s="311"/>
      <c r="E11" s="84">
        <v>2</v>
      </c>
      <c r="F11" s="634"/>
      <c r="G11" s="311">
        <v>2</v>
      </c>
      <c r="H11" s="311">
        <v>1</v>
      </c>
      <c r="I11" s="311">
        <v>1</v>
      </c>
      <c r="J11" s="315"/>
    </row>
    <row r="12" spans="1:10" s="1" customFormat="1" ht="19.5" customHeight="1" thickBot="1" x14ac:dyDescent="0.25">
      <c r="A12" s="584"/>
      <c r="B12" s="585" t="s">
        <v>429</v>
      </c>
      <c r="C12" s="311"/>
      <c r="D12" s="311"/>
      <c r="E12" s="84">
        <v>2</v>
      </c>
      <c r="F12" s="634"/>
      <c r="G12" s="311"/>
      <c r="H12" s="311"/>
      <c r="I12" s="311"/>
      <c r="J12" s="315"/>
    </row>
    <row r="13" spans="1:10" s="1" customFormat="1" ht="19.5" customHeight="1" thickBot="1" x14ac:dyDescent="0.25">
      <c r="A13" s="584"/>
      <c r="B13" s="585" t="s">
        <v>433</v>
      </c>
      <c r="C13" s="311"/>
      <c r="D13" s="311"/>
      <c r="E13" s="84">
        <v>28</v>
      </c>
      <c r="F13" s="634"/>
      <c r="G13" s="311">
        <v>3</v>
      </c>
      <c r="H13" s="311"/>
      <c r="I13" s="311"/>
      <c r="J13" s="315"/>
    </row>
    <row r="14" spans="1:10" s="1" customFormat="1" ht="19.5" customHeight="1" thickBot="1" x14ac:dyDescent="0.25">
      <c r="A14" s="584"/>
      <c r="B14" s="585" t="s">
        <v>434</v>
      </c>
      <c r="C14" s="311"/>
      <c r="D14" s="311"/>
      <c r="E14" s="84">
        <v>13</v>
      </c>
      <c r="F14" s="634"/>
      <c r="G14" s="311"/>
      <c r="H14" s="311">
        <v>6</v>
      </c>
      <c r="I14" s="311"/>
      <c r="J14" s="315"/>
    </row>
    <row r="15" spans="1:10" s="1" customFormat="1" ht="19.5" customHeight="1" thickBot="1" x14ac:dyDescent="0.25">
      <c r="A15" s="584"/>
      <c r="B15" s="585" t="s">
        <v>435</v>
      </c>
      <c r="C15" s="311"/>
      <c r="D15" s="311"/>
      <c r="E15" s="84"/>
      <c r="F15" s="634"/>
      <c r="G15" s="311"/>
      <c r="H15" s="311">
        <v>4</v>
      </c>
      <c r="I15" s="311"/>
      <c r="J15" s="315"/>
    </row>
    <row r="16" spans="1:10" s="1" customFormat="1" ht="19.5" customHeight="1" thickBot="1" x14ac:dyDescent="0.25">
      <c r="A16" s="584"/>
      <c r="B16" s="585" t="s">
        <v>430</v>
      </c>
      <c r="C16" s="311"/>
      <c r="D16" s="311"/>
      <c r="E16" s="84">
        <v>11</v>
      </c>
      <c r="F16" s="634"/>
      <c r="G16" s="311">
        <v>2</v>
      </c>
      <c r="H16" s="311">
        <v>3</v>
      </c>
      <c r="I16" s="311">
        <v>17</v>
      </c>
      <c r="J16" s="315"/>
    </row>
    <row r="17" spans="1:18" s="579" customFormat="1" ht="19.5" customHeight="1" thickBot="1" x14ac:dyDescent="0.25">
      <c r="A17" s="913" t="s">
        <v>432</v>
      </c>
      <c r="B17" s="914"/>
      <c r="C17" s="315">
        <f>+C10</f>
        <v>28</v>
      </c>
      <c r="D17" s="315">
        <f t="shared" ref="D17" si="0">+D10</f>
        <v>3</v>
      </c>
      <c r="E17" s="315">
        <f t="shared" ref="E17:F17" si="1">SUM(E11:E16)</f>
        <v>56</v>
      </c>
      <c r="F17" s="633">
        <f t="shared" si="1"/>
        <v>0</v>
      </c>
      <c r="G17" s="315">
        <f>SUM(G11:G16)</f>
        <v>7</v>
      </c>
      <c r="H17" s="315">
        <f>SUM(H11:H16)</f>
        <v>14</v>
      </c>
      <c r="I17" s="315">
        <f>SUM(I11:I16)</f>
        <v>18</v>
      </c>
      <c r="J17" s="315">
        <f>SUM(C17:I17)</f>
        <v>126</v>
      </c>
    </row>
    <row r="18" spans="1:18" ht="15.75" x14ac:dyDescent="0.25">
      <c r="A18" s="75"/>
      <c r="L18" s="32"/>
      <c r="M18" s="32"/>
      <c r="N18" s="32"/>
      <c r="O18" s="32"/>
      <c r="P18" s="32"/>
      <c r="Q18" s="32"/>
      <c r="R18" s="32"/>
    </row>
    <row r="19" spans="1:18" x14ac:dyDescent="0.2">
      <c r="J19" s="316"/>
      <c r="L19" s="32"/>
      <c r="M19" s="32"/>
      <c r="N19" s="32"/>
      <c r="O19" s="32"/>
      <c r="P19" s="32"/>
      <c r="Q19" s="32"/>
      <c r="R19" s="32"/>
    </row>
    <row r="20" spans="1:18" x14ac:dyDescent="0.2">
      <c r="L20" s="32"/>
      <c r="M20" s="32"/>
      <c r="N20" s="32"/>
      <c r="O20" s="32"/>
      <c r="P20" s="32"/>
      <c r="Q20" s="32"/>
      <c r="R20" s="32"/>
    </row>
    <row r="21" spans="1:18" x14ac:dyDescent="0.2">
      <c r="L21" s="32"/>
      <c r="M21" s="32"/>
      <c r="N21" s="32"/>
      <c r="O21" s="32"/>
      <c r="P21" s="32"/>
      <c r="Q21" s="32"/>
      <c r="R21" s="32"/>
    </row>
    <row r="22" spans="1:18" x14ac:dyDescent="0.2">
      <c r="L22" s="32"/>
      <c r="M22" s="32"/>
      <c r="N22" s="32"/>
      <c r="O22" s="32"/>
      <c r="P22" s="32"/>
      <c r="Q22" s="32"/>
      <c r="R22" s="32"/>
    </row>
    <row r="23" spans="1:18" x14ac:dyDescent="0.2">
      <c r="L23" s="32"/>
      <c r="M23" s="32"/>
      <c r="N23" s="32"/>
      <c r="O23" s="32"/>
      <c r="P23" s="32"/>
      <c r="Q23" s="32"/>
      <c r="R23" s="32"/>
    </row>
    <row r="24" spans="1:18" x14ac:dyDescent="0.2">
      <c r="L24" s="32"/>
      <c r="M24" s="32"/>
      <c r="N24" s="32"/>
      <c r="O24" s="32"/>
      <c r="P24" s="32"/>
      <c r="Q24" s="32"/>
      <c r="R24" s="32"/>
    </row>
    <row r="25" spans="1:18" x14ac:dyDescent="0.2">
      <c r="L25" s="32"/>
      <c r="M25" s="32"/>
      <c r="N25" s="32"/>
      <c r="O25" s="32"/>
      <c r="P25" s="32"/>
      <c r="Q25" s="32"/>
      <c r="R25" s="32"/>
    </row>
    <row r="26" spans="1:18" x14ac:dyDescent="0.2">
      <c r="L26" s="32"/>
      <c r="M26" s="32"/>
      <c r="N26" s="32"/>
      <c r="O26" s="32"/>
      <c r="P26" s="32"/>
      <c r="Q26" s="32"/>
      <c r="R26" s="32"/>
    </row>
    <row r="27" spans="1:18" x14ac:dyDescent="0.2">
      <c r="L27" s="32"/>
      <c r="M27" s="32"/>
      <c r="N27" s="32"/>
      <c r="O27" s="32"/>
      <c r="P27" s="32"/>
      <c r="Q27" s="32"/>
      <c r="R27" s="32"/>
    </row>
    <row r="28" spans="1:18" x14ac:dyDescent="0.2">
      <c r="L28" s="32"/>
      <c r="M28" s="32"/>
      <c r="N28" s="32"/>
      <c r="O28" s="32"/>
      <c r="P28" s="32"/>
      <c r="Q28" s="32"/>
      <c r="R28" s="32"/>
    </row>
    <row r="29" spans="1:18" x14ac:dyDescent="0.2">
      <c r="L29" s="32"/>
      <c r="M29" s="32"/>
      <c r="N29" s="32"/>
      <c r="O29" s="32"/>
      <c r="P29" s="32"/>
      <c r="Q29" s="32"/>
      <c r="R29" s="32"/>
    </row>
    <row r="30" spans="1:18" x14ac:dyDescent="0.2">
      <c r="L30" s="32"/>
      <c r="M30" s="32"/>
      <c r="N30" s="32"/>
      <c r="O30" s="32"/>
      <c r="P30" s="32"/>
      <c r="Q30" s="32"/>
      <c r="R30" s="32"/>
    </row>
  </sheetData>
  <mergeCells count="5">
    <mergeCell ref="A2:A4"/>
    <mergeCell ref="C2:J2"/>
    <mergeCell ref="C3:J3"/>
    <mergeCell ref="A10:B10"/>
    <mergeCell ref="A17:B17"/>
  </mergeCells>
  <phoneticPr fontId="11" type="noConversion"/>
  <printOptions horizontalCentered="1"/>
  <pageMargins left="0.35433070866141736" right="0.27559055118110237" top="1.1811023622047245" bottom="0.78740157480314965" header="0.51181102362204722" footer="0.51181102362204722"/>
  <pageSetup paperSize="9" scale="73" orientation="landscape" horizontalDpi="4294967294" r:id="rId1"/>
  <headerFooter alignWithMargins="0">
    <oddHeader>&amp;L13.sz.melléklet&amp;C&amp;"Arial,Félkövér"&amp;12Nagykovácsi Nagyközség Önkormányzati intézményeinek éves létszám-előirányzata 
2021.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5">
    <pageSetUpPr fitToPage="1"/>
  </sheetPr>
  <dimension ref="A2:S68"/>
  <sheetViews>
    <sheetView tabSelected="1" topLeftCell="A37" zoomScaleNormal="100" workbookViewId="0">
      <selection activeCell="P9" sqref="P9"/>
    </sheetView>
  </sheetViews>
  <sheetFormatPr defaultRowHeight="12.75" x14ac:dyDescent="0.2"/>
  <cols>
    <col min="1" max="1" width="64.7109375" style="392" customWidth="1"/>
    <col min="2" max="2" width="11.7109375" style="393" customWidth="1"/>
    <col min="3" max="3" width="12.5703125" style="397" customWidth="1"/>
    <col min="4" max="4" width="12.5703125" style="392" customWidth="1"/>
    <col min="5" max="5" width="12.5703125" style="395" customWidth="1"/>
    <col min="6" max="6" width="12.28515625" style="395" customWidth="1"/>
    <col min="7" max="7" width="12.5703125" style="392" customWidth="1"/>
    <col min="8" max="8" width="13" customWidth="1"/>
    <col min="9" max="9" width="13.140625" customWidth="1"/>
    <col min="10" max="14" width="12.7109375" customWidth="1"/>
    <col min="15" max="15" width="13" customWidth="1"/>
    <col min="16" max="16" width="13.42578125" customWidth="1"/>
  </cols>
  <sheetData>
    <row r="2" spans="1:19" ht="49.5" customHeight="1" x14ac:dyDescent="0.2">
      <c r="A2" s="869" t="s">
        <v>492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</row>
    <row r="4" spans="1:19" ht="16.5" thickBot="1" x14ac:dyDescent="0.3">
      <c r="C4" s="541"/>
      <c r="F4" s="397"/>
      <c r="P4" s="396" t="s">
        <v>253</v>
      </c>
    </row>
    <row r="5" spans="1:19" ht="16.5" x14ac:dyDescent="0.2">
      <c r="A5" s="870" t="s">
        <v>254</v>
      </c>
      <c r="B5" s="872" t="s">
        <v>439</v>
      </c>
      <c r="C5" s="861" t="s">
        <v>141</v>
      </c>
      <c r="D5" s="862"/>
      <c r="E5" s="874" t="s">
        <v>163</v>
      </c>
      <c r="F5" s="875"/>
      <c r="G5" s="861" t="s">
        <v>164</v>
      </c>
      <c r="H5" s="862"/>
      <c r="I5" s="861" t="s">
        <v>165</v>
      </c>
      <c r="J5" s="862"/>
      <c r="K5" s="859" t="s">
        <v>255</v>
      </c>
      <c r="L5" s="876"/>
      <c r="M5" s="859" t="s">
        <v>446</v>
      </c>
      <c r="N5" s="877"/>
      <c r="O5" s="861" t="s">
        <v>114</v>
      </c>
      <c r="P5" s="862"/>
    </row>
    <row r="6" spans="1:19" ht="33.75" thickBot="1" x14ac:dyDescent="0.25">
      <c r="A6" s="871"/>
      <c r="B6" s="873"/>
      <c r="C6" s="722" t="s">
        <v>470</v>
      </c>
      <c r="D6" s="605" t="s">
        <v>493</v>
      </c>
      <c r="E6" s="722" t="s">
        <v>470</v>
      </c>
      <c r="F6" s="605" t="s">
        <v>493</v>
      </c>
      <c r="G6" s="722" t="s">
        <v>470</v>
      </c>
      <c r="H6" s="605" t="s">
        <v>493</v>
      </c>
      <c r="I6" s="722" t="s">
        <v>470</v>
      </c>
      <c r="J6" s="605" t="s">
        <v>493</v>
      </c>
      <c r="K6" s="722" t="s">
        <v>470</v>
      </c>
      <c r="L6" s="605" t="s">
        <v>493</v>
      </c>
      <c r="M6" s="722" t="s">
        <v>470</v>
      </c>
      <c r="N6" s="605" t="s">
        <v>493</v>
      </c>
      <c r="O6" s="722" t="s">
        <v>470</v>
      </c>
      <c r="P6" s="605" t="s">
        <v>493</v>
      </c>
      <c r="Q6" s="542"/>
    </row>
    <row r="7" spans="1:19" ht="16.5" x14ac:dyDescent="0.25">
      <c r="A7" s="786" t="s">
        <v>257</v>
      </c>
      <c r="B7" s="795" t="s">
        <v>258</v>
      </c>
      <c r="C7" s="803">
        <f t="shared" ref="C7:N7" si="0">C8+C19</f>
        <v>1414669</v>
      </c>
      <c r="D7" s="802">
        <f t="shared" si="0"/>
        <v>1516838</v>
      </c>
      <c r="E7" s="724">
        <f t="shared" si="0"/>
        <v>3810</v>
      </c>
      <c r="F7" s="723">
        <f t="shared" si="0"/>
        <v>5080</v>
      </c>
      <c r="G7" s="726">
        <f t="shared" si="0"/>
        <v>15964</v>
      </c>
      <c r="H7" s="723">
        <f t="shared" si="0"/>
        <v>17262</v>
      </c>
      <c r="I7" s="726">
        <f t="shared" si="0"/>
        <v>5461</v>
      </c>
      <c r="J7" s="727">
        <f t="shared" si="0"/>
        <v>3000</v>
      </c>
      <c r="K7" s="746">
        <f t="shared" si="0"/>
        <v>30032</v>
      </c>
      <c r="L7" s="767">
        <f t="shared" si="0"/>
        <v>33032</v>
      </c>
      <c r="M7" s="746">
        <f t="shared" si="0"/>
        <v>4300</v>
      </c>
      <c r="N7" s="730">
        <f t="shared" si="0"/>
        <v>4000</v>
      </c>
      <c r="O7" s="731">
        <f>+C7+E7+G7+I7+K7+M7</f>
        <v>1474236</v>
      </c>
      <c r="P7" s="723">
        <f t="shared" ref="P7:P8" si="1">+D7+F7+H7+J7+L7+N7</f>
        <v>1579212</v>
      </c>
    </row>
    <row r="8" spans="1:19" ht="16.5" x14ac:dyDescent="0.25">
      <c r="A8" s="787" t="s">
        <v>259</v>
      </c>
      <c r="B8" s="796"/>
      <c r="C8" s="782">
        <f>C9+C12+C16+C17</f>
        <v>1216684</v>
      </c>
      <c r="D8" s="814">
        <f>D9+D12+D16+D17</f>
        <v>1220979</v>
      </c>
      <c r="E8" s="734">
        <f t="shared" ref="E8:J8" si="2">E9+E12+E16+E17</f>
        <v>3810</v>
      </c>
      <c r="F8" s="733">
        <f t="shared" si="2"/>
        <v>5080</v>
      </c>
      <c r="G8" s="734">
        <f t="shared" si="2"/>
        <v>15964</v>
      </c>
      <c r="H8" s="733">
        <f t="shared" si="2"/>
        <v>17262</v>
      </c>
      <c r="I8" s="734">
        <f t="shared" si="2"/>
        <v>5461</v>
      </c>
      <c r="J8" s="733">
        <f t="shared" si="2"/>
        <v>3000</v>
      </c>
      <c r="K8" s="735">
        <f>K9+K12+K16+K17</f>
        <v>30032</v>
      </c>
      <c r="L8" s="736">
        <f>L9+L12+L16+L17</f>
        <v>33032</v>
      </c>
      <c r="M8" s="735">
        <f>M9+M12+M16+M17</f>
        <v>4300</v>
      </c>
      <c r="N8" s="737">
        <f>N9+N12+N16+N17</f>
        <v>4000</v>
      </c>
      <c r="O8" s="728">
        <f t="shared" ref="O8:P36" si="3">+C8+E8+G8+I8+K8+M8</f>
        <v>1276251</v>
      </c>
      <c r="P8" s="725">
        <f t="shared" si="1"/>
        <v>1283353</v>
      </c>
      <c r="R8" s="33"/>
      <c r="S8" s="33"/>
    </row>
    <row r="9" spans="1:19" ht="15.75" x14ac:dyDescent="0.25">
      <c r="A9" s="788" t="s">
        <v>260</v>
      </c>
      <c r="B9" s="797" t="s">
        <v>261</v>
      </c>
      <c r="C9" s="780">
        <f>C10+C11</f>
        <v>508964</v>
      </c>
      <c r="D9" s="815">
        <f>D10+D11</f>
        <v>584897</v>
      </c>
      <c r="E9" s="740">
        <f t="shared" ref="E9:N9" si="4">E10+E11</f>
        <v>0</v>
      </c>
      <c r="F9" s="739">
        <f t="shared" si="4"/>
        <v>0</v>
      </c>
      <c r="G9" s="740">
        <f t="shared" si="4"/>
        <v>0</v>
      </c>
      <c r="H9" s="739">
        <f t="shared" si="4"/>
        <v>0</v>
      </c>
      <c r="I9" s="740">
        <f t="shared" si="4"/>
        <v>0</v>
      </c>
      <c r="J9" s="739">
        <f t="shared" si="4"/>
        <v>0</v>
      </c>
      <c r="K9" s="741">
        <f t="shared" si="4"/>
        <v>28000</v>
      </c>
      <c r="L9" s="742">
        <f t="shared" si="4"/>
        <v>31000</v>
      </c>
      <c r="M9" s="741">
        <f t="shared" si="4"/>
        <v>0</v>
      </c>
      <c r="N9" s="743">
        <f t="shared" si="4"/>
        <v>0</v>
      </c>
      <c r="O9" s="741">
        <f t="shared" si="3"/>
        <v>536964</v>
      </c>
      <c r="P9" s="739">
        <f>+D9+F9+H9+J9+L9+N9</f>
        <v>615897</v>
      </c>
    </row>
    <row r="10" spans="1:19" ht="15.75" x14ac:dyDescent="0.25">
      <c r="A10" s="789" t="s">
        <v>262</v>
      </c>
      <c r="B10" s="798" t="s">
        <v>263</v>
      </c>
      <c r="C10" s="781">
        <v>507214</v>
      </c>
      <c r="D10" s="815">
        <v>581747</v>
      </c>
      <c r="E10" s="740"/>
      <c r="F10" s="739"/>
      <c r="G10" s="740"/>
      <c r="H10" s="739"/>
      <c r="I10" s="740"/>
      <c r="J10" s="739"/>
      <c r="K10" s="741"/>
      <c r="L10" s="742"/>
      <c r="M10" s="741"/>
      <c r="N10" s="743"/>
      <c r="O10" s="741">
        <f t="shared" si="3"/>
        <v>507214</v>
      </c>
      <c r="P10" s="739">
        <f t="shared" si="3"/>
        <v>581747</v>
      </c>
    </row>
    <row r="11" spans="1:19" ht="15.75" x14ac:dyDescent="0.25">
      <c r="A11" s="789" t="s">
        <v>264</v>
      </c>
      <c r="B11" s="798" t="s">
        <v>265</v>
      </c>
      <c r="C11" s="781">
        <v>1750</v>
      </c>
      <c r="D11" s="815">
        <v>3150</v>
      </c>
      <c r="E11" s="740"/>
      <c r="F11" s="739"/>
      <c r="G11" s="740"/>
      <c r="H11" s="739"/>
      <c r="I11" s="740"/>
      <c r="J11" s="739"/>
      <c r="K11" s="741">
        <v>28000</v>
      </c>
      <c r="L11" s="742">
        <v>31000</v>
      </c>
      <c r="M11" s="741"/>
      <c r="N11" s="743"/>
      <c r="O11" s="741">
        <f t="shared" si="3"/>
        <v>29750</v>
      </c>
      <c r="P11" s="739">
        <f t="shared" si="3"/>
        <v>34150</v>
      </c>
    </row>
    <row r="12" spans="1:19" ht="15.75" x14ac:dyDescent="0.25">
      <c r="A12" s="790" t="s">
        <v>266</v>
      </c>
      <c r="B12" s="799" t="s">
        <v>267</v>
      </c>
      <c r="C12" s="780">
        <f>SUM(C13:C15)</f>
        <v>636473</v>
      </c>
      <c r="D12" s="815">
        <f>SUM(D13:D15)</f>
        <v>494300</v>
      </c>
      <c r="E12" s="740"/>
      <c r="F12" s="739"/>
      <c r="G12" s="740"/>
      <c r="H12" s="739"/>
      <c r="I12" s="740"/>
      <c r="J12" s="739"/>
      <c r="K12" s="741"/>
      <c r="L12" s="742"/>
      <c r="M12" s="741"/>
      <c r="N12" s="743"/>
      <c r="O12" s="741">
        <f t="shared" si="3"/>
        <v>636473</v>
      </c>
      <c r="P12" s="739">
        <f t="shared" si="3"/>
        <v>494300</v>
      </c>
    </row>
    <row r="13" spans="1:19" ht="15.75" x14ac:dyDescent="0.25">
      <c r="A13" s="789" t="s">
        <v>268</v>
      </c>
      <c r="B13" s="798" t="s">
        <v>269</v>
      </c>
      <c r="C13" s="780">
        <v>585407</v>
      </c>
      <c r="D13" s="815">
        <v>469300</v>
      </c>
      <c r="E13" s="740"/>
      <c r="F13" s="739"/>
      <c r="G13" s="740"/>
      <c r="H13" s="739"/>
      <c r="I13" s="740"/>
      <c r="J13" s="739"/>
      <c r="K13" s="741"/>
      <c r="L13" s="742"/>
      <c r="M13" s="741"/>
      <c r="N13" s="743"/>
      <c r="O13" s="741">
        <f t="shared" si="3"/>
        <v>585407</v>
      </c>
      <c r="P13" s="739">
        <f t="shared" si="3"/>
        <v>469300</v>
      </c>
    </row>
    <row r="14" spans="1:19" ht="15.75" x14ac:dyDescent="0.25">
      <c r="A14" s="789" t="s">
        <v>270</v>
      </c>
      <c r="B14" s="798" t="s">
        <v>271</v>
      </c>
      <c r="C14" s="781">
        <v>33066</v>
      </c>
      <c r="D14" s="815">
        <v>0</v>
      </c>
      <c r="E14" s="740"/>
      <c r="F14" s="739"/>
      <c r="G14" s="740"/>
      <c r="H14" s="739"/>
      <c r="I14" s="740"/>
      <c r="J14" s="739"/>
      <c r="K14" s="741"/>
      <c r="L14" s="742"/>
      <c r="M14" s="741"/>
      <c r="N14" s="743"/>
      <c r="O14" s="741">
        <f t="shared" si="3"/>
        <v>33066</v>
      </c>
      <c r="P14" s="739">
        <f t="shared" si="3"/>
        <v>0</v>
      </c>
    </row>
    <row r="15" spans="1:19" ht="15.75" x14ac:dyDescent="0.25">
      <c r="A15" s="789" t="s">
        <v>272</v>
      </c>
      <c r="B15" s="798" t="s">
        <v>273</v>
      </c>
      <c r="C15" s="781">
        <v>18000</v>
      </c>
      <c r="D15" s="815">
        <v>25000</v>
      </c>
      <c r="E15" s="740"/>
      <c r="F15" s="739"/>
      <c r="G15" s="740"/>
      <c r="H15" s="739"/>
      <c r="I15" s="740"/>
      <c r="J15" s="739"/>
      <c r="K15" s="741"/>
      <c r="L15" s="742"/>
      <c r="M15" s="741"/>
      <c r="N15" s="743"/>
      <c r="O15" s="741">
        <f t="shared" si="3"/>
        <v>18000</v>
      </c>
      <c r="P15" s="739">
        <f t="shared" si="3"/>
        <v>25000</v>
      </c>
    </row>
    <row r="16" spans="1:19" ht="15.75" x14ac:dyDescent="0.25">
      <c r="A16" s="788" t="s">
        <v>274</v>
      </c>
      <c r="B16" s="797" t="s">
        <v>275</v>
      </c>
      <c r="C16" s="781">
        <v>71247</v>
      </c>
      <c r="D16" s="815">
        <v>121782</v>
      </c>
      <c r="E16" s="740">
        <v>3810</v>
      </c>
      <c r="F16" s="739">
        <v>5080</v>
      </c>
      <c r="G16" s="740">
        <v>15964</v>
      </c>
      <c r="H16" s="739">
        <v>17262</v>
      </c>
      <c r="I16" s="740">
        <v>5461</v>
      </c>
      <c r="J16" s="739">
        <v>3000</v>
      </c>
      <c r="K16" s="741">
        <v>2032</v>
      </c>
      <c r="L16" s="742">
        <v>2032</v>
      </c>
      <c r="M16" s="741">
        <v>4300</v>
      </c>
      <c r="N16" s="743">
        <v>4000</v>
      </c>
      <c r="O16" s="741">
        <f t="shared" si="3"/>
        <v>102814</v>
      </c>
      <c r="P16" s="739">
        <f>+D16+F16+H16+J16+L16+N16</f>
        <v>153156</v>
      </c>
    </row>
    <row r="17" spans="1:16" ht="15.75" x14ac:dyDescent="0.25">
      <c r="A17" s="788" t="s">
        <v>276</v>
      </c>
      <c r="B17" s="797" t="s">
        <v>277</v>
      </c>
      <c r="C17" s="780"/>
      <c r="D17" s="815">
        <v>20000</v>
      </c>
      <c r="E17" s="740">
        <f t="shared" ref="E17:N17" si="5">E18</f>
        <v>0</v>
      </c>
      <c r="F17" s="739">
        <f t="shared" si="5"/>
        <v>0</v>
      </c>
      <c r="G17" s="740">
        <f t="shared" si="5"/>
        <v>0</v>
      </c>
      <c r="H17" s="739">
        <f t="shared" si="5"/>
        <v>0</v>
      </c>
      <c r="I17" s="740">
        <f t="shared" si="5"/>
        <v>0</v>
      </c>
      <c r="J17" s="739">
        <f t="shared" si="5"/>
        <v>0</v>
      </c>
      <c r="K17" s="741">
        <f t="shared" si="5"/>
        <v>0</v>
      </c>
      <c r="L17" s="742">
        <f t="shared" si="5"/>
        <v>0</v>
      </c>
      <c r="M17" s="741">
        <f t="shared" si="5"/>
        <v>0</v>
      </c>
      <c r="N17" s="743">
        <f t="shared" si="5"/>
        <v>0</v>
      </c>
      <c r="O17" s="741">
        <f t="shared" si="3"/>
        <v>0</v>
      </c>
      <c r="P17" s="739">
        <f t="shared" si="3"/>
        <v>20000</v>
      </c>
    </row>
    <row r="18" spans="1:16" ht="15.75" x14ac:dyDescent="0.25">
      <c r="A18" s="629" t="s">
        <v>499</v>
      </c>
      <c r="B18" s="798" t="s">
        <v>279</v>
      </c>
      <c r="C18" s="780"/>
      <c r="D18" s="816">
        <v>20000</v>
      </c>
      <c r="E18" s="740"/>
      <c r="F18" s="739"/>
      <c r="G18" s="740"/>
      <c r="H18" s="739"/>
      <c r="I18" s="740"/>
      <c r="J18" s="739"/>
      <c r="K18" s="741"/>
      <c r="L18" s="742"/>
      <c r="M18" s="741"/>
      <c r="N18" s="743"/>
      <c r="O18" s="741">
        <f t="shared" si="3"/>
        <v>0</v>
      </c>
      <c r="P18" s="739">
        <f t="shared" si="3"/>
        <v>20000</v>
      </c>
    </row>
    <row r="19" spans="1:16" ht="15.75" x14ac:dyDescent="0.25">
      <c r="A19" s="787" t="s">
        <v>280</v>
      </c>
      <c r="B19" s="796"/>
      <c r="C19" s="782">
        <f t="shared" ref="C19:J19" si="6">C20+C23+C26</f>
        <v>197985</v>
      </c>
      <c r="D19" s="814">
        <f t="shared" si="6"/>
        <v>295859</v>
      </c>
      <c r="E19" s="734">
        <f t="shared" si="6"/>
        <v>0</v>
      </c>
      <c r="F19" s="733">
        <f t="shared" si="6"/>
        <v>0</v>
      </c>
      <c r="G19" s="734">
        <f t="shared" si="6"/>
        <v>0</v>
      </c>
      <c r="H19" s="733">
        <f t="shared" si="6"/>
        <v>0</v>
      </c>
      <c r="I19" s="734">
        <f t="shared" si="6"/>
        <v>0</v>
      </c>
      <c r="J19" s="733">
        <f t="shared" si="6"/>
        <v>0</v>
      </c>
      <c r="K19" s="735">
        <f>K20+K23+K26</f>
        <v>0</v>
      </c>
      <c r="L19" s="736">
        <f>L20+L23+L26</f>
        <v>0</v>
      </c>
      <c r="M19" s="735">
        <f>M20+M23+M26</f>
        <v>0</v>
      </c>
      <c r="N19" s="737">
        <f>N20+N23+N26</f>
        <v>0</v>
      </c>
      <c r="O19" s="741">
        <f t="shared" si="3"/>
        <v>197985</v>
      </c>
      <c r="P19" s="733">
        <f t="shared" si="3"/>
        <v>295859</v>
      </c>
    </row>
    <row r="20" spans="1:16" ht="15.75" x14ac:dyDescent="0.25">
      <c r="A20" s="788" t="s">
        <v>281</v>
      </c>
      <c r="B20" s="797" t="s">
        <v>282</v>
      </c>
      <c r="C20" s="780">
        <f>+C22</f>
        <v>190676</v>
      </c>
      <c r="D20" s="815">
        <f>+D22</f>
        <v>295859</v>
      </c>
      <c r="E20" s="740">
        <f t="shared" ref="E20:J20" si="7">E21+E22</f>
        <v>0</v>
      </c>
      <c r="F20" s="739">
        <f t="shared" si="7"/>
        <v>0</v>
      </c>
      <c r="G20" s="740">
        <f t="shared" si="7"/>
        <v>0</v>
      </c>
      <c r="H20" s="739">
        <f t="shared" si="7"/>
        <v>0</v>
      </c>
      <c r="I20" s="740">
        <f t="shared" si="7"/>
        <v>0</v>
      </c>
      <c r="J20" s="739">
        <f t="shared" si="7"/>
        <v>0</v>
      </c>
      <c r="K20" s="741">
        <f>K21+K22</f>
        <v>0</v>
      </c>
      <c r="L20" s="742">
        <f>L21+L22</f>
        <v>0</v>
      </c>
      <c r="M20" s="741">
        <f>M21+M22</f>
        <v>0</v>
      </c>
      <c r="N20" s="743">
        <f>N21+N22</f>
        <v>0</v>
      </c>
      <c r="O20" s="741">
        <f t="shared" si="3"/>
        <v>190676</v>
      </c>
      <c r="P20" s="739">
        <f t="shared" si="3"/>
        <v>295859</v>
      </c>
    </row>
    <row r="21" spans="1:16" ht="15.75" x14ac:dyDescent="0.25">
      <c r="A21" s="791" t="s">
        <v>283</v>
      </c>
      <c r="B21" s="799" t="s">
        <v>284</v>
      </c>
      <c r="C21" s="780"/>
      <c r="D21" s="815"/>
      <c r="E21" s="740"/>
      <c r="F21" s="739"/>
      <c r="G21" s="740"/>
      <c r="H21" s="739"/>
      <c r="I21" s="740"/>
      <c r="J21" s="739"/>
      <c r="K21" s="741"/>
      <c r="L21" s="742"/>
      <c r="M21" s="741"/>
      <c r="N21" s="743"/>
      <c r="O21" s="741">
        <f t="shared" si="3"/>
        <v>0</v>
      </c>
      <c r="P21" s="739">
        <f t="shared" si="3"/>
        <v>0</v>
      </c>
    </row>
    <row r="22" spans="1:16" ht="15.75" x14ac:dyDescent="0.25">
      <c r="A22" s="791" t="s">
        <v>285</v>
      </c>
      <c r="B22" s="799" t="s">
        <v>286</v>
      </c>
      <c r="C22" s="781">
        <v>190676</v>
      </c>
      <c r="D22" s="815">
        <v>295859</v>
      </c>
      <c r="E22" s="740"/>
      <c r="F22" s="739"/>
      <c r="G22" s="740"/>
      <c r="H22" s="739"/>
      <c r="I22" s="740"/>
      <c r="J22" s="739"/>
      <c r="K22" s="741"/>
      <c r="L22" s="742"/>
      <c r="M22" s="741"/>
      <c r="N22" s="743"/>
      <c r="O22" s="741">
        <f t="shared" si="3"/>
        <v>190676</v>
      </c>
      <c r="P22" s="739">
        <f t="shared" si="3"/>
        <v>295859</v>
      </c>
    </row>
    <row r="23" spans="1:16" ht="15.75" x14ac:dyDescent="0.25">
      <c r="A23" s="788" t="s">
        <v>287</v>
      </c>
      <c r="B23" s="797" t="s">
        <v>288</v>
      </c>
      <c r="C23" s="780">
        <f t="shared" ref="C23:J23" si="8">C24+C25</f>
        <v>7309</v>
      </c>
      <c r="D23" s="815">
        <f t="shared" si="8"/>
        <v>0</v>
      </c>
      <c r="E23" s="740">
        <f t="shared" si="8"/>
        <v>0</v>
      </c>
      <c r="F23" s="739">
        <f t="shared" si="8"/>
        <v>0</v>
      </c>
      <c r="G23" s="740">
        <f t="shared" si="8"/>
        <v>0</v>
      </c>
      <c r="H23" s="739">
        <f t="shared" si="8"/>
        <v>0</v>
      </c>
      <c r="I23" s="740">
        <f t="shared" si="8"/>
        <v>0</v>
      </c>
      <c r="J23" s="739">
        <f t="shared" si="8"/>
        <v>0</v>
      </c>
      <c r="K23" s="741">
        <f>K24+K25</f>
        <v>0</v>
      </c>
      <c r="L23" s="742">
        <f>L24+L25</f>
        <v>0</v>
      </c>
      <c r="M23" s="741">
        <f>M24+M25</f>
        <v>0</v>
      </c>
      <c r="N23" s="743">
        <f>N24+N25</f>
        <v>0</v>
      </c>
      <c r="O23" s="741">
        <f t="shared" si="3"/>
        <v>7309</v>
      </c>
      <c r="P23" s="739">
        <f t="shared" si="3"/>
        <v>0</v>
      </c>
    </row>
    <row r="24" spans="1:16" ht="15.75" x14ac:dyDescent="0.25">
      <c r="A24" s="791" t="s">
        <v>289</v>
      </c>
      <c r="B24" s="799" t="s">
        <v>290</v>
      </c>
      <c r="C24" s="781">
        <f>4667+2642</f>
        <v>7309</v>
      </c>
      <c r="D24" s="815"/>
      <c r="E24" s="740"/>
      <c r="F24" s="739"/>
      <c r="G24" s="740"/>
      <c r="H24" s="739"/>
      <c r="I24" s="740"/>
      <c r="J24" s="739"/>
      <c r="K24" s="741"/>
      <c r="L24" s="742"/>
      <c r="M24" s="741"/>
      <c r="N24" s="743"/>
      <c r="O24" s="741">
        <f t="shared" si="3"/>
        <v>7309</v>
      </c>
      <c r="P24" s="739">
        <f t="shared" si="3"/>
        <v>0</v>
      </c>
    </row>
    <row r="25" spans="1:16" ht="15.75" x14ac:dyDescent="0.25">
      <c r="A25" s="791" t="s">
        <v>291</v>
      </c>
      <c r="B25" s="799" t="s">
        <v>292</v>
      </c>
      <c r="C25" s="780"/>
      <c r="D25" s="815"/>
      <c r="E25" s="740"/>
      <c r="F25" s="739"/>
      <c r="G25" s="740"/>
      <c r="H25" s="739"/>
      <c r="I25" s="740"/>
      <c r="J25" s="739"/>
      <c r="K25" s="741"/>
      <c r="L25" s="742"/>
      <c r="M25" s="741"/>
      <c r="N25" s="743"/>
      <c r="O25" s="741">
        <f t="shared" si="3"/>
        <v>0</v>
      </c>
      <c r="P25" s="739">
        <f t="shared" si="3"/>
        <v>0</v>
      </c>
    </row>
    <row r="26" spans="1:16" ht="15.75" x14ac:dyDescent="0.25">
      <c r="A26" s="788" t="s">
        <v>293</v>
      </c>
      <c r="B26" s="797" t="s">
        <v>294</v>
      </c>
      <c r="C26" s="780">
        <f t="shared" ref="C26:N26" si="9">C27</f>
        <v>0</v>
      </c>
      <c r="D26" s="815">
        <f t="shared" si="9"/>
        <v>0</v>
      </c>
      <c r="E26" s="740">
        <f t="shared" si="9"/>
        <v>0</v>
      </c>
      <c r="F26" s="739">
        <f t="shared" si="9"/>
        <v>0</v>
      </c>
      <c r="G26" s="740">
        <f t="shared" si="9"/>
        <v>0</v>
      </c>
      <c r="H26" s="739">
        <f t="shared" si="9"/>
        <v>0</v>
      </c>
      <c r="I26" s="740">
        <f t="shared" si="9"/>
        <v>0</v>
      </c>
      <c r="J26" s="739">
        <f t="shared" si="9"/>
        <v>0</v>
      </c>
      <c r="K26" s="741">
        <f t="shared" si="9"/>
        <v>0</v>
      </c>
      <c r="L26" s="742">
        <f t="shared" si="9"/>
        <v>0</v>
      </c>
      <c r="M26" s="741">
        <f t="shared" si="9"/>
        <v>0</v>
      </c>
      <c r="N26" s="743">
        <f t="shared" si="9"/>
        <v>0</v>
      </c>
      <c r="O26" s="741">
        <f t="shared" si="3"/>
        <v>0</v>
      </c>
      <c r="P26" s="739">
        <f t="shared" si="3"/>
        <v>0</v>
      </c>
    </row>
    <row r="27" spans="1:16" ht="15.75" x14ac:dyDescent="0.25">
      <c r="A27" s="791" t="s">
        <v>295</v>
      </c>
      <c r="B27" s="799" t="s">
        <v>296</v>
      </c>
      <c r="C27" s="780"/>
      <c r="D27" s="815"/>
      <c r="E27" s="740"/>
      <c r="F27" s="739"/>
      <c r="G27" s="740"/>
      <c r="H27" s="739"/>
      <c r="I27" s="740"/>
      <c r="J27" s="739"/>
      <c r="K27" s="741"/>
      <c r="L27" s="742"/>
      <c r="M27" s="741"/>
      <c r="N27" s="743"/>
      <c r="O27" s="741">
        <f t="shared" si="3"/>
        <v>0</v>
      </c>
      <c r="P27" s="739">
        <f t="shared" si="3"/>
        <v>0</v>
      </c>
    </row>
    <row r="28" spans="1:16" ht="15.75" x14ac:dyDescent="0.25">
      <c r="A28" s="792"/>
      <c r="B28" s="798"/>
      <c r="C28" s="780"/>
      <c r="D28" s="815"/>
      <c r="E28" s="740"/>
      <c r="F28" s="739"/>
      <c r="G28" s="740"/>
      <c r="H28" s="739"/>
      <c r="I28" s="740"/>
      <c r="J28" s="739"/>
      <c r="K28" s="741"/>
      <c r="L28" s="742"/>
      <c r="M28" s="741"/>
      <c r="N28" s="743"/>
      <c r="O28" s="744">
        <f t="shared" si="3"/>
        <v>0</v>
      </c>
      <c r="P28" s="739">
        <f t="shared" si="3"/>
        <v>0</v>
      </c>
    </row>
    <row r="29" spans="1:16" ht="16.5" x14ac:dyDescent="0.25">
      <c r="A29" s="793" t="s">
        <v>297</v>
      </c>
      <c r="B29" s="800" t="s">
        <v>298</v>
      </c>
      <c r="C29" s="782">
        <f t="shared" ref="C29:N29" si="10">C30</f>
        <v>407155</v>
      </c>
      <c r="D29" s="814">
        <f t="shared" si="10"/>
        <v>620930</v>
      </c>
      <c r="E29" s="734">
        <f t="shared" si="10"/>
        <v>253003</v>
      </c>
      <c r="F29" s="733">
        <f t="shared" si="10"/>
        <v>240162</v>
      </c>
      <c r="G29" s="734">
        <f t="shared" si="10"/>
        <v>347032</v>
      </c>
      <c r="H29" s="733">
        <f t="shared" si="10"/>
        <v>327880</v>
      </c>
      <c r="I29" s="734">
        <f t="shared" si="10"/>
        <v>63849</v>
      </c>
      <c r="J29" s="733">
        <f t="shared" si="10"/>
        <v>62786</v>
      </c>
      <c r="K29" s="735">
        <f t="shared" si="10"/>
        <v>61895</v>
      </c>
      <c r="L29" s="736">
        <f t="shared" si="10"/>
        <v>64785</v>
      </c>
      <c r="M29" s="735">
        <f t="shared" si="10"/>
        <v>144637</v>
      </c>
      <c r="N29" s="737">
        <f t="shared" si="10"/>
        <v>111112</v>
      </c>
      <c r="O29" s="745">
        <f t="shared" si="3"/>
        <v>1277571</v>
      </c>
      <c r="P29" s="733">
        <f t="shared" si="3"/>
        <v>1427655</v>
      </c>
    </row>
    <row r="30" spans="1:16" ht="16.5" x14ac:dyDescent="0.25">
      <c r="A30" s="787" t="s">
        <v>299</v>
      </c>
      <c r="B30" s="796" t="s">
        <v>300</v>
      </c>
      <c r="C30" s="782">
        <f t="shared" ref="C30:J30" si="11">C31+C32+C33+C34</f>
        <v>407155</v>
      </c>
      <c r="D30" s="814">
        <f t="shared" si="11"/>
        <v>620930</v>
      </c>
      <c r="E30" s="734">
        <f t="shared" si="11"/>
        <v>253003</v>
      </c>
      <c r="F30" s="733">
        <f t="shared" si="11"/>
        <v>240162</v>
      </c>
      <c r="G30" s="734">
        <f t="shared" si="11"/>
        <v>347032</v>
      </c>
      <c r="H30" s="733">
        <f t="shared" si="11"/>
        <v>327880</v>
      </c>
      <c r="I30" s="734">
        <f t="shared" si="11"/>
        <v>63849</v>
      </c>
      <c r="J30" s="733">
        <f t="shared" si="11"/>
        <v>62786</v>
      </c>
      <c r="K30" s="735">
        <f>K31+K32+K33+K34</f>
        <v>61895</v>
      </c>
      <c r="L30" s="736">
        <f>L31+L32+L33+L34</f>
        <v>64785</v>
      </c>
      <c r="M30" s="735">
        <f>M31+M32+M33+M34</f>
        <v>144637</v>
      </c>
      <c r="N30" s="737">
        <f>N31+N32+N33+N34</f>
        <v>111112</v>
      </c>
      <c r="O30" s="728">
        <f t="shared" si="3"/>
        <v>1277571</v>
      </c>
      <c r="P30" s="733">
        <f t="shared" si="3"/>
        <v>1427655</v>
      </c>
    </row>
    <row r="31" spans="1:16" ht="16.5" x14ac:dyDescent="0.25">
      <c r="A31" s="788" t="s">
        <v>301</v>
      </c>
      <c r="B31" s="797" t="s">
        <v>302</v>
      </c>
      <c r="C31" s="780"/>
      <c r="D31" s="779"/>
      <c r="E31" s="740"/>
      <c r="F31" s="739"/>
      <c r="G31" s="740"/>
      <c r="H31" s="739"/>
      <c r="I31" s="740"/>
      <c r="J31" s="739"/>
      <c r="K31" s="741"/>
      <c r="L31" s="742"/>
      <c r="M31" s="741"/>
      <c r="N31" s="743"/>
      <c r="O31" s="746">
        <f t="shared" si="3"/>
        <v>0</v>
      </c>
      <c r="P31" s="739">
        <f t="shared" si="3"/>
        <v>0</v>
      </c>
    </row>
    <row r="32" spans="1:16" ht="16.5" x14ac:dyDescent="0.25">
      <c r="A32" s="788" t="s">
        <v>303</v>
      </c>
      <c r="B32" s="797" t="s">
        <v>304</v>
      </c>
      <c r="C32" s="780"/>
      <c r="D32" s="779"/>
      <c r="E32" s="740"/>
      <c r="F32" s="739"/>
      <c r="G32" s="740"/>
      <c r="H32" s="739"/>
      <c r="I32" s="740"/>
      <c r="J32" s="739"/>
      <c r="K32" s="741"/>
      <c r="L32" s="742"/>
      <c r="M32" s="741"/>
      <c r="N32" s="743"/>
      <c r="O32" s="746">
        <f t="shared" si="3"/>
        <v>0</v>
      </c>
      <c r="P32" s="739">
        <f t="shared" si="3"/>
        <v>0</v>
      </c>
    </row>
    <row r="33" spans="1:18" ht="15.75" x14ac:dyDescent="0.25">
      <c r="A33" s="788" t="s">
        <v>305</v>
      </c>
      <c r="B33" s="797" t="s">
        <v>306</v>
      </c>
      <c r="C33" s="780">
        <v>407155</v>
      </c>
      <c r="D33" s="779">
        <v>620930</v>
      </c>
      <c r="E33" s="740"/>
      <c r="F33" s="747"/>
      <c r="G33" s="740"/>
      <c r="H33" s="747"/>
      <c r="I33" s="740"/>
      <c r="J33" s="747"/>
      <c r="K33" s="741"/>
      <c r="L33" s="748"/>
      <c r="M33" s="741"/>
      <c r="N33" s="743"/>
      <c r="O33" s="741">
        <f t="shared" si="3"/>
        <v>407155</v>
      </c>
      <c r="P33" s="739">
        <f t="shared" si="3"/>
        <v>620930</v>
      </c>
    </row>
    <row r="34" spans="1:18" ht="15.75" x14ac:dyDescent="0.25">
      <c r="A34" s="788" t="s">
        <v>307</v>
      </c>
      <c r="B34" s="797" t="s">
        <v>308</v>
      </c>
      <c r="C34" s="780"/>
      <c r="D34" s="779"/>
      <c r="E34" s="740">
        <v>253003</v>
      </c>
      <c r="F34" s="739">
        <v>240162</v>
      </c>
      <c r="G34" s="740">
        <v>347032</v>
      </c>
      <c r="H34" s="739">
        <v>327880</v>
      </c>
      <c r="I34" s="740">
        <v>63849</v>
      </c>
      <c r="J34" s="739">
        <v>62786</v>
      </c>
      <c r="K34" s="741">
        <v>61895</v>
      </c>
      <c r="L34" s="742">
        <v>64785</v>
      </c>
      <c r="M34" s="741">
        <v>144637</v>
      </c>
      <c r="N34" s="743">
        <v>111112</v>
      </c>
      <c r="O34" s="741">
        <f t="shared" si="3"/>
        <v>870416</v>
      </c>
      <c r="P34" s="739">
        <f>+F34+H34+J34+L34+N34</f>
        <v>806725</v>
      </c>
    </row>
    <row r="35" spans="1:18" ht="17.25" thickBot="1" x14ac:dyDescent="0.3">
      <c r="A35" s="794"/>
      <c r="B35" s="801"/>
      <c r="C35" s="784"/>
      <c r="D35" s="783"/>
      <c r="E35" s="751"/>
      <c r="F35" s="752"/>
      <c r="G35" s="751"/>
      <c r="H35" s="752"/>
      <c r="I35" s="751"/>
      <c r="J35" s="752"/>
      <c r="K35" s="784"/>
      <c r="L35" s="785"/>
      <c r="M35" s="784"/>
      <c r="N35" s="785"/>
      <c r="O35" s="753">
        <f t="shared" si="3"/>
        <v>0</v>
      </c>
      <c r="P35" s="754"/>
    </row>
    <row r="36" spans="1:18" ht="17.25" thickBot="1" x14ac:dyDescent="0.3">
      <c r="A36" s="408" t="s">
        <v>309</v>
      </c>
      <c r="B36" s="636"/>
      <c r="C36" s="757">
        <f t="shared" ref="C36:N36" si="12">C7+C29</f>
        <v>1821824</v>
      </c>
      <c r="D36" s="756">
        <f t="shared" si="12"/>
        <v>2137768</v>
      </c>
      <c r="E36" s="755">
        <f t="shared" si="12"/>
        <v>256813</v>
      </c>
      <c r="F36" s="756">
        <f t="shared" si="12"/>
        <v>245242</v>
      </c>
      <c r="G36" s="755">
        <f t="shared" si="12"/>
        <v>362996</v>
      </c>
      <c r="H36" s="756">
        <f t="shared" si="12"/>
        <v>345142</v>
      </c>
      <c r="I36" s="755">
        <f t="shared" si="12"/>
        <v>69310</v>
      </c>
      <c r="J36" s="756">
        <f t="shared" si="12"/>
        <v>65786</v>
      </c>
      <c r="K36" s="757">
        <f t="shared" si="12"/>
        <v>91927</v>
      </c>
      <c r="L36" s="758">
        <f t="shared" si="12"/>
        <v>97817</v>
      </c>
      <c r="M36" s="757">
        <f t="shared" si="12"/>
        <v>148937</v>
      </c>
      <c r="N36" s="758">
        <f t="shared" si="12"/>
        <v>115112</v>
      </c>
      <c r="O36" s="628">
        <f t="shared" si="3"/>
        <v>2751807</v>
      </c>
      <c r="P36" s="411">
        <f>+D36+F36+H36+J36+L36+N36</f>
        <v>3006867</v>
      </c>
    </row>
    <row r="37" spans="1:18" x14ac:dyDescent="0.2">
      <c r="C37" s="394"/>
      <c r="E37" s="392"/>
      <c r="F37" s="392"/>
    </row>
    <row r="38" spans="1:18" x14ac:dyDescent="0.2">
      <c r="C38" s="394"/>
      <c r="E38" s="392"/>
      <c r="F38" s="392"/>
    </row>
    <row r="39" spans="1:18" ht="16.5" thickBot="1" x14ac:dyDescent="0.3">
      <c r="C39" s="396"/>
      <c r="D39" s="396"/>
      <c r="E39" s="394"/>
      <c r="F39" s="392"/>
      <c r="H39" s="392"/>
      <c r="I39" s="392"/>
      <c r="J39" s="3"/>
      <c r="K39" s="3"/>
      <c r="L39" s="3"/>
      <c r="M39" s="3"/>
      <c r="N39" s="3"/>
      <c r="O39" s="392"/>
      <c r="P39" s="396" t="s">
        <v>253</v>
      </c>
    </row>
    <row r="40" spans="1:18" ht="16.5" customHeight="1" x14ac:dyDescent="0.2">
      <c r="A40" s="863" t="s">
        <v>310</v>
      </c>
      <c r="B40" s="865" t="s">
        <v>472</v>
      </c>
      <c r="C40" s="861" t="s">
        <v>141</v>
      </c>
      <c r="D40" s="862"/>
      <c r="E40" s="861" t="s">
        <v>163</v>
      </c>
      <c r="F40" s="867"/>
      <c r="G40" s="861" t="s">
        <v>164</v>
      </c>
      <c r="H40" s="867"/>
      <c r="I40" s="861" t="s">
        <v>165</v>
      </c>
      <c r="J40" s="867"/>
      <c r="K40" s="859" t="s">
        <v>255</v>
      </c>
      <c r="L40" s="860"/>
      <c r="M40" s="859" t="s">
        <v>446</v>
      </c>
      <c r="N40" s="868"/>
      <c r="O40" s="861" t="s">
        <v>114</v>
      </c>
      <c r="P40" s="862"/>
    </row>
    <row r="41" spans="1:18" ht="33.75" thickBot="1" x14ac:dyDescent="0.25">
      <c r="A41" s="864"/>
      <c r="B41" s="866"/>
      <c r="C41" s="722" t="s">
        <v>470</v>
      </c>
      <c r="D41" s="605" t="s">
        <v>493</v>
      </c>
      <c r="E41" s="722" t="s">
        <v>470</v>
      </c>
      <c r="F41" s="605" t="s">
        <v>493</v>
      </c>
      <c r="G41" s="722" t="s">
        <v>470</v>
      </c>
      <c r="H41" s="605" t="s">
        <v>493</v>
      </c>
      <c r="I41" s="722" t="s">
        <v>470</v>
      </c>
      <c r="J41" s="605" t="s">
        <v>493</v>
      </c>
      <c r="K41" s="722" t="s">
        <v>470</v>
      </c>
      <c r="L41" s="605" t="s">
        <v>493</v>
      </c>
      <c r="M41" s="722" t="s">
        <v>470</v>
      </c>
      <c r="N41" s="605" t="s">
        <v>493</v>
      </c>
      <c r="O41" s="722" t="s">
        <v>470</v>
      </c>
      <c r="P41" s="605" t="s">
        <v>493</v>
      </c>
    </row>
    <row r="42" spans="1:18" ht="16.5" x14ac:dyDescent="0.25">
      <c r="A42" s="398" t="s">
        <v>311</v>
      </c>
      <c r="B42" s="399" t="s">
        <v>312</v>
      </c>
      <c r="C42" s="759">
        <f t="shared" ref="C42:N42" si="13">C43+C53</f>
        <v>951408</v>
      </c>
      <c r="D42" s="727">
        <f t="shared" si="13"/>
        <v>1331043</v>
      </c>
      <c r="E42" s="759">
        <f t="shared" si="13"/>
        <v>256813</v>
      </c>
      <c r="F42" s="767">
        <f t="shared" si="13"/>
        <v>245242</v>
      </c>
      <c r="G42" s="759">
        <f t="shared" si="13"/>
        <v>362996</v>
      </c>
      <c r="H42" s="760">
        <f t="shared" si="13"/>
        <v>345142</v>
      </c>
      <c r="I42" s="759">
        <f t="shared" si="13"/>
        <v>69310</v>
      </c>
      <c r="J42" s="760">
        <f t="shared" si="13"/>
        <v>65786</v>
      </c>
      <c r="K42" s="759">
        <f t="shared" si="13"/>
        <v>91927</v>
      </c>
      <c r="L42" s="760">
        <f t="shared" si="13"/>
        <v>97817</v>
      </c>
      <c r="M42" s="759">
        <f t="shared" si="13"/>
        <v>148937</v>
      </c>
      <c r="N42" s="760">
        <f t="shared" si="13"/>
        <v>115112</v>
      </c>
      <c r="O42" s="759">
        <f>C42+E42+G42+I42+K42+M42</f>
        <v>1881391</v>
      </c>
      <c r="P42" s="777">
        <f>D42+F42+H42+J42+L42+N42</f>
        <v>2200142</v>
      </c>
      <c r="R42" s="33"/>
    </row>
    <row r="43" spans="1:18" ht="16.5" x14ac:dyDescent="0.25">
      <c r="A43" s="400" t="s">
        <v>259</v>
      </c>
      <c r="B43" s="401"/>
      <c r="C43" s="732">
        <f t="shared" ref="C43:N43" si="14">C44+C45+C46+C47+C48</f>
        <v>461871</v>
      </c>
      <c r="D43" s="733">
        <f t="shared" si="14"/>
        <v>543790</v>
      </c>
      <c r="E43" s="732">
        <f t="shared" si="14"/>
        <v>254589</v>
      </c>
      <c r="F43" s="736">
        <f t="shared" si="14"/>
        <v>243426</v>
      </c>
      <c r="G43" s="732">
        <f t="shared" si="14"/>
        <v>361827</v>
      </c>
      <c r="H43" s="736">
        <f t="shared" si="14"/>
        <v>345036</v>
      </c>
      <c r="I43" s="732">
        <f t="shared" si="14"/>
        <v>68573</v>
      </c>
      <c r="J43" s="736">
        <f t="shared" si="14"/>
        <v>64986</v>
      </c>
      <c r="K43" s="732">
        <f t="shared" si="14"/>
        <v>89514</v>
      </c>
      <c r="L43" s="736">
        <f t="shared" si="14"/>
        <v>96953</v>
      </c>
      <c r="M43" s="732">
        <f t="shared" si="14"/>
        <v>145652</v>
      </c>
      <c r="N43" s="736">
        <f t="shared" si="14"/>
        <v>114612</v>
      </c>
      <c r="O43" s="761">
        <f>C43+E43+G43+I43+K43+M43</f>
        <v>1382026</v>
      </c>
      <c r="P43" s="725">
        <f>D43+F43+H43+J43+L43+N43</f>
        <v>1408803</v>
      </c>
    </row>
    <row r="44" spans="1:18" ht="15.75" x14ac:dyDescent="0.25">
      <c r="A44" s="404" t="s">
        <v>313</v>
      </c>
      <c r="B44" s="403" t="s">
        <v>314</v>
      </c>
      <c r="C44" s="738">
        <v>37682</v>
      </c>
      <c r="D44" s="739">
        <v>44144</v>
      </c>
      <c r="E44" s="738">
        <v>174110</v>
      </c>
      <c r="F44" s="742">
        <f>175256</f>
        <v>175256</v>
      </c>
      <c r="G44" s="738">
        <v>225599</v>
      </c>
      <c r="H44" s="742">
        <v>218583</v>
      </c>
      <c r="I44" s="738">
        <v>35238</v>
      </c>
      <c r="J44" s="742">
        <v>35746</v>
      </c>
      <c r="K44" s="738">
        <v>64311</v>
      </c>
      <c r="L44" s="742">
        <v>72341</v>
      </c>
      <c r="M44" s="738">
        <v>58449</v>
      </c>
      <c r="N44" s="742">
        <v>62533</v>
      </c>
      <c r="O44" s="741">
        <f>C44+E44+G44+I44+K44+M44</f>
        <v>595389</v>
      </c>
      <c r="P44" s="739">
        <f t="shared" ref="P44:P65" si="15">D44+F44+H44+J44+L44+N44</f>
        <v>608603</v>
      </c>
    </row>
    <row r="45" spans="1:18" ht="15.75" x14ac:dyDescent="0.25">
      <c r="A45" s="404" t="s">
        <v>315</v>
      </c>
      <c r="B45" s="403" t="s">
        <v>316</v>
      </c>
      <c r="C45" s="738">
        <v>7789</v>
      </c>
      <c r="D45" s="739">
        <v>8091</v>
      </c>
      <c r="E45" s="738">
        <v>33035</v>
      </c>
      <c r="F45" s="742">
        <v>30084</v>
      </c>
      <c r="G45" s="738">
        <v>44933</v>
      </c>
      <c r="H45" s="742">
        <v>35475</v>
      </c>
      <c r="I45" s="738">
        <v>6490</v>
      </c>
      <c r="J45" s="742">
        <v>5930</v>
      </c>
      <c r="K45" s="738">
        <v>11540</v>
      </c>
      <c r="L45" s="742">
        <v>11636</v>
      </c>
      <c r="M45" s="738">
        <v>10373</v>
      </c>
      <c r="N45" s="742">
        <v>10308</v>
      </c>
      <c r="O45" s="741">
        <f t="shared" ref="O45:O52" si="16">C45+E45+G45+I45+K45+M45</f>
        <v>114160</v>
      </c>
      <c r="P45" s="739">
        <f t="shared" si="15"/>
        <v>101524</v>
      </c>
    </row>
    <row r="46" spans="1:18" ht="15.75" x14ac:dyDescent="0.25">
      <c r="A46" s="404" t="s">
        <v>317</v>
      </c>
      <c r="B46" s="403" t="s">
        <v>318</v>
      </c>
      <c r="C46" s="738">
        <v>273025</v>
      </c>
      <c r="D46" s="739">
        <v>320394</v>
      </c>
      <c r="E46" s="738">
        <v>47444</v>
      </c>
      <c r="F46" s="742">
        <v>38086</v>
      </c>
      <c r="G46" s="738">
        <v>91295</v>
      </c>
      <c r="H46" s="742">
        <v>90978</v>
      </c>
      <c r="I46" s="738">
        <v>26845</v>
      </c>
      <c r="J46" s="742">
        <v>23310</v>
      </c>
      <c r="K46" s="738">
        <v>13663</v>
      </c>
      <c r="L46" s="742">
        <v>12976</v>
      </c>
      <c r="M46" s="738">
        <v>76830</v>
      </c>
      <c r="N46" s="742">
        <v>41771</v>
      </c>
      <c r="O46" s="741">
        <f t="shared" si="16"/>
        <v>529102</v>
      </c>
      <c r="P46" s="739">
        <f t="shared" si="15"/>
        <v>527515</v>
      </c>
    </row>
    <row r="47" spans="1:18" ht="15.75" x14ac:dyDescent="0.25">
      <c r="A47" s="404" t="s">
        <v>319</v>
      </c>
      <c r="B47" s="403" t="s">
        <v>320</v>
      </c>
      <c r="C47" s="738">
        <v>37000</v>
      </c>
      <c r="D47" s="739">
        <v>24494</v>
      </c>
      <c r="E47" s="738"/>
      <c r="F47" s="742"/>
      <c r="G47" s="738"/>
      <c r="H47" s="742"/>
      <c r="I47" s="738"/>
      <c r="J47" s="742"/>
      <c r="K47" s="738"/>
      <c r="L47" s="742"/>
      <c r="M47" s="738"/>
      <c r="N47" s="742"/>
      <c r="O47" s="741">
        <f t="shared" si="16"/>
        <v>37000</v>
      </c>
      <c r="P47" s="739">
        <f t="shared" si="15"/>
        <v>24494</v>
      </c>
    </row>
    <row r="48" spans="1:18" ht="15.75" x14ac:dyDescent="0.25">
      <c r="A48" s="404" t="s">
        <v>321</v>
      </c>
      <c r="B48" s="403" t="s">
        <v>322</v>
      </c>
      <c r="C48" s="738">
        <f>C49+C50+C51+C52</f>
        <v>106375</v>
      </c>
      <c r="D48" s="739">
        <f>D49+D50+D51+D52</f>
        <v>146667</v>
      </c>
      <c r="E48" s="738">
        <f t="shared" ref="E48:N48" si="17">E50+E51+E52</f>
        <v>0</v>
      </c>
      <c r="F48" s="742">
        <f t="shared" si="17"/>
        <v>0</v>
      </c>
      <c r="G48" s="738">
        <f t="shared" si="17"/>
        <v>0</v>
      </c>
      <c r="H48" s="742">
        <f t="shared" si="17"/>
        <v>0</v>
      </c>
      <c r="I48" s="738">
        <f t="shared" si="17"/>
        <v>0</v>
      </c>
      <c r="J48" s="742">
        <f t="shared" si="17"/>
        <v>0</v>
      </c>
      <c r="K48" s="738">
        <f t="shared" si="17"/>
        <v>0</v>
      </c>
      <c r="L48" s="742">
        <f t="shared" si="17"/>
        <v>0</v>
      </c>
      <c r="M48" s="738">
        <f t="shared" si="17"/>
        <v>0</v>
      </c>
      <c r="N48" s="742">
        <f t="shared" si="17"/>
        <v>0</v>
      </c>
      <c r="O48" s="762">
        <f t="shared" si="16"/>
        <v>106375</v>
      </c>
      <c r="P48" s="739">
        <f t="shared" si="15"/>
        <v>146667</v>
      </c>
    </row>
    <row r="49" spans="1:16" ht="15.75" x14ac:dyDescent="0.25">
      <c r="A49" s="629" t="s">
        <v>449</v>
      </c>
      <c r="B49" s="403"/>
      <c r="C49" s="763">
        <v>1650</v>
      </c>
      <c r="D49" s="764">
        <v>988</v>
      </c>
      <c r="E49" s="738"/>
      <c r="F49" s="742"/>
      <c r="G49" s="738"/>
      <c r="H49" s="742"/>
      <c r="I49" s="738"/>
      <c r="J49" s="742"/>
      <c r="K49" s="738"/>
      <c r="L49" s="742"/>
      <c r="M49" s="738"/>
      <c r="N49" s="742"/>
      <c r="O49" s="762">
        <f>C49+E49+G49+I49+K49+M49</f>
        <v>1650</v>
      </c>
      <c r="P49" s="764">
        <f t="shared" si="15"/>
        <v>988</v>
      </c>
    </row>
    <row r="50" spans="1:16" ht="15.75" x14ac:dyDescent="0.25">
      <c r="A50" s="629" t="s">
        <v>450</v>
      </c>
      <c r="B50" s="403" t="s">
        <v>324</v>
      </c>
      <c r="C50" s="763">
        <v>19492</v>
      </c>
      <c r="D50" s="816">
        <f>+'7.sz.Műk.c.átadott.pe. '!C23</f>
        <v>48751</v>
      </c>
      <c r="E50" s="738"/>
      <c r="F50" s="742"/>
      <c r="G50" s="738"/>
      <c r="H50" s="742"/>
      <c r="I50" s="738"/>
      <c r="J50" s="742"/>
      <c r="K50" s="738"/>
      <c r="L50" s="742"/>
      <c r="M50" s="738"/>
      <c r="N50" s="742"/>
      <c r="O50" s="762">
        <f t="shared" si="16"/>
        <v>19492</v>
      </c>
      <c r="P50" s="764">
        <f t="shared" si="15"/>
        <v>48751</v>
      </c>
    </row>
    <row r="51" spans="1:16" ht="15.75" x14ac:dyDescent="0.25">
      <c r="A51" s="629" t="s">
        <v>451</v>
      </c>
      <c r="B51" s="403" t="s">
        <v>326</v>
      </c>
      <c r="C51" s="763">
        <v>26983</v>
      </c>
      <c r="D51" s="816">
        <f>+'7.sz.Műk.c.átadott.pe. '!C13</f>
        <v>20830</v>
      </c>
      <c r="E51" s="738"/>
      <c r="F51" s="742"/>
      <c r="G51" s="738"/>
      <c r="H51" s="742"/>
      <c r="I51" s="738"/>
      <c r="J51" s="742"/>
      <c r="K51" s="738"/>
      <c r="L51" s="742"/>
      <c r="M51" s="738"/>
      <c r="N51" s="742"/>
      <c r="O51" s="762">
        <f t="shared" si="16"/>
        <v>26983</v>
      </c>
      <c r="P51" s="764">
        <f t="shared" si="15"/>
        <v>20830</v>
      </c>
    </row>
    <row r="52" spans="1:16" ht="15.75" x14ac:dyDescent="0.25">
      <c r="A52" s="402" t="s">
        <v>327</v>
      </c>
      <c r="B52" s="403" t="s">
        <v>328</v>
      </c>
      <c r="C52" s="763">
        <v>58250</v>
      </c>
      <c r="D52" s="816">
        <v>76098</v>
      </c>
      <c r="E52" s="738"/>
      <c r="F52" s="742"/>
      <c r="G52" s="738"/>
      <c r="H52" s="742"/>
      <c r="I52" s="738"/>
      <c r="J52" s="742"/>
      <c r="K52" s="738"/>
      <c r="L52" s="742"/>
      <c r="M52" s="738"/>
      <c r="N52" s="742"/>
      <c r="O52" s="741">
        <f t="shared" si="16"/>
        <v>58250</v>
      </c>
      <c r="P52" s="739">
        <f t="shared" si="15"/>
        <v>76098</v>
      </c>
    </row>
    <row r="53" spans="1:16" ht="16.5" x14ac:dyDescent="0.25">
      <c r="A53" s="400" t="s">
        <v>329</v>
      </c>
      <c r="B53" s="401"/>
      <c r="C53" s="732">
        <f t="shared" ref="C53:L53" si="18">C54+C55+C56</f>
        <v>489537</v>
      </c>
      <c r="D53" s="817">
        <f t="shared" si="18"/>
        <v>787253</v>
      </c>
      <c r="E53" s="732">
        <f t="shared" si="18"/>
        <v>2224</v>
      </c>
      <c r="F53" s="736">
        <f t="shared" si="18"/>
        <v>1816</v>
      </c>
      <c r="G53" s="732">
        <f t="shared" si="18"/>
        <v>1169</v>
      </c>
      <c r="H53" s="736">
        <f t="shared" si="18"/>
        <v>106</v>
      </c>
      <c r="I53" s="732">
        <f t="shared" si="18"/>
        <v>737</v>
      </c>
      <c r="J53" s="736">
        <f t="shared" si="18"/>
        <v>800</v>
      </c>
      <c r="K53" s="732">
        <f t="shared" si="18"/>
        <v>2413</v>
      </c>
      <c r="L53" s="736">
        <f t="shared" si="18"/>
        <v>864</v>
      </c>
      <c r="M53" s="732">
        <f t="shared" ref="M53:N53" si="19">M54+M55+M56</f>
        <v>3285</v>
      </c>
      <c r="N53" s="732">
        <f t="shared" si="19"/>
        <v>500</v>
      </c>
      <c r="O53" s="761">
        <f t="shared" ref="O53:O64" si="20">C53+E53+G53+I53+K53</f>
        <v>496080</v>
      </c>
      <c r="P53" s="725">
        <f t="shared" si="15"/>
        <v>791339</v>
      </c>
    </row>
    <row r="54" spans="1:16" ht="15.75" x14ac:dyDescent="0.25">
      <c r="A54" s="404" t="s">
        <v>330</v>
      </c>
      <c r="B54" s="403" t="s">
        <v>331</v>
      </c>
      <c r="C54" s="738">
        <v>479437</v>
      </c>
      <c r="D54" s="806">
        <v>780302</v>
      </c>
      <c r="E54" s="738">
        <v>2224</v>
      </c>
      <c r="F54" s="742">
        <v>1816</v>
      </c>
      <c r="G54" s="738">
        <v>1169</v>
      </c>
      <c r="H54" s="742">
        <v>106</v>
      </c>
      <c r="I54" s="738">
        <v>737</v>
      </c>
      <c r="J54" s="742">
        <v>800</v>
      </c>
      <c r="K54" s="738">
        <v>2413</v>
      </c>
      <c r="L54" s="742">
        <v>864</v>
      </c>
      <c r="M54" s="738">
        <v>3285</v>
      </c>
      <c r="N54" s="742">
        <v>500</v>
      </c>
      <c r="O54" s="741">
        <f t="shared" si="20"/>
        <v>485980</v>
      </c>
      <c r="P54" s="739">
        <f t="shared" si="15"/>
        <v>784388</v>
      </c>
    </row>
    <row r="55" spans="1:16" ht="15.75" x14ac:dyDescent="0.25">
      <c r="A55" s="404" t="s">
        <v>332</v>
      </c>
      <c r="B55" s="403" t="s">
        <v>333</v>
      </c>
      <c r="C55" s="738">
        <v>7200</v>
      </c>
      <c r="D55" s="739">
        <v>6951</v>
      </c>
      <c r="E55" s="738"/>
      <c r="F55" s="742"/>
      <c r="G55" s="738"/>
      <c r="H55" s="742"/>
      <c r="I55" s="738"/>
      <c r="J55" s="742"/>
      <c r="K55" s="738"/>
      <c r="L55" s="742"/>
      <c r="M55" s="738"/>
      <c r="N55" s="742"/>
      <c r="O55" s="741">
        <f t="shared" si="20"/>
        <v>7200</v>
      </c>
      <c r="P55" s="739">
        <f t="shared" si="15"/>
        <v>6951</v>
      </c>
    </row>
    <row r="56" spans="1:16" ht="15.75" x14ac:dyDescent="0.25">
      <c r="A56" s="404" t="s">
        <v>334</v>
      </c>
      <c r="B56" s="403" t="s">
        <v>335</v>
      </c>
      <c r="C56" s="738">
        <f t="shared" ref="C56:N56" si="21">C57+C58</f>
        <v>2900</v>
      </c>
      <c r="D56" s="739">
        <f t="shared" si="21"/>
        <v>0</v>
      </c>
      <c r="E56" s="738">
        <f t="shared" si="21"/>
        <v>0</v>
      </c>
      <c r="F56" s="742">
        <f t="shared" si="21"/>
        <v>0</v>
      </c>
      <c r="G56" s="738">
        <f t="shared" si="21"/>
        <v>0</v>
      </c>
      <c r="H56" s="742">
        <f t="shared" si="21"/>
        <v>0</v>
      </c>
      <c r="I56" s="738">
        <f t="shared" si="21"/>
        <v>0</v>
      </c>
      <c r="J56" s="742">
        <f t="shared" si="21"/>
        <v>0</v>
      </c>
      <c r="K56" s="738">
        <f t="shared" si="21"/>
        <v>0</v>
      </c>
      <c r="L56" s="742">
        <f t="shared" si="21"/>
        <v>0</v>
      </c>
      <c r="M56" s="738">
        <f t="shared" si="21"/>
        <v>0</v>
      </c>
      <c r="N56" s="742">
        <f t="shared" si="21"/>
        <v>0</v>
      </c>
      <c r="O56" s="741">
        <f t="shared" si="20"/>
        <v>2900</v>
      </c>
      <c r="P56" s="739">
        <f t="shared" si="15"/>
        <v>0</v>
      </c>
    </row>
    <row r="57" spans="1:16" ht="15.75" x14ac:dyDescent="0.25">
      <c r="A57" s="629" t="s">
        <v>336</v>
      </c>
      <c r="B57" s="403" t="s">
        <v>337</v>
      </c>
      <c r="C57" s="763">
        <v>900</v>
      </c>
      <c r="D57" s="764"/>
      <c r="E57" s="738"/>
      <c r="F57" s="742"/>
      <c r="G57" s="738"/>
      <c r="H57" s="742"/>
      <c r="I57" s="738"/>
      <c r="J57" s="742"/>
      <c r="K57" s="738"/>
      <c r="L57" s="742"/>
      <c r="M57" s="738"/>
      <c r="N57" s="742"/>
      <c r="O57" s="741">
        <f t="shared" si="20"/>
        <v>900</v>
      </c>
      <c r="P57" s="739">
        <f t="shared" si="15"/>
        <v>0</v>
      </c>
    </row>
    <row r="58" spans="1:16" ht="15.75" x14ac:dyDescent="0.25">
      <c r="A58" s="629" t="s">
        <v>338</v>
      </c>
      <c r="B58" s="403" t="s">
        <v>339</v>
      </c>
      <c r="C58" s="763">
        <v>2000</v>
      </c>
      <c r="D58" s="764"/>
      <c r="E58" s="738"/>
      <c r="F58" s="742"/>
      <c r="G58" s="738"/>
      <c r="H58" s="742"/>
      <c r="I58" s="738"/>
      <c r="J58" s="742"/>
      <c r="K58" s="738"/>
      <c r="L58" s="742"/>
      <c r="M58" s="738"/>
      <c r="N58" s="742"/>
      <c r="O58" s="741">
        <f t="shared" si="20"/>
        <v>2000</v>
      </c>
      <c r="P58" s="739">
        <f t="shared" si="15"/>
        <v>0</v>
      </c>
    </row>
    <row r="59" spans="1:16" ht="15.75" x14ac:dyDescent="0.25">
      <c r="A59" s="402"/>
      <c r="B59" s="403"/>
      <c r="C59" s="738"/>
      <c r="D59" s="739"/>
      <c r="E59" s="738"/>
      <c r="F59" s="742"/>
      <c r="G59" s="738"/>
      <c r="H59" s="742"/>
      <c r="I59" s="738"/>
      <c r="J59" s="742"/>
      <c r="K59" s="738"/>
      <c r="L59" s="742"/>
      <c r="M59" s="738"/>
      <c r="N59" s="742"/>
      <c r="O59" s="741"/>
      <c r="P59" s="739"/>
    </row>
    <row r="60" spans="1:16" ht="16.5" x14ac:dyDescent="0.25">
      <c r="A60" s="405" t="s">
        <v>340</v>
      </c>
      <c r="B60" s="406" t="s">
        <v>341</v>
      </c>
      <c r="C60" s="761">
        <f>C61</f>
        <v>870416</v>
      </c>
      <c r="D60" s="725">
        <f>D61</f>
        <v>806725</v>
      </c>
      <c r="E60" s="761">
        <f t="shared" ref="E60:J60" si="22">E61</f>
        <v>0</v>
      </c>
      <c r="F60" s="729">
        <f t="shared" si="22"/>
        <v>0</v>
      </c>
      <c r="G60" s="761">
        <f t="shared" si="22"/>
        <v>0</v>
      </c>
      <c r="H60" s="729">
        <f t="shared" si="22"/>
        <v>0</v>
      </c>
      <c r="I60" s="761">
        <f t="shared" si="22"/>
        <v>0</v>
      </c>
      <c r="J60" s="729">
        <f t="shared" si="22"/>
        <v>0</v>
      </c>
      <c r="K60" s="761">
        <f>K61</f>
        <v>0</v>
      </c>
      <c r="L60" s="729">
        <f>L61</f>
        <v>0</v>
      </c>
      <c r="M60" s="761">
        <f>M61</f>
        <v>0</v>
      </c>
      <c r="N60" s="729">
        <f>N61</f>
        <v>0</v>
      </c>
      <c r="O60" s="761">
        <f t="shared" si="20"/>
        <v>870416</v>
      </c>
      <c r="P60" s="725">
        <f t="shared" si="15"/>
        <v>806725</v>
      </c>
    </row>
    <row r="61" spans="1:16" ht="16.5" x14ac:dyDescent="0.25">
      <c r="A61" s="400" t="s">
        <v>342</v>
      </c>
      <c r="B61" s="401" t="s">
        <v>343</v>
      </c>
      <c r="C61" s="732">
        <f>C62+C63+C64</f>
        <v>870416</v>
      </c>
      <c r="D61" s="733">
        <f>D62+D63+D64</f>
        <v>806725</v>
      </c>
      <c r="E61" s="732">
        <f t="shared" ref="E61:N61" si="23">E62+E63+E64</f>
        <v>0</v>
      </c>
      <c r="F61" s="736">
        <f t="shared" si="23"/>
        <v>0</v>
      </c>
      <c r="G61" s="732">
        <f t="shared" si="23"/>
        <v>0</v>
      </c>
      <c r="H61" s="736">
        <f t="shared" si="23"/>
        <v>0</v>
      </c>
      <c r="I61" s="732">
        <f t="shared" si="23"/>
        <v>0</v>
      </c>
      <c r="J61" s="736">
        <f t="shared" si="23"/>
        <v>0</v>
      </c>
      <c r="K61" s="732">
        <f t="shared" si="23"/>
        <v>0</v>
      </c>
      <c r="L61" s="736">
        <f t="shared" si="23"/>
        <v>0</v>
      </c>
      <c r="M61" s="732">
        <f t="shared" si="23"/>
        <v>0</v>
      </c>
      <c r="N61" s="736">
        <f t="shared" si="23"/>
        <v>0</v>
      </c>
      <c r="O61" s="761">
        <f>C61+E61+G61+I61+K61</f>
        <v>870416</v>
      </c>
      <c r="P61" s="725">
        <f>D61+F61+H61+J61+L61+N61</f>
        <v>806725</v>
      </c>
    </row>
    <row r="62" spans="1:16" ht="15.75" x14ac:dyDescent="0.25">
      <c r="A62" s="404" t="s">
        <v>344</v>
      </c>
      <c r="B62" s="403" t="s">
        <v>345</v>
      </c>
      <c r="C62" s="738"/>
      <c r="D62" s="739"/>
      <c r="E62" s="738"/>
      <c r="F62" s="742"/>
      <c r="G62" s="738"/>
      <c r="H62" s="742"/>
      <c r="I62" s="738"/>
      <c r="J62" s="742"/>
      <c r="K62" s="738"/>
      <c r="L62" s="742"/>
      <c r="M62" s="738"/>
      <c r="N62" s="742"/>
      <c r="O62" s="741">
        <f t="shared" si="20"/>
        <v>0</v>
      </c>
      <c r="P62" s="739">
        <f t="shared" si="15"/>
        <v>0</v>
      </c>
    </row>
    <row r="63" spans="1:16" ht="15.75" x14ac:dyDescent="0.25">
      <c r="A63" s="404" t="s">
        <v>346</v>
      </c>
      <c r="B63" s="403" t="s">
        <v>347</v>
      </c>
      <c r="C63" s="738"/>
      <c r="D63" s="739"/>
      <c r="E63" s="738"/>
      <c r="F63" s="742"/>
      <c r="G63" s="738"/>
      <c r="H63" s="742"/>
      <c r="I63" s="738"/>
      <c r="J63" s="742"/>
      <c r="K63" s="738"/>
      <c r="L63" s="742"/>
      <c r="M63" s="738"/>
      <c r="N63" s="742"/>
      <c r="O63" s="741">
        <f t="shared" si="20"/>
        <v>0</v>
      </c>
      <c r="P63" s="739">
        <f t="shared" si="15"/>
        <v>0</v>
      </c>
    </row>
    <row r="64" spans="1:16" ht="15.75" x14ac:dyDescent="0.25">
      <c r="A64" s="404" t="s">
        <v>348</v>
      </c>
      <c r="B64" s="403" t="s">
        <v>349</v>
      </c>
      <c r="C64" s="738">
        <f>+O34</f>
        <v>870416</v>
      </c>
      <c r="D64" s="739">
        <f>+P34</f>
        <v>806725</v>
      </c>
      <c r="E64" s="738"/>
      <c r="F64" s="742"/>
      <c r="G64" s="738"/>
      <c r="H64" s="742"/>
      <c r="I64" s="738"/>
      <c r="J64" s="742"/>
      <c r="K64" s="738"/>
      <c r="L64" s="742"/>
      <c r="M64" s="738"/>
      <c r="N64" s="742"/>
      <c r="O64" s="741">
        <f t="shared" si="20"/>
        <v>870416</v>
      </c>
      <c r="P64" s="739">
        <f t="shared" si="15"/>
        <v>806725</v>
      </c>
    </row>
    <row r="65" spans="1:16" ht="16.5" thickBot="1" x14ac:dyDescent="0.3">
      <c r="A65" s="410"/>
      <c r="B65" s="407"/>
      <c r="C65" s="749"/>
      <c r="D65" s="750"/>
      <c r="E65" s="749"/>
      <c r="F65" s="765"/>
      <c r="G65" s="749"/>
      <c r="H65" s="765"/>
      <c r="I65" s="749"/>
      <c r="J65" s="765"/>
      <c r="K65" s="749"/>
      <c r="L65" s="765"/>
      <c r="M65" s="749"/>
      <c r="N65" s="765"/>
      <c r="O65" s="741"/>
      <c r="P65" s="739">
        <f t="shared" si="15"/>
        <v>0</v>
      </c>
    </row>
    <row r="66" spans="1:16" ht="17.25" thickBot="1" x14ac:dyDescent="0.3">
      <c r="A66" s="408" t="s">
        <v>350</v>
      </c>
      <c r="B66" s="409"/>
      <c r="C66" s="755">
        <f t="shared" ref="C66:P66" si="24">C42+C60</f>
        <v>1821824</v>
      </c>
      <c r="D66" s="756">
        <f t="shared" si="24"/>
        <v>2137768</v>
      </c>
      <c r="E66" s="755">
        <f t="shared" si="24"/>
        <v>256813</v>
      </c>
      <c r="F66" s="766">
        <f t="shared" si="24"/>
        <v>245242</v>
      </c>
      <c r="G66" s="755">
        <f t="shared" si="24"/>
        <v>362996</v>
      </c>
      <c r="H66" s="766">
        <f t="shared" si="24"/>
        <v>345142</v>
      </c>
      <c r="I66" s="755">
        <f t="shared" si="24"/>
        <v>69310</v>
      </c>
      <c r="J66" s="766">
        <f t="shared" si="24"/>
        <v>65786</v>
      </c>
      <c r="K66" s="755">
        <f t="shared" si="24"/>
        <v>91927</v>
      </c>
      <c r="L66" s="766">
        <f t="shared" si="24"/>
        <v>97817</v>
      </c>
      <c r="M66" s="755">
        <f t="shared" si="24"/>
        <v>148937</v>
      </c>
      <c r="N66" s="766">
        <f t="shared" si="24"/>
        <v>115112</v>
      </c>
      <c r="O66" s="628">
        <f>O42+O60</f>
        <v>2751807</v>
      </c>
      <c r="P66" s="411">
        <f t="shared" si="24"/>
        <v>3006867</v>
      </c>
    </row>
    <row r="68" spans="1:16" x14ac:dyDescent="0.2">
      <c r="D68" s="394">
        <f>+D36-D66</f>
        <v>0</v>
      </c>
    </row>
  </sheetData>
  <mergeCells count="19">
    <mergeCell ref="A2:P2"/>
    <mergeCell ref="A5:A6"/>
    <mergeCell ref="B5:B6"/>
    <mergeCell ref="C5:D5"/>
    <mergeCell ref="E5:F5"/>
    <mergeCell ref="G5:H5"/>
    <mergeCell ref="I5:J5"/>
    <mergeCell ref="K5:L5"/>
    <mergeCell ref="O5:P5"/>
    <mergeCell ref="M5:N5"/>
    <mergeCell ref="K40:L40"/>
    <mergeCell ref="O40:P40"/>
    <mergeCell ref="A40:A41"/>
    <mergeCell ref="B40:B41"/>
    <mergeCell ref="C40:D40"/>
    <mergeCell ref="E40:F40"/>
    <mergeCell ref="G40:H40"/>
    <mergeCell ref="I40:J40"/>
    <mergeCell ref="M40:N40"/>
  </mergeCells>
  <phoneticPr fontId="0" type="noConversion"/>
  <printOptions horizontalCentered="1" verticalCentered="1"/>
  <pageMargins left="0.19685039370078741" right="0.19685039370078741" top="0.78740157480314965" bottom="0.78740157480314965" header="0.62992125984251968" footer="0.9055118110236221"/>
  <pageSetup paperSize="8" scale="82" fitToHeight="0" orientation="landscape" r:id="rId1"/>
  <headerFooter alignWithMargins="0">
    <oddHeader>&amp;L3. számú melléklet&amp;C&amp;"Arial,Félkövér"&amp;12
Nagykovácsi Nagyközség Önkormányzatának 2021. évi bevételei és kiadásai&amp;RA 2021. évi önkormányzati költségvetési rendelethez</oddHeader>
    <oddFooter>&amp;C&amp;P</oddFooter>
  </headerFooter>
  <rowBreaks count="1" manualBreakCount="1">
    <brk id="38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7"/>
  <sheetViews>
    <sheetView zoomScaleNormal="100" workbookViewId="0">
      <selection activeCell="D14" sqref="D14"/>
    </sheetView>
  </sheetViews>
  <sheetFormatPr defaultRowHeight="12.75" x14ac:dyDescent="0.2"/>
  <cols>
    <col min="1" max="1" width="82.140625" bestFit="1" customWidth="1"/>
    <col min="2" max="2" width="10.28515625" style="610" customWidth="1"/>
    <col min="4" max="4" width="12.85546875" style="609" bestFit="1" customWidth="1"/>
    <col min="5" max="5" width="27.85546875" style="609" bestFit="1" customWidth="1"/>
  </cols>
  <sheetData>
    <row r="1" spans="1:5" ht="13.5" thickBot="1" x14ac:dyDescent="0.25"/>
    <row r="2" spans="1:5" x14ac:dyDescent="0.2">
      <c r="A2" s="616" t="s">
        <v>467</v>
      </c>
      <c r="B2" s="617"/>
      <c r="C2" s="618"/>
      <c r="D2" s="619"/>
      <c r="E2" s="620"/>
    </row>
    <row r="3" spans="1:5" x14ac:dyDescent="0.2">
      <c r="A3" s="621"/>
      <c r="B3" s="611"/>
      <c r="C3" s="612"/>
      <c r="D3" s="613"/>
      <c r="E3" s="622"/>
    </row>
    <row r="4" spans="1:5" x14ac:dyDescent="0.2">
      <c r="A4" s="621"/>
      <c r="B4" s="614" t="s">
        <v>440</v>
      </c>
      <c r="C4" s="612"/>
      <c r="D4" s="615" t="s">
        <v>441</v>
      </c>
      <c r="E4" s="623" t="s">
        <v>442</v>
      </c>
    </row>
    <row r="5" spans="1:5" x14ac:dyDescent="0.2">
      <c r="A5" s="621"/>
      <c r="B5" s="715"/>
      <c r="C5" s="716"/>
      <c r="D5" s="717"/>
      <c r="E5" s="718"/>
    </row>
    <row r="6" spans="1:5" x14ac:dyDescent="0.2">
      <c r="A6" s="624" t="s">
        <v>487</v>
      </c>
      <c r="B6" s="715" t="s">
        <v>488</v>
      </c>
      <c r="C6" s="716"/>
      <c r="D6" s="717" t="s">
        <v>489</v>
      </c>
      <c r="E6" s="718" t="s">
        <v>490</v>
      </c>
    </row>
    <row r="7" spans="1:5" x14ac:dyDescent="0.2">
      <c r="A7" s="624" t="s">
        <v>443</v>
      </c>
      <c r="B7" s="715" t="s">
        <v>444</v>
      </c>
      <c r="C7" s="716"/>
      <c r="D7" s="717" t="s">
        <v>468</v>
      </c>
      <c r="E7" s="718" t="s">
        <v>491</v>
      </c>
    </row>
  </sheetData>
  <phoneticPr fontId="91" type="noConversion"/>
  <pageMargins left="0.7" right="0.7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54"/>
  <sheetViews>
    <sheetView zoomScaleNormal="100" workbookViewId="0">
      <selection activeCell="E23" sqref="E23"/>
    </sheetView>
  </sheetViews>
  <sheetFormatPr defaultRowHeight="12.75" x14ac:dyDescent="0.2"/>
  <cols>
    <col min="1" max="1" width="51.5703125" style="150" customWidth="1"/>
    <col min="2" max="2" width="19" style="340" customWidth="1"/>
    <col min="3" max="16384" width="9.140625" style="149"/>
  </cols>
  <sheetData>
    <row r="2" spans="1:2" x14ac:dyDescent="0.2">
      <c r="A2" s="915" t="s">
        <v>241</v>
      </c>
      <c r="B2" s="916"/>
    </row>
    <row r="3" spans="1:2" ht="39" customHeight="1" x14ac:dyDescent="0.2">
      <c r="A3" s="917"/>
      <c r="B3" s="918"/>
    </row>
    <row r="4" spans="1:2" ht="15.75" customHeight="1" x14ac:dyDescent="0.25">
      <c r="A4" s="339"/>
    </row>
    <row r="5" spans="1:2" ht="15.75" customHeight="1" x14ac:dyDescent="0.2">
      <c r="A5" s="919" t="s">
        <v>209</v>
      </c>
      <c r="B5" s="920" t="s">
        <v>235</v>
      </c>
    </row>
    <row r="6" spans="1:2" ht="15.75" customHeight="1" x14ac:dyDescent="0.2">
      <c r="A6" s="919"/>
      <c r="B6" s="920"/>
    </row>
    <row r="7" spans="1:2" ht="15.75" customHeight="1" x14ac:dyDescent="0.4">
      <c r="A7" s="921"/>
      <c r="B7" s="921"/>
    </row>
    <row r="8" spans="1:2" s="338" customFormat="1" ht="15.75" customHeight="1" x14ac:dyDescent="0.25">
      <c r="A8" s="341" t="s">
        <v>2</v>
      </c>
      <c r="B8" s="358">
        <f>+B9</f>
        <v>7440000</v>
      </c>
    </row>
    <row r="9" spans="1:2" ht="15.75" customHeight="1" x14ac:dyDescent="0.2">
      <c r="A9" s="343" t="s">
        <v>234</v>
      </c>
      <c r="B9" s="344">
        <f>+(54+4+4)*10000*12</f>
        <v>7440000</v>
      </c>
    </row>
    <row r="10" spans="1:2" s="338" customFormat="1" ht="15.75" customHeight="1" x14ac:dyDescent="0.25">
      <c r="A10" s="345"/>
      <c r="B10" s="346"/>
    </row>
    <row r="11" spans="1:2" s="338" customFormat="1" ht="15.75" customHeight="1" x14ac:dyDescent="0.25">
      <c r="A11" s="341" t="s">
        <v>236</v>
      </c>
      <c r="B11" s="358">
        <f>+B12</f>
        <v>1239504.0000000002</v>
      </c>
    </row>
    <row r="12" spans="1:2" ht="15.75" customHeight="1" x14ac:dyDescent="0.2">
      <c r="A12" s="343" t="s">
        <v>237</v>
      </c>
      <c r="B12" s="344">
        <f>+B9*1.19*0.14</f>
        <v>1239504.0000000002</v>
      </c>
    </row>
    <row r="13" spans="1:2" s="338" customFormat="1" ht="15.75" customHeight="1" x14ac:dyDescent="0.2">
      <c r="A13" s="348"/>
      <c r="B13" s="349"/>
    </row>
    <row r="14" spans="1:2" s="338" customFormat="1" ht="15.75" customHeight="1" x14ac:dyDescent="0.25">
      <c r="A14" s="341" t="s">
        <v>24</v>
      </c>
      <c r="B14" s="358">
        <f>+B15</f>
        <v>1416576</v>
      </c>
    </row>
    <row r="15" spans="1:2" ht="15.75" customHeight="1" x14ac:dyDescent="0.2">
      <c r="A15" s="343" t="s">
        <v>238</v>
      </c>
      <c r="B15" s="344">
        <f>+B9*1.19*0.16</f>
        <v>1416576</v>
      </c>
    </row>
    <row r="16" spans="1:2" s="338" customFormat="1" ht="15.75" customHeight="1" x14ac:dyDescent="0.2">
      <c r="A16" s="350"/>
      <c r="B16" s="351"/>
    </row>
    <row r="17" spans="1:3" s="338" customFormat="1" ht="15.75" customHeight="1" x14ac:dyDescent="0.25">
      <c r="A17" s="357" t="s">
        <v>132</v>
      </c>
      <c r="B17" s="358" t="e">
        <f>+B18</f>
        <v>#REF!</v>
      </c>
    </row>
    <row r="18" spans="1:3" ht="15.75" customHeight="1" x14ac:dyDescent="0.2">
      <c r="A18" s="354" t="s">
        <v>240</v>
      </c>
      <c r="B18" s="344" t="e">
        <f>+'3. sz. m._kiadások-bevételek'!#REF!*1000-'5. sz. m. Állami támogatások'!#REF!-'5. sz. m. Állami támogatások'!#REF!</f>
        <v>#REF!</v>
      </c>
      <c r="C18" s="355"/>
    </row>
    <row r="19" spans="1:3" s="338" customFormat="1" ht="15.75" customHeight="1" x14ac:dyDescent="0.2">
      <c r="A19" s="352"/>
      <c r="B19" s="342"/>
    </row>
    <row r="20" spans="1:3" s="338" customFormat="1" ht="15.75" customHeight="1" x14ac:dyDescent="0.25">
      <c r="A20" s="341" t="s">
        <v>239</v>
      </c>
      <c r="B20" s="358" t="e">
        <f>SUM(B21:B29)</f>
        <v>#REF!</v>
      </c>
    </row>
    <row r="21" spans="1:3" ht="15.75" customHeight="1" x14ac:dyDescent="0.2">
      <c r="A21" s="354" t="s">
        <v>140</v>
      </c>
      <c r="B21" s="344">
        <f>+'7.sz.Műk.c.átadott.pe. '!C5*1000</f>
        <v>11889000</v>
      </c>
    </row>
    <row r="22" spans="1:3" ht="15.75" customHeight="1" x14ac:dyDescent="0.2">
      <c r="A22" s="354" t="s">
        <v>136</v>
      </c>
      <c r="B22" s="344">
        <f>+'7.sz.Műk.c.átadott.pe. '!C6*1000</f>
        <v>1500000</v>
      </c>
    </row>
    <row r="23" spans="1:3" ht="15.75" customHeight="1" x14ac:dyDescent="0.2">
      <c r="A23" s="354" t="s">
        <v>138</v>
      </c>
      <c r="B23" s="344" t="e">
        <f>+'7.sz.Műk.c.átadott.pe. '!#REF!*1000</f>
        <v>#REF!</v>
      </c>
    </row>
    <row r="24" spans="1:3" ht="15.75" customHeight="1" x14ac:dyDescent="0.2">
      <c r="A24" s="354" t="s">
        <v>137</v>
      </c>
      <c r="B24" s="344" t="e">
        <f>+'7.sz.Műk.c.átadott.pe. '!#REF!*1000</f>
        <v>#REF!</v>
      </c>
    </row>
    <row r="25" spans="1:3" ht="15.75" customHeight="1" x14ac:dyDescent="0.2">
      <c r="A25" s="354" t="s">
        <v>227</v>
      </c>
      <c r="B25" s="344">
        <f>+'7.sz.Műk.c.átadott.pe. '!C8*1000</f>
        <v>350000</v>
      </c>
    </row>
    <row r="26" spans="1:3" ht="15.75" customHeight="1" x14ac:dyDescent="0.2">
      <c r="A26" s="354" t="s">
        <v>228</v>
      </c>
      <c r="B26" s="344">
        <f>+'7.sz.Műk.c.átadott.pe. '!C22*1000</f>
        <v>1100000</v>
      </c>
    </row>
    <row r="27" spans="1:3" ht="15.75" customHeight="1" x14ac:dyDescent="0.2">
      <c r="A27" s="354" t="s">
        <v>229</v>
      </c>
      <c r="B27" s="344" t="e">
        <f>+'7.sz.Műk.c.átadott.pe. '!#REF!*1000</f>
        <v>#REF!</v>
      </c>
    </row>
    <row r="28" spans="1:3" ht="15.75" customHeight="1" x14ac:dyDescent="0.2">
      <c r="A28" s="354" t="s">
        <v>230</v>
      </c>
      <c r="B28" s="344">
        <f>+'7.sz.Műk.c.átadott.pe. '!C10*1000</f>
        <v>1000000</v>
      </c>
    </row>
    <row r="29" spans="1:3" ht="15.75" customHeight="1" x14ac:dyDescent="0.2">
      <c r="A29" s="354" t="s">
        <v>187</v>
      </c>
      <c r="B29" s="344" t="e">
        <f>+'7.sz.Műk.c.átadott.pe. '!#REF!*1000</f>
        <v>#REF!</v>
      </c>
    </row>
    <row r="30" spans="1:3" s="338" customFormat="1" ht="15.75" customHeight="1" x14ac:dyDescent="0.25">
      <c r="A30" s="341"/>
      <c r="B30" s="342"/>
    </row>
    <row r="31" spans="1:3" s="338" customFormat="1" ht="15.75" customHeight="1" x14ac:dyDescent="0.25">
      <c r="A31" s="341" t="s">
        <v>159</v>
      </c>
      <c r="B31" s="358" t="e">
        <f>SUM(B32:B33)</f>
        <v>#REF!</v>
      </c>
    </row>
    <row r="32" spans="1:3" ht="15.75" customHeight="1" x14ac:dyDescent="0.2">
      <c r="A32" s="354" t="s">
        <v>225</v>
      </c>
      <c r="B32" s="344" t="e">
        <f>+'6.2. sz.m.felh.kiadás'!#REF!*1000</f>
        <v>#REF!</v>
      </c>
    </row>
    <row r="33" spans="1:2" ht="15.75" customHeight="1" x14ac:dyDescent="0.2">
      <c r="A33" s="354" t="s">
        <v>226</v>
      </c>
      <c r="B33" s="344" t="e">
        <f>+'6.2. sz.m.felh.kiadás'!#REF!*1000</f>
        <v>#REF!</v>
      </c>
    </row>
    <row r="34" spans="1:2" s="338" customFormat="1" ht="15.75" customHeight="1" x14ac:dyDescent="0.2">
      <c r="A34" s="353"/>
      <c r="B34" s="347"/>
    </row>
    <row r="35" spans="1:2" s="338" customFormat="1" ht="15.75" customHeight="1" x14ac:dyDescent="0.25">
      <c r="A35" s="341" t="s">
        <v>160</v>
      </c>
      <c r="B35" s="358" t="e">
        <f>SUM(B36:B53)</f>
        <v>#REF!</v>
      </c>
    </row>
    <row r="36" spans="1:2" ht="15.75" customHeight="1" x14ac:dyDescent="0.2">
      <c r="A36" s="354" t="e">
        <f>+'6.2. sz.m.felh.kiadás'!#REF!</f>
        <v>#REF!</v>
      </c>
      <c r="B36" s="356" t="e">
        <f>+'6.2. sz.m.felh.kiadás'!#REF!*1000</f>
        <v>#REF!</v>
      </c>
    </row>
    <row r="37" spans="1:2" ht="15.75" customHeight="1" x14ac:dyDescent="0.2">
      <c r="A37" s="354" t="e">
        <f>+'6.2. sz.m.felh.kiadás'!#REF!</f>
        <v>#REF!</v>
      </c>
      <c r="B37" s="356" t="e">
        <f>+'6.2. sz.m.felh.kiadás'!#REF!*1000</f>
        <v>#REF!</v>
      </c>
    </row>
    <row r="38" spans="1:2" ht="15.75" customHeight="1" x14ac:dyDescent="0.2">
      <c r="A38" s="354" t="str">
        <f>+'6.2. sz.m.felh.kiadás'!B7</f>
        <v>Bölcsőde bővítés pályázati többlet önrész biztosítása</v>
      </c>
      <c r="B38" s="356">
        <f>+'6.2. sz.m.felh.kiadás'!C7*1000</f>
        <v>1270000</v>
      </c>
    </row>
    <row r="39" spans="1:2" ht="15.75" customHeight="1" x14ac:dyDescent="0.2">
      <c r="A39" s="354" t="str">
        <f>+'6.2. sz.m.felh.kiadás'!B9</f>
        <v>Tátika utca közvilágítás kiépítése</v>
      </c>
      <c r="B39" s="356">
        <f>+'6.2. sz.m.felh.kiadás'!C9*1000</f>
        <v>2794000</v>
      </c>
    </row>
    <row r="40" spans="1:2" ht="15.75" customHeight="1" x14ac:dyDescent="0.2">
      <c r="A40" s="354" t="str">
        <f>+'6.2. sz.m.felh.kiadás'!B11</f>
        <v>közvilágítás tervezések kiegészítő szakaszokon (Hársfa, Ördögárok, Munkácsy, Akácfa, Szent Anna, Mogyoró, Kökörcsin utca, Körös utca, Gémeskút utca, Kút köz – Kút utca, Pók utca</v>
      </c>
      <c r="B40" s="356">
        <f>+'6.2. sz.m.felh.kiadás'!C11*1000</f>
        <v>1000000</v>
      </c>
    </row>
    <row r="41" spans="1:2" ht="15.75" customHeight="1" x14ac:dyDescent="0.2">
      <c r="A41" s="354" t="str">
        <f>+'6.2. sz.m.felh.kiadás'!B12</f>
        <v>Közvilágítás kiépítése Lombos utcában, ELMŰ ügyintézéssel</v>
      </c>
      <c r="B41" s="356">
        <f>+'6.2. sz.m.felh.kiadás'!C12*1000</f>
        <v>4100000</v>
      </c>
    </row>
    <row r="42" spans="1:2" ht="15.75" customHeight="1" x14ac:dyDescent="0.2">
      <c r="A42" s="354" t="str">
        <f>+'6.2. sz.m.felh.kiadás'!B13</f>
        <v>Bánya utcai körforgalom közvilágítás</v>
      </c>
      <c r="B42" s="356">
        <f>+'6.2. sz.m.felh.kiadás'!C13*1000</f>
        <v>935000</v>
      </c>
    </row>
    <row r="43" spans="1:2" ht="15.75" customHeight="1" x14ac:dyDescent="0.2">
      <c r="A43" s="354" t="str">
        <f>+'6.2. sz.m.felh.kiadás'!B14</f>
        <v>Erdő utca csapadékvíz-elvezetés utáni út- és járdaépítés kiegészítése</v>
      </c>
      <c r="B43" s="356">
        <f>+'6.2. sz.m.felh.kiadás'!C14*1000</f>
        <v>22000000</v>
      </c>
    </row>
    <row r="44" spans="1:2" ht="15.75" customHeight="1" x14ac:dyDescent="0.2">
      <c r="A44" s="354" t="e">
        <f>+'6.2. sz.m.felh.kiadás'!#REF!</f>
        <v>#REF!</v>
      </c>
      <c r="B44" s="356" t="e">
        <f>+'6.2. sz.m.felh.kiadás'!#REF!*1000</f>
        <v>#REF!</v>
      </c>
    </row>
    <row r="45" spans="1:2" ht="15.75" customHeight="1" x14ac:dyDescent="0.2">
      <c r="A45" s="354" t="str">
        <f>+'6.2. sz.m.felh.kiadás'!B15</f>
        <v>tervezések, szakvélemények, szakértői díjak, engedélykérések: Kossuth Lajos utca rendezésével kapcsolatos tervek összesen: gyengeáramú és elektromos hálózat kiváltásának tervezése, köztérépítészeti tanulmányterv felülvizsgálata, közpark koncepcióterv, Pók utca járda, lakossági útépítéshez kapcsolódó tervezési munkák (Bogaras utcák, idén jelentkezők), vis maior, Dobos Károly tér</v>
      </c>
      <c r="B45" s="356">
        <f>+'6.2. sz.m.felh.kiadás'!C15*1000</f>
        <v>20600000</v>
      </c>
    </row>
    <row r="46" spans="1:2" ht="15.75" customHeight="1" x14ac:dyDescent="0.2">
      <c r="A46" s="354" t="e">
        <f>+'6.2. sz.m.felh.kiadás'!#REF!</f>
        <v>#REF!</v>
      </c>
      <c r="B46" s="356" t="e">
        <f>+'6.2. sz.m.felh.kiadás'!#REF!*1000</f>
        <v>#REF!</v>
      </c>
    </row>
    <row r="47" spans="1:2" ht="15.75" customHeight="1" x14ac:dyDescent="0.2">
      <c r="A47" s="354" t="e">
        <f>+'6.2. sz.m.felh.kiadás'!#REF!</f>
        <v>#REF!</v>
      </c>
      <c r="B47" s="356" t="e">
        <f>+'6.2. sz.m.felh.kiadás'!#REF!*1000</f>
        <v>#REF!</v>
      </c>
    </row>
    <row r="48" spans="1:2" ht="15.75" customHeight="1" x14ac:dyDescent="0.2">
      <c r="A48" s="354" t="e">
        <f>+'6.2. sz.m.felh.kiadás'!#REF!</f>
        <v>#REF!</v>
      </c>
      <c r="B48" s="356" t="e">
        <f>+'6.2. sz.m.felh.kiadás'!#REF!*1000</f>
        <v>#REF!</v>
      </c>
    </row>
    <row r="49" spans="1:2" ht="15.75" customHeight="1" x14ac:dyDescent="0.2">
      <c r="A49" s="354" t="e">
        <f>+'6.2. sz.m.felh.kiadás'!#REF!</f>
        <v>#REF!</v>
      </c>
      <c r="B49" s="356" t="e">
        <f>+'6.2. sz.m.felh.kiadás'!#REF!*1000</f>
        <v>#REF!</v>
      </c>
    </row>
    <row r="50" spans="1:2" ht="15.75" customHeight="1" x14ac:dyDescent="0.2">
      <c r="A50" s="354" t="e">
        <f>+'6.2. sz.m.felh.kiadás'!#REF!</f>
        <v>#REF!</v>
      </c>
      <c r="B50" s="356" t="e">
        <f>+'6.2. sz.m.felh.kiadás'!#REF!*1000</f>
        <v>#REF!</v>
      </c>
    </row>
    <row r="51" spans="1:2" ht="15.75" customHeight="1" x14ac:dyDescent="0.2">
      <c r="A51" s="354" t="e">
        <f>+'6.2. sz.m.felh.kiadás'!#REF!</f>
        <v>#REF!</v>
      </c>
      <c r="B51" s="356" t="e">
        <f>+'6.2. sz.m.felh.kiadás'!#REF!*1000</f>
        <v>#REF!</v>
      </c>
    </row>
    <row r="52" spans="1:2" ht="15.75" customHeight="1" x14ac:dyDescent="0.2">
      <c r="A52" s="354" t="e">
        <f>+'6.2. sz.m.felh.kiadás'!#REF!</f>
        <v>#REF!</v>
      </c>
      <c r="B52" s="356" t="e">
        <f>+'6.2. sz.m.felh.kiadás'!#REF!*1000</f>
        <v>#REF!</v>
      </c>
    </row>
    <row r="53" spans="1:2" ht="15.75" customHeight="1" x14ac:dyDescent="0.2">
      <c r="A53" s="354" t="e">
        <f>+'6.2. sz.m.felh.kiadás'!#REF!</f>
        <v>#REF!</v>
      </c>
      <c r="B53" s="356" t="e">
        <f>+'6.2. sz.m.felh.kiadás'!#REF!*1000</f>
        <v>#REF!</v>
      </c>
    </row>
    <row r="54" spans="1:2" ht="15.75" customHeight="1" x14ac:dyDescent="0.2"/>
  </sheetData>
  <mergeCells count="4">
    <mergeCell ref="A2:B3"/>
    <mergeCell ref="A5:A6"/>
    <mergeCell ref="B5:B6"/>
    <mergeCell ref="A7:B7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horizontalDpi="4294967294" verticalDpi="0" r:id="rId1"/>
  <headerFooter alignWithMargins="0"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7"/>
  <dimension ref="A1:I39"/>
  <sheetViews>
    <sheetView zoomScaleNormal="100" workbookViewId="0">
      <selection activeCell="C32" sqref="C32"/>
    </sheetView>
  </sheetViews>
  <sheetFormatPr defaultColWidth="8.85546875" defaultRowHeight="12.75" x14ac:dyDescent="0.2"/>
  <cols>
    <col min="1" max="1" width="13.28515625" style="13" customWidth="1"/>
    <col min="2" max="2" width="54.28515625" style="13" customWidth="1"/>
    <col min="3" max="4" width="16.140625" style="13" customWidth="1"/>
    <col min="5" max="5" width="16.140625" style="108" customWidth="1"/>
    <col min="6" max="8" width="8.85546875" style="13"/>
    <col min="9" max="9" width="9.140625" style="22" bestFit="1" customWidth="1"/>
    <col min="10" max="16384" width="8.85546875" style="13"/>
  </cols>
  <sheetData>
    <row r="1" spans="1:9" s="128" customFormat="1" ht="38.25" x14ac:dyDescent="0.2">
      <c r="A1" s="642" t="s">
        <v>12</v>
      </c>
      <c r="B1" s="643" t="s">
        <v>13</v>
      </c>
      <c r="C1" s="644" t="s">
        <v>471</v>
      </c>
      <c r="D1" s="644" t="s">
        <v>502</v>
      </c>
      <c r="E1" s="645" t="s">
        <v>14</v>
      </c>
      <c r="I1" s="332"/>
    </row>
    <row r="2" spans="1:9" ht="15" customHeight="1" x14ac:dyDescent="0.2">
      <c r="A2" s="646"/>
      <c r="B2" s="425"/>
      <c r="C2" s="424" t="s">
        <v>114</v>
      </c>
      <c r="D2" s="424" t="s">
        <v>114</v>
      </c>
      <c r="E2" s="647" t="s">
        <v>15</v>
      </c>
    </row>
    <row r="3" spans="1:9" ht="15" customHeight="1" x14ac:dyDescent="0.2">
      <c r="A3" s="646"/>
      <c r="B3" s="425"/>
      <c r="C3" s="426"/>
      <c r="D3" s="426"/>
      <c r="E3" s="648"/>
    </row>
    <row r="4" spans="1:9" ht="15" customHeight="1" thickBot="1" x14ac:dyDescent="0.25">
      <c r="A4" s="689">
        <v>1</v>
      </c>
      <c r="B4" s="690">
        <v>2</v>
      </c>
      <c r="C4" s="690">
        <v>3</v>
      </c>
      <c r="D4" s="690">
        <v>4</v>
      </c>
      <c r="E4" s="691" t="s">
        <v>129</v>
      </c>
    </row>
    <row r="5" spans="1:9" ht="15" customHeight="1" thickBot="1" x14ac:dyDescent="0.25">
      <c r="A5" s="673" t="s">
        <v>16</v>
      </c>
      <c r="B5" s="674" t="s">
        <v>233</v>
      </c>
      <c r="C5" s="688">
        <f>+C6+C9+C13+C14</f>
        <v>1216684</v>
      </c>
      <c r="D5" s="688">
        <f>+D6+D9+D13+D14</f>
        <v>1220979</v>
      </c>
      <c r="E5" s="675">
        <f>+D5/C5</f>
        <v>1.0035300866946553</v>
      </c>
    </row>
    <row r="6" spans="1:9" s="29" customFormat="1" ht="15" customHeight="1" x14ac:dyDescent="0.2">
      <c r="A6" s="669" t="s">
        <v>261</v>
      </c>
      <c r="B6" s="670" t="s">
        <v>365</v>
      </c>
      <c r="C6" s="692">
        <f>+C7+C8</f>
        <v>508964</v>
      </c>
      <c r="D6" s="692">
        <f>+D7+D8</f>
        <v>584897</v>
      </c>
      <c r="E6" s="693">
        <f>+D6/C6</f>
        <v>1.1491912984022445</v>
      </c>
      <c r="F6" s="431"/>
      <c r="G6" s="431"/>
      <c r="I6" s="431"/>
    </row>
    <row r="7" spans="1:9" ht="15" customHeight="1" x14ac:dyDescent="0.2">
      <c r="A7" s="818" t="s">
        <v>366</v>
      </c>
      <c r="B7" s="819" t="s">
        <v>381</v>
      </c>
      <c r="C7" s="820">
        <f>+'3. sz. m._kiadások-bevételek'!C10</f>
        <v>507214</v>
      </c>
      <c r="D7" s="820">
        <f>+'3. sz. m._kiadások-bevételek'!D10</f>
        <v>581747</v>
      </c>
      <c r="E7" s="821">
        <f t="shared" ref="E7:E27" si="0">+D7/C7</f>
        <v>1.1469458650589297</v>
      </c>
    </row>
    <row r="8" spans="1:9" ht="15" customHeight="1" x14ac:dyDescent="0.2">
      <c r="A8" s="818" t="s">
        <v>367</v>
      </c>
      <c r="B8" s="819" t="s">
        <v>382</v>
      </c>
      <c r="C8" s="820">
        <f>+'3. sz. m._kiadások-bevételek'!C11</f>
        <v>1750</v>
      </c>
      <c r="D8" s="820">
        <f>+'3. sz. m._kiadások-bevételek'!D11</f>
        <v>3150</v>
      </c>
      <c r="E8" s="821">
        <f t="shared" si="0"/>
        <v>1.8</v>
      </c>
    </row>
    <row r="9" spans="1:9" ht="15" customHeight="1" x14ac:dyDescent="0.2">
      <c r="A9" s="650" t="s">
        <v>267</v>
      </c>
      <c r="B9" s="425" t="s">
        <v>232</v>
      </c>
      <c r="C9" s="638">
        <f>+C10+C11+C12</f>
        <v>636473</v>
      </c>
      <c r="D9" s="638">
        <f>+D10+D11+D12</f>
        <v>494300</v>
      </c>
      <c r="E9" s="651">
        <f t="shared" si="0"/>
        <v>0.77662367453136272</v>
      </c>
    </row>
    <row r="10" spans="1:9" ht="15" customHeight="1" x14ac:dyDescent="0.2">
      <c r="A10" s="818" t="s">
        <v>368</v>
      </c>
      <c r="B10" s="819" t="s">
        <v>268</v>
      </c>
      <c r="C10" s="820">
        <f>+'3. sz. m._kiadások-bevételek'!C13</f>
        <v>585407</v>
      </c>
      <c r="D10" s="820">
        <f>+'3. sz. m._kiadások-bevételek'!D13</f>
        <v>469300</v>
      </c>
      <c r="E10" s="821">
        <f t="shared" si="0"/>
        <v>0.80166448300071569</v>
      </c>
    </row>
    <row r="11" spans="1:9" ht="15" customHeight="1" x14ac:dyDescent="0.2">
      <c r="A11" s="818" t="s">
        <v>369</v>
      </c>
      <c r="B11" s="819" t="s">
        <v>6</v>
      </c>
      <c r="C11" s="820">
        <f>+'3. sz. m._kiadások-bevételek'!C14</f>
        <v>33066</v>
      </c>
      <c r="D11" s="820">
        <f>+'3. sz. m._kiadások-bevételek'!D14</f>
        <v>0</v>
      </c>
      <c r="E11" s="821">
        <f t="shared" si="0"/>
        <v>0</v>
      </c>
    </row>
    <row r="12" spans="1:9" ht="15" customHeight="1" x14ac:dyDescent="0.2">
      <c r="A12" s="818" t="s">
        <v>370</v>
      </c>
      <c r="B12" s="819" t="s">
        <v>272</v>
      </c>
      <c r="C12" s="820">
        <f>+'3. sz. m._kiadások-bevételek'!C15</f>
        <v>18000</v>
      </c>
      <c r="D12" s="820">
        <f>+'3. sz. m._kiadások-bevételek'!D15</f>
        <v>25000</v>
      </c>
      <c r="E12" s="821">
        <f t="shared" si="0"/>
        <v>1.3888888888888888</v>
      </c>
    </row>
    <row r="13" spans="1:9" ht="15" customHeight="1" x14ac:dyDescent="0.2">
      <c r="A13" s="650" t="s">
        <v>275</v>
      </c>
      <c r="B13" s="425" t="s">
        <v>231</v>
      </c>
      <c r="C13" s="638">
        <f>+'3. sz. m._kiadások-bevételek'!C16</f>
        <v>71247</v>
      </c>
      <c r="D13" s="638">
        <f>+'3. sz. m._kiadások-bevételek'!D16</f>
        <v>121782</v>
      </c>
      <c r="E13" s="652">
        <f t="shared" si="0"/>
        <v>1.7092930228641205</v>
      </c>
    </row>
    <row r="14" spans="1:9" ht="15" customHeight="1" x14ac:dyDescent="0.2">
      <c r="A14" s="650" t="s">
        <v>277</v>
      </c>
      <c r="B14" s="425" t="s">
        <v>371</v>
      </c>
      <c r="C14" s="638"/>
      <c r="D14" s="638">
        <f>+D15</f>
        <v>20000</v>
      </c>
      <c r="E14" s="652"/>
    </row>
    <row r="15" spans="1:9" ht="15" customHeight="1" thickBot="1" x14ac:dyDescent="0.25">
      <c r="A15" s="822" t="s">
        <v>372</v>
      </c>
      <c r="B15" s="823" t="s">
        <v>278</v>
      </c>
      <c r="C15" s="824"/>
      <c r="D15" s="824">
        <f>+'3. sz. m._kiadások-bevételek'!D18</f>
        <v>20000</v>
      </c>
      <c r="E15" s="825"/>
    </row>
    <row r="16" spans="1:9" ht="15" customHeight="1" thickBot="1" x14ac:dyDescent="0.25">
      <c r="A16" s="673" t="s">
        <v>18</v>
      </c>
      <c r="B16" s="687" t="s">
        <v>373</v>
      </c>
      <c r="C16" s="688">
        <f>+C17+C20+C23</f>
        <v>197985</v>
      </c>
      <c r="D16" s="688">
        <f>+D17+D20+D23</f>
        <v>295859</v>
      </c>
      <c r="E16" s="675">
        <f>+D16/C16</f>
        <v>1.4943505821148066</v>
      </c>
    </row>
    <row r="17" spans="1:9" s="29" customFormat="1" ht="15" customHeight="1" x14ac:dyDescent="0.2">
      <c r="A17" s="669" t="s">
        <v>282</v>
      </c>
      <c r="B17" s="670" t="s">
        <v>383</v>
      </c>
      <c r="C17" s="671">
        <f>+C18+C19</f>
        <v>190676</v>
      </c>
      <c r="D17" s="671">
        <f>+D18+D19</f>
        <v>295859</v>
      </c>
      <c r="E17" s="672">
        <f t="shared" si="0"/>
        <v>1.5516320879397512</v>
      </c>
      <c r="I17" s="431"/>
    </row>
    <row r="18" spans="1:9" s="429" customFormat="1" ht="15" customHeight="1" x14ac:dyDescent="0.2">
      <c r="A18" s="653" t="s">
        <v>374</v>
      </c>
      <c r="B18" s="427" t="s">
        <v>283</v>
      </c>
      <c r="C18" s="641"/>
      <c r="D18" s="641"/>
      <c r="E18" s="655"/>
      <c r="I18" s="430"/>
    </row>
    <row r="19" spans="1:9" s="429" customFormat="1" ht="15" customHeight="1" x14ac:dyDescent="0.2">
      <c r="A19" s="653" t="s">
        <v>375</v>
      </c>
      <c r="B19" s="423" t="s">
        <v>384</v>
      </c>
      <c r="C19" s="641">
        <f>+'3. sz. m._kiadások-bevételek'!C22</f>
        <v>190676</v>
      </c>
      <c r="D19" s="641">
        <f>+'3. sz. m._kiadások-bevételek'!D22</f>
        <v>295859</v>
      </c>
      <c r="E19" s="656">
        <f t="shared" si="0"/>
        <v>1.5516320879397512</v>
      </c>
      <c r="I19" s="430"/>
    </row>
    <row r="20" spans="1:9" s="29" customFormat="1" ht="15" customHeight="1" x14ac:dyDescent="0.2">
      <c r="A20" s="649" t="s">
        <v>288</v>
      </c>
      <c r="B20" s="432" t="s">
        <v>97</v>
      </c>
      <c r="C20" s="639">
        <f>+C21+C22</f>
        <v>7309</v>
      </c>
      <c r="D20" s="639">
        <f>+D21+D22</f>
        <v>0</v>
      </c>
      <c r="E20" s="656">
        <f t="shared" si="0"/>
        <v>0</v>
      </c>
      <c r="I20" s="431"/>
    </row>
    <row r="21" spans="1:9" s="429" customFormat="1" ht="15" customHeight="1" x14ac:dyDescent="0.2">
      <c r="A21" s="653" t="s">
        <v>377</v>
      </c>
      <c r="B21" s="427" t="s">
        <v>289</v>
      </c>
      <c r="C21" s="641">
        <f>+'3. sz. m._kiadások-bevételek'!C24</f>
        <v>7309</v>
      </c>
      <c r="D21" s="641">
        <f>+'3. sz. m._kiadások-bevételek'!D24</f>
        <v>0</v>
      </c>
      <c r="E21" s="656">
        <f t="shared" si="0"/>
        <v>0</v>
      </c>
      <c r="I21" s="430"/>
    </row>
    <row r="22" spans="1:9" s="429" customFormat="1" ht="15" customHeight="1" x14ac:dyDescent="0.2">
      <c r="A22" s="653" t="s">
        <v>376</v>
      </c>
      <c r="B22" s="427" t="s">
        <v>291</v>
      </c>
      <c r="C22" s="641"/>
      <c r="D22" s="641"/>
      <c r="E22" s="656"/>
      <c r="I22" s="430"/>
    </row>
    <row r="23" spans="1:9" s="29" customFormat="1" ht="15" customHeight="1" x14ac:dyDescent="0.2">
      <c r="A23" s="649" t="s">
        <v>294</v>
      </c>
      <c r="B23" s="428" t="s">
        <v>385</v>
      </c>
      <c r="C23" s="640">
        <f>+C24</f>
        <v>0</v>
      </c>
      <c r="D23" s="640">
        <f>+D24</f>
        <v>0</v>
      </c>
      <c r="E23" s="654"/>
      <c r="I23" s="431"/>
    </row>
    <row r="24" spans="1:9" s="429" customFormat="1" ht="15" customHeight="1" thickBot="1" x14ac:dyDescent="0.25">
      <c r="A24" s="668" t="s">
        <v>378</v>
      </c>
      <c r="B24" s="682" t="s">
        <v>295</v>
      </c>
      <c r="C24" s="676">
        <f>+'3. sz. m._kiadások-bevételek'!C27</f>
        <v>0</v>
      </c>
      <c r="D24" s="676">
        <f>+'3. sz. m._kiadások-bevételek'!D27</f>
        <v>0</v>
      </c>
      <c r="E24" s="677"/>
      <c r="I24" s="430"/>
    </row>
    <row r="25" spans="1:9" ht="15" customHeight="1" thickBot="1" x14ac:dyDescent="0.25">
      <c r="A25" s="673" t="s">
        <v>19</v>
      </c>
      <c r="B25" s="687" t="s">
        <v>379</v>
      </c>
      <c r="C25" s="688">
        <f>+C26</f>
        <v>407155</v>
      </c>
      <c r="D25" s="688">
        <f>+D26</f>
        <v>620930</v>
      </c>
      <c r="E25" s="675">
        <f>+D25/C25</f>
        <v>1.5250457442497329</v>
      </c>
    </row>
    <row r="26" spans="1:9" s="429" customFormat="1" ht="15" customHeight="1" thickBot="1" x14ac:dyDescent="0.25">
      <c r="A26" s="683" t="s">
        <v>380</v>
      </c>
      <c r="B26" s="684" t="s">
        <v>38</v>
      </c>
      <c r="C26" s="685">
        <f>+'3. sz. m._kiadások-bevételek'!C30</f>
        <v>407155</v>
      </c>
      <c r="D26" s="685">
        <f>+'3. sz. m._kiadások-bevételek'!D30</f>
        <v>620930</v>
      </c>
      <c r="E26" s="686">
        <f t="shared" si="0"/>
        <v>1.5250457442497329</v>
      </c>
      <c r="I26" s="430"/>
    </row>
    <row r="27" spans="1:9" ht="15" customHeight="1" thickBot="1" x14ac:dyDescent="0.25">
      <c r="A27" s="678" t="s">
        <v>20</v>
      </c>
      <c r="B27" s="679" t="s">
        <v>39</v>
      </c>
      <c r="C27" s="680">
        <f>+C5+C16+C25</f>
        <v>1821824</v>
      </c>
      <c r="D27" s="680">
        <f>+D5+D16+D25</f>
        <v>2137768</v>
      </c>
      <c r="E27" s="681">
        <f t="shared" si="0"/>
        <v>1.1734218014473408</v>
      </c>
    </row>
    <row r="28" spans="1:9" ht="15" customHeight="1" x14ac:dyDescent="0.2">
      <c r="C28" s="57"/>
      <c r="D28" s="57"/>
    </row>
    <row r="29" spans="1:9" ht="15" customHeight="1" x14ac:dyDescent="0.2">
      <c r="C29" s="22"/>
      <c r="D29" s="22"/>
    </row>
    <row r="30" spans="1:9" ht="15" customHeight="1" x14ac:dyDescent="0.2"/>
    <row r="31" spans="1:9" ht="15" customHeight="1" x14ac:dyDescent="0.2"/>
    <row r="32" spans="1:9" ht="15" customHeight="1" x14ac:dyDescent="0.2"/>
    <row r="33" spans="3:9" ht="15" customHeight="1" x14ac:dyDescent="0.2">
      <c r="C33" s="21"/>
      <c r="D33" s="21"/>
      <c r="E33" s="105"/>
    </row>
    <row r="34" spans="3:9" ht="15" customHeight="1" x14ac:dyDescent="0.2">
      <c r="C34" s="21"/>
      <c r="D34" s="21"/>
      <c r="E34" s="105"/>
    </row>
    <row r="35" spans="3:9" x14ac:dyDescent="0.2">
      <c r="C35" s="21"/>
      <c r="D35" s="21"/>
      <c r="E35" s="105"/>
    </row>
    <row r="36" spans="3:9" x14ac:dyDescent="0.2">
      <c r="C36" s="21"/>
      <c r="D36" s="21"/>
      <c r="E36" s="105"/>
      <c r="I36" s="13"/>
    </row>
    <row r="37" spans="3:9" x14ac:dyDescent="0.2">
      <c r="C37" s="21"/>
      <c r="D37" s="21"/>
      <c r="E37" s="105"/>
      <c r="I37" s="13"/>
    </row>
    <row r="38" spans="3:9" x14ac:dyDescent="0.2">
      <c r="C38" s="21"/>
      <c r="D38" s="21"/>
      <c r="E38" s="105"/>
      <c r="I38" s="13"/>
    </row>
    <row r="39" spans="3:9" x14ac:dyDescent="0.2">
      <c r="C39" s="21"/>
      <c r="D39" s="21"/>
      <c r="E39" s="105"/>
      <c r="I39" s="13"/>
    </row>
  </sheetData>
  <phoneticPr fontId="11" type="noConversion"/>
  <printOptions horizontalCentered="1"/>
  <pageMargins left="0.35433070866141736" right="0.19685039370078741" top="1.5354330708661419" bottom="0.70866141732283472" header="0.39370078740157483" footer="0.15748031496062992"/>
  <pageSetup paperSize="9" scale="80" fitToHeight="2" orientation="landscape" horizontalDpi="4294967294" r:id="rId1"/>
  <headerFooter alignWithMargins="0">
    <oddHeader>&amp;L
4. sz.melléklet&amp;C&amp;"Arial,Félkövér"&amp;12Nagykovácsi Nagyközség Önkormányzatának
2021. évi bevételei kiemelt előirányzatokként&amp;R
adatok eFt-ban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6">
    <pageSetUpPr fitToPage="1"/>
  </sheetPr>
  <dimension ref="A1:O16"/>
  <sheetViews>
    <sheetView zoomScaleNormal="100" workbookViewId="0">
      <selection activeCell="C27" sqref="C26:C27"/>
    </sheetView>
  </sheetViews>
  <sheetFormatPr defaultRowHeight="12.75" x14ac:dyDescent="0.2"/>
  <cols>
    <col min="1" max="1" width="7.140625" style="3" customWidth="1"/>
    <col min="2" max="2" width="75.42578125" style="3" customWidth="1"/>
    <col min="3" max="3" width="13.7109375" style="568" bestFit="1" customWidth="1"/>
    <col min="4" max="4" width="13.7109375" style="390" hidden="1" customWidth="1"/>
    <col min="5" max="5" width="20" style="391" hidden="1" customWidth="1"/>
    <col min="6" max="6" width="9.140625" style="149" hidden="1" customWidth="1"/>
    <col min="7" max="7" width="13.7109375" style="390" hidden="1" customWidth="1"/>
    <col min="8" max="8" width="9.140625" style="149" hidden="1" customWidth="1"/>
    <col min="9" max="9" width="13.7109375" style="390" hidden="1" customWidth="1"/>
    <col min="10" max="10" width="9.140625" style="149" hidden="1" customWidth="1"/>
    <col min="11" max="11" width="13.7109375" style="390" hidden="1" customWidth="1"/>
    <col min="12" max="14" width="0" style="149" hidden="1" customWidth="1"/>
    <col min="15" max="15" width="9.140625" style="149"/>
    <col min="16" max="16384" width="9.140625" style="3"/>
  </cols>
  <sheetData>
    <row r="1" spans="1:11" s="44" customFormat="1" ht="15.75" thickBot="1" x14ac:dyDescent="0.25">
      <c r="C1" s="566"/>
      <c r="D1" s="467"/>
      <c r="E1" s="468"/>
      <c r="G1" s="467"/>
      <c r="I1" s="467"/>
      <c r="K1" s="467"/>
    </row>
    <row r="2" spans="1:11" s="475" customFormat="1" ht="45" customHeight="1" thickBot="1" x14ac:dyDescent="0.3">
      <c r="A2" s="469"/>
      <c r="B2" s="470"/>
      <c r="C2" s="567"/>
      <c r="D2" s="471"/>
      <c r="E2" s="472"/>
      <c r="F2" s="473"/>
      <c r="G2" s="474"/>
      <c r="H2" s="473"/>
      <c r="I2" s="474"/>
      <c r="J2" s="473"/>
      <c r="K2" s="474"/>
    </row>
    <row r="3" spans="1:11" s="44" customFormat="1" ht="50.25" customHeight="1" thickBot="1" x14ac:dyDescent="0.3">
      <c r="A3" s="476"/>
      <c r="B3" s="477" t="s">
        <v>3</v>
      </c>
      <c r="C3" s="478"/>
      <c r="D3" s="479" t="s">
        <v>169</v>
      </c>
      <c r="E3" s="480" t="s">
        <v>170</v>
      </c>
      <c r="F3" s="478" t="s">
        <v>251</v>
      </c>
      <c r="G3" s="478" t="s">
        <v>252</v>
      </c>
      <c r="H3" s="478" t="s">
        <v>171</v>
      </c>
      <c r="I3" s="478" t="s">
        <v>172</v>
      </c>
      <c r="J3" s="478" t="s">
        <v>173</v>
      </c>
      <c r="K3" s="478" t="s">
        <v>174</v>
      </c>
    </row>
    <row r="4" spans="1:11" s="487" customFormat="1" ht="15.75" x14ac:dyDescent="0.25">
      <c r="A4" s="481"/>
      <c r="B4" s="482" t="s">
        <v>389</v>
      </c>
      <c r="C4" s="483"/>
      <c r="D4" s="484"/>
      <c r="E4" s="485"/>
      <c r="F4" s="483"/>
      <c r="G4" s="486"/>
      <c r="H4" s="483"/>
      <c r="I4" s="486">
        <f t="shared" ref="I4:I11" si="0">+G4+H4</f>
        <v>0</v>
      </c>
      <c r="J4" s="483"/>
      <c r="K4" s="486">
        <f t="shared" ref="K4:K11" si="1">+I4+J4</f>
        <v>0</v>
      </c>
    </row>
    <row r="5" spans="1:11" s="487" customFormat="1" ht="15.75" x14ac:dyDescent="0.25">
      <c r="A5" s="481"/>
      <c r="B5" s="770" t="s">
        <v>473</v>
      </c>
      <c r="C5" s="486">
        <v>113904</v>
      </c>
      <c r="D5" s="484"/>
      <c r="E5" s="485"/>
      <c r="F5" s="483"/>
      <c r="G5" s="486"/>
      <c r="H5" s="483"/>
      <c r="I5" s="486"/>
      <c r="J5" s="483"/>
      <c r="K5" s="486"/>
    </row>
    <row r="6" spans="1:11" s="487" customFormat="1" ht="15.75" x14ac:dyDescent="0.25">
      <c r="A6" s="481"/>
      <c r="B6" s="770" t="s">
        <v>475</v>
      </c>
      <c r="C6" s="486">
        <v>150000</v>
      </c>
      <c r="D6" s="484"/>
      <c r="E6" s="485"/>
      <c r="F6" s="483"/>
      <c r="G6" s="486"/>
      <c r="H6" s="483"/>
      <c r="I6" s="486"/>
      <c r="J6" s="483"/>
      <c r="K6" s="486"/>
    </row>
    <row r="7" spans="1:11" s="487" customFormat="1" ht="15.75" x14ac:dyDescent="0.25">
      <c r="A7" s="481"/>
      <c r="B7" s="770" t="s">
        <v>505</v>
      </c>
      <c r="C7" s="486">
        <v>23394</v>
      </c>
      <c r="D7" s="484"/>
      <c r="E7" s="485"/>
      <c r="F7" s="483"/>
      <c r="G7" s="486"/>
      <c r="H7" s="483"/>
      <c r="I7" s="486"/>
      <c r="J7" s="483"/>
      <c r="K7" s="486"/>
    </row>
    <row r="8" spans="1:11" s="487" customFormat="1" ht="15.75" x14ac:dyDescent="0.25">
      <c r="A8" s="481"/>
      <c r="B8" s="770" t="s">
        <v>474</v>
      </c>
      <c r="C8" s="486">
        <v>735</v>
      </c>
      <c r="D8" s="484"/>
      <c r="E8" s="485"/>
      <c r="F8" s="483"/>
      <c r="G8" s="486"/>
      <c r="H8" s="483"/>
      <c r="I8" s="486"/>
      <c r="J8" s="483"/>
      <c r="K8" s="486"/>
    </row>
    <row r="9" spans="1:11" s="44" customFormat="1" ht="15" x14ac:dyDescent="0.2">
      <c r="A9" s="481"/>
      <c r="B9" s="575" t="s">
        <v>422</v>
      </c>
      <c r="C9" s="486">
        <v>7826</v>
      </c>
      <c r="D9" s="488"/>
      <c r="E9" s="489" t="e">
        <f>+D9/#REF!</f>
        <v>#REF!</v>
      </c>
      <c r="F9" s="486"/>
      <c r="G9" s="486">
        <f>+C9+F9</f>
        <v>7826</v>
      </c>
      <c r="H9" s="486"/>
      <c r="I9" s="486">
        <f t="shared" si="0"/>
        <v>7826</v>
      </c>
      <c r="J9" s="486"/>
      <c r="K9" s="486">
        <f t="shared" si="1"/>
        <v>7826</v>
      </c>
    </row>
    <row r="10" spans="1:11" s="44" customFormat="1" ht="18" customHeight="1" thickBot="1" x14ac:dyDescent="0.3">
      <c r="A10" s="490"/>
      <c r="B10" s="768" t="s">
        <v>390</v>
      </c>
      <c r="C10" s="826">
        <f>SUM(C5:C9)</f>
        <v>295859</v>
      </c>
      <c r="D10" s="491">
        <f>SUM(D9:D9)</f>
        <v>0</v>
      </c>
      <c r="E10" s="492" t="e">
        <f>+D10/#REF!</f>
        <v>#REF!</v>
      </c>
      <c r="F10" s="493">
        <f>SUM(F9:F9)</f>
        <v>0</v>
      </c>
      <c r="G10" s="493">
        <f>+C10+F10</f>
        <v>295859</v>
      </c>
      <c r="H10" s="493">
        <f>SUM(H9:H9)</f>
        <v>0</v>
      </c>
      <c r="I10" s="493">
        <f t="shared" si="0"/>
        <v>295859</v>
      </c>
      <c r="J10" s="493">
        <f>SUM(J9:J9)</f>
        <v>0</v>
      </c>
      <c r="K10" s="493">
        <f t="shared" si="1"/>
        <v>295859</v>
      </c>
    </row>
    <row r="11" spans="1:11" s="44" customFormat="1" ht="31.5" customHeight="1" thickBot="1" x14ac:dyDescent="0.3">
      <c r="A11" s="494"/>
      <c r="B11" s="769" t="s">
        <v>391</v>
      </c>
      <c r="C11" s="497">
        <f>+C10</f>
        <v>295859</v>
      </c>
      <c r="D11" s="495" t="e">
        <f>#REF!+D10+#REF!</f>
        <v>#REF!</v>
      </c>
      <c r="E11" s="496" t="e">
        <f>+D11/#REF!</f>
        <v>#REF!</v>
      </c>
      <c r="F11" s="497" t="e">
        <f>#REF!+F10+#REF!</f>
        <v>#REF!</v>
      </c>
      <c r="G11" s="497" t="e">
        <f>+C11+F11</f>
        <v>#REF!</v>
      </c>
      <c r="H11" s="497" t="e">
        <f>#REF!+H10+#REF!</f>
        <v>#REF!</v>
      </c>
      <c r="I11" s="497" t="e">
        <f t="shared" si="0"/>
        <v>#REF!</v>
      </c>
      <c r="J11" s="497" t="e">
        <f>#REF!+J10+#REF!</f>
        <v>#REF!</v>
      </c>
      <c r="K11" s="497" t="e">
        <f t="shared" si="1"/>
        <v>#REF!</v>
      </c>
    </row>
    <row r="12" spans="1:11" x14ac:dyDescent="0.2">
      <c r="C12" s="827"/>
    </row>
    <row r="13" spans="1:11" x14ac:dyDescent="0.2">
      <c r="C13" s="827"/>
    </row>
    <row r="14" spans="1:11" ht="27" customHeight="1" x14ac:dyDescent="0.2">
      <c r="C14" s="827"/>
    </row>
    <row r="15" spans="1:11" x14ac:dyDescent="0.2">
      <c r="B15" s="148"/>
    </row>
    <row r="16" spans="1:11" x14ac:dyDescent="0.2">
      <c r="B16" s="148"/>
    </row>
  </sheetData>
  <phoneticPr fontId="11" type="noConversion"/>
  <printOptions horizontalCentered="1"/>
  <pageMargins left="0.27559055118110237" right="0.19685039370078741" top="1.3779527559055118" bottom="0.51181102362204722" header="0.35433070866141736" footer="0.27559055118110237"/>
  <pageSetup paperSize="9" orientation="landscape" r:id="rId1"/>
  <headerFooter alignWithMargins="0">
    <oddHeader>&amp;L4.2..sz.melléklet&amp;C&amp;"Arial,Félkövér"Nagykovácsi Nagyközség Önkormányzatának
2021. évi felhalmozási bevételi előirányzatainak részletezése&amp;12
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09" bestFit="1" customWidth="1"/>
    <col min="9" max="16384" width="9.140625" style="3"/>
  </cols>
  <sheetData>
    <row r="1" spans="1:10" ht="13.5" thickBot="1" x14ac:dyDescent="0.25"/>
    <row r="2" spans="1:10" s="132" customFormat="1" ht="39" thickBot="1" x14ac:dyDescent="0.25">
      <c r="A2" s="129"/>
      <c r="B2" s="130"/>
      <c r="C2" s="48" t="s">
        <v>115</v>
      </c>
      <c r="D2" s="48" t="s">
        <v>116</v>
      </c>
      <c r="E2" s="48" t="s">
        <v>124</v>
      </c>
      <c r="F2" s="48" t="s">
        <v>122</v>
      </c>
      <c r="G2" s="48" t="s">
        <v>123</v>
      </c>
      <c r="H2" s="131" t="s">
        <v>14</v>
      </c>
    </row>
    <row r="3" spans="1:10" ht="31.5" customHeight="1" thickBot="1" x14ac:dyDescent="0.25">
      <c r="A3" s="45" t="s">
        <v>5</v>
      </c>
      <c r="B3" s="38" t="s">
        <v>3</v>
      </c>
      <c r="C3" s="62" t="s">
        <v>36</v>
      </c>
      <c r="D3" s="62" t="s">
        <v>36</v>
      </c>
      <c r="E3" s="62" t="s">
        <v>36</v>
      </c>
      <c r="F3" s="62" t="s">
        <v>36</v>
      </c>
      <c r="G3" s="62" t="s">
        <v>36</v>
      </c>
      <c r="H3" s="106" t="s">
        <v>15</v>
      </c>
    </row>
    <row r="4" spans="1:10" x14ac:dyDescent="0.2">
      <c r="A4" s="5"/>
      <c r="B4" s="95" t="s">
        <v>7</v>
      </c>
      <c r="C4" s="102"/>
      <c r="D4" s="102"/>
      <c r="E4" s="102"/>
      <c r="F4" s="102"/>
      <c r="G4" s="102"/>
      <c r="H4" s="110"/>
    </row>
    <row r="5" spans="1:10" x14ac:dyDescent="0.2">
      <c r="A5" s="5">
        <v>1</v>
      </c>
      <c r="B5" s="96" t="s">
        <v>8</v>
      </c>
      <c r="C5" s="63">
        <v>173107</v>
      </c>
      <c r="D5" s="63">
        <v>0</v>
      </c>
      <c r="E5" s="63">
        <f>+C5+D5</f>
        <v>173107</v>
      </c>
      <c r="F5" s="63">
        <f t="shared" ref="F5:F11" si="0">+G5-E5</f>
        <v>0</v>
      </c>
      <c r="G5" s="63">
        <v>173107</v>
      </c>
      <c r="H5" s="111">
        <f t="shared" ref="H5:H14" si="1">+G5/E5</f>
        <v>1</v>
      </c>
      <c r="I5" s="118"/>
    </row>
    <row r="6" spans="1:10" x14ac:dyDescent="0.2">
      <c r="A6" s="5">
        <v>2</v>
      </c>
      <c r="B6" s="96" t="s">
        <v>42</v>
      </c>
      <c r="C6" s="64">
        <f>61200</f>
        <v>61200</v>
      </c>
      <c r="D6" s="64">
        <v>0</v>
      </c>
      <c r="E6" s="63">
        <f t="shared" ref="E6:E11" si="2">+C6+D6</f>
        <v>61200</v>
      </c>
      <c r="F6" s="64">
        <f t="shared" si="0"/>
        <v>0</v>
      </c>
      <c r="G6" s="64">
        <f>61200</f>
        <v>61200</v>
      </c>
      <c r="H6" s="111">
        <f t="shared" si="1"/>
        <v>1</v>
      </c>
      <c r="I6" s="118"/>
    </row>
    <row r="7" spans="1:10" x14ac:dyDescent="0.2">
      <c r="A7" s="5">
        <v>4</v>
      </c>
      <c r="B7" s="7" t="s">
        <v>32</v>
      </c>
      <c r="C7" s="65">
        <f>31285</f>
        <v>31285</v>
      </c>
      <c r="D7" s="65">
        <v>0</v>
      </c>
      <c r="E7" s="63">
        <f t="shared" si="2"/>
        <v>31285</v>
      </c>
      <c r="F7" s="65">
        <f t="shared" si="0"/>
        <v>0</v>
      </c>
      <c r="G7" s="65">
        <f>31285</f>
        <v>31285</v>
      </c>
      <c r="H7" s="111">
        <f t="shared" si="1"/>
        <v>1</v>
      </c>
      <c r="I7" s="118"/>
    </row>
    <row r="8" spans="1:10" x14ac:dyDescent="0.2">
      <c r="A8" s="5">
        <v>5</v>
      </c>
      <c r="B8" s="6" t="s">
        <v>9</v>
      </c>
      <c r="C8" s="63">
        <f>8000</f>
        <v>8000</v>
      </c>
      <c r="D8" s="63">
        <v>4000</v>
      </c>
      <c r="E8" s="63">
        <f t="shared" si="2"/>
        <v>12000</v>
      </c>
      <c r="F8" s="63">
        <f t="shared" si="0"/>
        <v>0</v>
      </c>
      <c r="G8" s="63">
        <f>15000*0.8</f>
        <v>12000</v>
      </c>
      <c r="H8" s="111">
        <f t="shared" si="1"/>
        <v>1</v>
      </c>
      <c r="I8" s="118"/>
    </row>
    <row r="9" spans="1:10" x14ac:dyDescent="0.2">
      <c r="A9" s="5">
        <v>6</v>
      </c>
      <c r="B9" s="51" t="s">
        <v>117</v>
      </c>
      <c r="C9" s="63"/>
      <c r="D9" s="63">
        <v>10000</v>
      </c>
      <c r="E9" s="63">
        <f t="shared" si="2"/>
        <v>10000</v>
      </c>
      <c r="F9" s="63">
        <f t="shared" si="0"/>
        <v>0</v>
      </c>
      <c r="G9" s="63">
        <f>12500*0.8</f>
        <v>10000</v>
      </c>
      <c r="H9" s="111">
        <f t="shared" si="1"/>
        <v>1</v>
      </c>
      <c r="I9" s="118"/>
    </row>
    <row r="10" spans="1:10" x14ac:dyDescent="0.2">
      <c r="A10" s="5">
        <v>7</v>
      </c>
      <c r="B10" s="119" t="s">
        <v>118</v>
      </c>
      <c r="C10" s="63"/>
      <c r="D10" s="63">
        <v>12960</v>
      </c>
      <c r="E10" s="63">
        <f t="shared" si="2"/>
        <v>12960</v>
      </c>
      <c r="F10" s="63">
        <f t="shared" si="0"/>
        <v>0</v>
      </c>
      <c r="G10" s="63">
        <f>16200*0.8</f>
        <v>12960</v>
      </c>
      <c r="H10" s="111">
        <f t="shared" si="1"/>
        <v>1</v>
      </c>
      <c r="I10" s="118"/>
    </row>
    <row r="11" spans="1:10" s="11" customFormat="1" x14ac:dyDescent="0.2">
      <c r="A11" s="9">
        <v>8</v>
      </c>
      <c r="B11" s="125" t="s">
        <v>119</v>
      </c>
      <c r="C11" s="63">
        <f>173107*0.25+61200*0.25+31285*0.25+8000*0.25</f>
        <v>68398</v>
      </c>
      <c r="D11" s="63">
        <v>6740</v>
      </c>
      <c r="E11" s="63">
        <f t="shared" si="2"/>
        <v>75138</v>
      </c>
      <c r="F11" s="63">
        <f t="shared" si="0"/>
        <v>0</v>
      </c>
      <c r="G11" s="63">
        <f>173107*0.25+61200*0.25+31285*0.25+12000*0.25+16200*0.2+12500*0.2</f>
        <v>75138</v>
      </c>
      <c r="H11" s="126">
        <f t="shared" si="1"/>
        <v>1</v>
      </c>
      <c r="I11" s="104"/>
    </row>
    <row r="12" spans="1:10" x14ac:dyDescent="0.2">
      <c r="A12" s="42">
        <v>9</v>
      </c>
      <c r="B12" s="97" t="s">
        <v>33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12">
        <f t="shared" si="1"/>
        <v>1</v>
      </c>
      <c r="I12" s="118"/>
      <c r="J12" s="118"/>
    </row>
    <row r="13" spans="1:10" s="11" customFormat="1" x14ac:dyDescent="0.2">
      <c r="A13" s="43">
        <v>10</v>
      </c>
      <c r="B13" s="120" t="s">
        <v>121</v>
      </c>
      <c r="C13" s="12"/>
      <c r="D13" s="12">
        <v>45778</v>
      </c>
      <c r="E13" s="12">
        <f>+C13+D13</f>
        <v>45778</v>
      </c>
      <c r="F13" s="12">
        <f t="shared" ref="F13:F32" si="3">+G13-E13</f>
        <v>-0.39999999999417923</v>
      </c>
      <c r="G13" s="12">
        <f>57222*0.8</f>
        <v>45777.600000000006</v>
      </c>
      <c r="H13" s="113">
        <f t="shared" si="1"/>
        <v>0.99999126217833911</v>
      </c>
      <c r="I13" s="104"/>
    </row>
    <row r="14" spans="1:10" s="11" customFormat="1" x14ac:dyDescent="0.2">
      <c r="A14" s="121"/>
      <c r="B14" s="122" t="s">
        <v>120</v>
      </c>
      <c r="C14" s="49"/>
      <c r="D14" s="49">
        <v>11444.4</v>
      </c>
      <c r="E14" s="49">
        <f>+C14+D14</f>
        <v>11444.4</v>
      </c>
      <c r="F14" s="49">
        <f t="shared" si="3"/>
        <v>0</v>
      </c>
      <c r="G14" s="49">
        <f>57222*0.2</f>
        <v>11444.400000000001</v>
      </c>
      <c r="H14" s="113">
        <f t="shared" si="1"/>
        <v>1.0000000000000002</v>
      </c>
      <c r="I14" s="104"/>
    </row>
    <row r="15" spans="1:10" s="11" customFormat="1" x14ac:dyDescent="0.2">
      <c r="A15" s="9"/>
      <c r="B15" s="94" t="s">
        <v>10</v>
      </c>
      <c r="C15" s="49"/>
      <c r="D15" s="49">
        <v>0</v>
      </c>
      <c r="E15" s="49"/>
      <c r="F15" s="49">
        <f t="shared" si="3"/>
        <v>0</v>
      </c>
      <c r="G15" s="49"/>
      <c r="H15" s="113"/>
      <c r="I15" s="118"/>
    </row>
    <row r="16" spans="1:10" s="11" customFormat="1" x14ac:dyDescent="0.2">
      <c r="A16" s="9">
        <v>11</v>
      </c>
      <c r="B16" s="93" t="s">
        <v>0</v>
      </c>
      <c r="C16" s="10">
        <v>3000</v>
      </c>
      <c r="D16" s="10">
        <v>0</v>
      </c>
      <c r="E16" s="63">
        <f>+C16+D16</f>
        <v>3000</v>
      </c>
      <c r="F16" s="10">
        <f t="shared" si="3"/>
        <v>0</v>
      </c>
      <c r="G16" s="10">
        <v>3000</v>
      </c>
      <c r="H16" s="113">
        <f t="shared" ref="H16:H24" si="4">+G16/E16</f>
        <v>1</v>
      </c>
      <c r="I16" s="118"/>
    </row>
    <row r="17" spans="1:9" s="11" customFormat="1" x14ac:dyDescent="0.2">
      <c r="A17" s="9">
        <v>12</v>
      </c>
      <c r="B17" s="123" t="s">
        <v>43</v>
      </c>
      <c r="C17" s="10">
        <v>80000</v>
      </c>
      <c r="D17" s="10">
        <v>0</v>
      </c>
      <c r="E17" s="63">
        <f>+C17+D17</f>
        <v>80000</v>
      </c>
      <c r="F17" s="10">
        <f t="shared" si="3"/>
        <v>0</v>
      </c>
      <c r="G17" s="10">
        <v>80000</v>
      </c>
      <c r="H17" s="113">
        <f t="shared" si="4"/>
        <v>1</v>
      </c>
      <c r="I17" s="104"/>
    </row>
    <row r="18" spans="1:9" s="11" customFormat="1" x14ac:dyDescent="0.2">
      <c r="A18" s="9">
        <v>13</v>
      </c>
      <c r="B18" s="98" t="s">
        <v>44</v>
      </c>
      <c r="C18" s="10">
        <v>65057</v>
      </c>
      <c r="D18" s="10">
        <v>0</v>
      </c>
      <c r="E18" s="63">
        <f>+C18+D18</f>
        <v>65057</v>
      </c>
      <c r="F18" s="10">
        <f t="shared" si="3"/>
        <v>0</v>
      </c>
      <c r="G18" s="10">
        <v>65057</v>
      </c>
      <c r="H18" s="113">
        <f t="shared" si="4"/>
        <v>1</v>
      </c>
      <c r="I18" s="104"/>
    </row>
    <row r="19" spans="1:9" x14ac:dyDescent="0.2">
      <c r="A19" s="9">
        <v>14</v>
      </c>
      <c r="B19" s="99" t="s">
        <v>126</v>
      </c>
      <c r="C19" s="10"/>
      <c r="D19" s="10"/>
      <c r="E19" s="10"/>
      <c r="F19" s="10">
        <v>10000</v>
      </c>
      <c r="G19" s="63">
        <f>+E19+F19</f>
        <v>10000</v>
      </c>
      <c r="H19" s="111"/>
      <c r="I19" s="118"/>
    </row>
    <row r="20" spans="1:9" x14ac:dyDescent="0.2">
      <c r="A20" s="9">
        <v>15</v>
      </c>
      <c r="B20" s="99" t="s">
        <v>125</v>
      </c>
      <c r="C20" s="10"/>
      <c r="D20" s="10"/>
      <c r="E20" s="10"/>
      <c r="F20" s="10">
        <v>15000</v>
      </c>
      <c r="G20" s="63">
        <f>+E20+F20</f>
        <v>15000</v>
      </c>
      <c r="H20" s="111"/>
      <c r="I20" s="118"/>
    </row>
    <row r="21" spans="1:9" s="11" customFormat="1" x14ac:dyDescent="0.2">
      <c r="A21" s="9">
        <v>16</v>
      </c>
      <c r="B21" s="98" t="s">
        <v>45</v>
      </c>
      <c r="C21" s="10">
        <v>103245</v>
      </c>
      <c r="D21" s="10">
        <v>0</v>
      </c>
      <c r="E21" s="63">
        <f>+C21+D21</f>
        <v>103245</v>
      </c>
      <c r="F21" s="10">
        <f t="shared" si="3"/>
        <v>0</v>
      </c>
      <c r="G21" s="10">
        <v>103245</v>
      </c>
      <c r="H21" s="113">
        <f t="shared" si="4"/>
        <v>1</v>
      </c>
      <c r="I21" s="104"/>
    </row>
    <row r="22" spans="1:9" s="11" customFormat="1" x14ac:dyDescent="0.2">
      <c r="A22" s="9">
        <v>17</v>
      </c>
      <c r="B22" s="124" t="s">
        <v>46</v>
      </c>
      <c r="C22" s="10">
        <v>1200</v>
      </c>
      <c r="D22" s="10">
        <v>0</v>
      </c>
      <c r="E22" s="63">
        <f>+C22+D22</f>
        <v>1200</v>
      </c>
      <c r="F22" s="10">
        <f t="shared" si="3"/>
        <v>0</v>
      </c>
      <c r="G22" s="10">
        <v>1200</v>
      </c>
      <c r="H22" s="113">
        <f t="shared" si="4"/>
        <v>1</v>
      </c>
      <c r="I22" s="104"/>
    </row>
    <row r="23" spans="1:9" x14ac:dyDescent="0.2">
      <c r="A23" s="9">
        <v>18</v>
      </c>
      <c r="B23" s="100" t="s">
        <v>127</v>
      </c>
      <c r="C23" s="10"/>
      <c r="D23" s="10"/>
      <c r="E23" s="10"/>
      <c r="F23" s="10">
        <v>137060</v>
      </c>
      <c r="G23" s="63">
        <f>+E23+F23</f>
        <v>137060</v>
      </c>
      <c r="H23" s="111"/>
      <c r="I23" s="118"/>
    </row>
    <row r="24" spans="1:9" ht="18" customHeight="1" thickBot="1" x14ac:dyDescent="0.25">
      <c r="A24" s="43">
        <v>19</v>
      </c>
      <c r="B24" s="101" t="s">
        <v>1</v>
      </c>
      <c r="C24" s="103">
        <f>SUM(C16:C22)</f>
        <v>252502</v>
      </c>
      <c r="D24" s="103">
        <v>0</v>
      </c>
      <c r="E24" s="103">
        <f>SUM(E16:E22)</f>
        <v>252502</v>
      </c>
      <c r="F24" s="103">
        <f>SUM(F16:F22)</f>
        <v>25000</v>
      </c>
      <c r="G24" s="103">
        <f>SUM(G16:G23)</f>
        <v>414562</v>
      </c>
      <c r="H24" s="114">
        <f t="shared" si="4"/>
        <v>1.6418166984815963</v>
      </c>
      <c r="I24" s="118"/>
    </row>
    <row r="25" spans="1:9" ht="22.5" hidden="1" customHeight="1" x14ac:dyDescent="0.2">
      <c r="A25" s="5"/>
      <c r="B25" s="54" t="s">
        <v>11</v>
      </c>
      <c r="C25" s="49"/>
      <c r="D25" s="49">
        <f t="shared" ref="D25:D31" si="5">+E25-C25</f>
        <v>0</v>
      </c>
      <c r="E25" s="49"/>
      <c r="F25" s="49">
        <f t="shared" si="3"/>
        <v>0</v>
      </c>
      <c r="G25" s="49"/>
      <c r="H25" s="115" t="e">
        <f t="shared" ref="H25:H31" si="6">+E25/C25</f>
        <v>#DIV/0!</v>
      </c>
      <c r="I25" s="118"/>
    </row>
    <row r="26" spans="1:9" ht="13.5" hidden="1" thickBot="1" x14ac:dyDescent="0.25">
      <c r="A26" s="5">
        <v>19</v>
      </c>
      <c r="B26" s="51" t="s">
        <v>30</v>
      </c>
      <c r="C26" s="49"/>
      <c r="D26" s="49">
        <f t="shared" si="5"/>
        <v>0</v>
      </c>
      <c r="E26" s="49"/>
      <c r="F26" s="49">
        <f t="shared" si="3"/>
        <v>0</v>
      </c>
      <c r="G26" s="49"/>
      <c r="H26" s="115" t="e">
        <f t="shared" si="6"/>
        <v>#DIV/0!</v>
      </c>
      <c r="I26" s="118"/>
    </row>
    <row r="27" spans="1:9" s="11" customFormat="1" ht="13.5" hidden="1" thickBot="1" x14ac:dyDescent="0.25">
      <c r="A27" s="9">
        <v>20</v>
      </c>
      <c r="B27" s="53" t="s">
        <v>31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13" t="e">
        <f t="shared" si="6"/>
        <v>#DIV/0!</v>
      </c>
      <c r="I27" s="118"/>
    </row>
    <row r="28" spans="1:9" s="11" customFormat="1" ht="13.5" hidden="1" thickBot="1" x14ac:dyDescent="0.25">
      <c r="A28" s="9">
        <v>21</v>
      </c>
      <c r="B28" s="53" t="s">
        <v>29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13" t="e">
        <f t="shared" si="6"/>
        <v>#DIV/0!</v>
      </c>
      <c r="I28" s="118"/>
    </row>
    <row r="29" spans="1:9" s="11" customFormat="1" ht="13.5" hidden="1" thickBot="1" x14ac:dyDescent="0.25">
      <c r="A29" s="9">
        <v>22</v>
      </c>
      <c r="B29" s="53" t="s">
        <v>35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13" t="e">
        <f t="shared" si="6"/>
        <v>#DIV/0!</v>
      </c>
      <c r="I29" s="118"/>
    </row>
    <row r="30" spans="1:9" ht="28.5" hidden="1" customHeight="1" x14ac:dyDescent="0.2">
      <c r="A30" s="43">
        <v>23</v>
      </c>
      <c r="B30" s="52" t="s">
        <v>34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12" t="e">
        <f t="shared" si="6"/>
        <v>#DIV/0!</v>
      </c>
      <c r="I30" s="118"/>
    </row>
    <row r="31" spans="1:9" s="11" customFormat="1" ht="24" hidden="1" customHeight="1" thickBot="1" x14ac:dyDescent="0.25">
      <c r="A31" s="47">
        <v>24</v>
      </c>
      <c r="B31" s="55" t="s">
        <v>28</v>
      </c>
      <c r="C31" s="50"/>
      <c r="D31" s="50">
        <f t="shared" si="5"/>
        <v>0</v>
      </c>
      <c r="E31" s="50"/>
      <c r="F31" s="50">
        <f t="shared" si="3"/>
        <v>0</v>
      </c>
      <c r="G31" s="50"/>
      <c r="H31" s="116" t="e">
        <f t="shared" si="6"/>
        <v>#DIV/0!</v>
      </c>
      <c r="I31" s="118"/>
    </row>
    <row r="32" spans="1:9" ht="31.5" customHeight="1" thickBot="1" x14ac:dyDescent="0.3">
      <c r="A32" s="4"/>
      <c r="B32" s="56" t="s">
        <v>37</v>
      </c>
      <c r="C32" s="66">
        <f>C12+C24+C13+C14</f>
        <v>594492</v>
      </c>
      <c r="D32" s="66">
        <f>D12+D24+D13+D14</f>
        <v>90922.4</v>
      </c>
      <c r="E32" s="66">
        <f>E12+E24+E13+E14</f>
        <v>685414.40000000002</v>
      </c>
      <c r="F32" s="66">
        <f t="shared" si="3"/>
        <v>162059.59999999998</v>
      </c>
      <c r="G32" s="66">
        <f>G12+G24+G13+G14</f>
        <v>847474</v>
      </c>
      <c r="H32" s="117">
        <f>+G32/E32</f>
        <v>1.2364403198999028</v>
      </c>
      <c r="I32" s="118"/>
    </row>
    <row r="33" spans="3:7" x14ac:dyDescent="0.2">
      <c r="C33" s="41"/>
      <c r="D33" s="118"/>
      <c r="E33" s="118"/>
      <c r="F33" s="118"/>
      <c r="G33" s="118"/>
    </row>
    <row r="34" spans="3:7" x14ac:dyDescent="0.2">
      <c r="C34" s="41"/>
    </row>
    <row r="35" spans="3:7" ht="27" customHeight="1" x14ac:dyDescent="0.2">
      <c r="C35" s="44"/>
    </row>
  </sheetData>
  <phoneticPr fontId="11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3">
    <pageSetUpPr fitToPage="1"/>
  </sheetPr>
  <dimension ref="A1:K35"/>
  <sheetViews>
    <sheetView zoomScaleNormal="100" workbookViewId="0">
      <selection activeCell="L25" sqref="L25"/>
    </sheetView>
  </sheetViews>
  <sheetFormatPr defaultRowHeight="15" x14ac:dyDescent="0.25"/>
  <cols>
    <col min="1" max="1" width="58" style="226" customWidth="1"/>
    <col min="2" max="2" width="12.85546875" style="226" bestFit="1" customWidth="1"/>
    <col min="3" max="3" width="13" style="227" customWidth="1"/>
    <col min="4" max="4" width="10.85546875" style="419" customWidth="1"/>
    <col min="5" max="5" width="11.5703125" style="419" customWidth="1"/>
    <col min="6" max="6" width="11.140625" style="419" customWidth="1"/>
    <col min="7" max="7" width="10" style="419" customWidth="1"/>
    <col min="8" max="8" width="10.7109375" style="419" customWidth="1"/>
    <col min="9" max="9" width="11" customWidth="1"/>
    <col min="10" max="10" width="11.5703125" style="217" bestFit="1" customWidth="1"/>
    <col min="11" max="11" width="10.85546875" style="217" bestFit="1" customWidth="1"/>
    <col min="12" max="16384" width="9.140625" style="217"/>
  </cols>
  <sheetData>
    <row r="1" spans="1:9" ht="12.75" x14ac:dyDescent="0.2">
      <c r="A1" s="606"/>
      <c r="B1" s="607"/>
      <c r="C1" s="607"/>
      <c r="D1" s="608"/>
      <c r="E1" s="608"/>
      <c r="F1" s="608"/>
      <c r="G1" s="608"/>
      <c r="H1" s="701"/>
      <c r="I1" s="702"/>
    </row>
    <row r="2" spans="1:9" ht="24" x14ac:dyDescent="0.2">
      <c r="A2" s="296" t="s">
        <v>166</v>
      </c>
      <c r="B2" s="721" t="s">
        <v>203</v>
      </c>
      <c r="C2" s="218" t="s">
        <v>141</v>
      </c>
      <c r="D2" s="218" t="s">
        <v>190</v>
      </c>
      <c r="E2" s="218" t="s">
        <v>167</v>
      </c>
      <c r="F2" s="540" t="s">
        <v>255</v>
      </c>
      <c r="G2" s="297" t="s">
        <v>165</v>
      </c>
      <c r="H2" s="540" t="s">
        <v>446</v>
      </c>
      <c r="I2" s="297" t="s">
        <v>4</v>
      </c>
    </row>
    <row r="3" spans="1:9" ht="12.75" x14ac:dyDescent="0.2">
      <c r="A3" s="298"/>
      <c r="B3" s="950"/>
      <c r="C3" s="940"/>
      <c r="D3" s="941"/>
      <c r="E3" s="941"/>
      <c r="F3" s="941"/>
      <c r="G3" s="927"/>
      <c r="H3" s="927"/>
      <c r="I3" s="942"/>
    </row>
    <row r="4" spans="1:9" s="419" customFormat="1" ht="12.75" x14ac:dyDescent="0.2">
      <c r="A4" s="299" t="s">
        <v>351</v>
      </c>
      <c r="B4" s="922" t="s">
        <v>482</v>
      </c>
      <c r="C4" s="923"/>
      <c r="D4" s="924">
        <v>116179500</v>
      </c>
      <c r="E4" s="924"/>
      <c r="F4" s="924"/>
      <c r="G4" s="925"/>
      <c r="H4" s="925"/>
      <c r="I4" s="926">
        <f>SUM(C4:H4)</f>
        <v>116179500</v>
      </c>
    </row>
    <row r="5" spans="1:9" ht="12.75" x14ac:dyDescent="0.2">
      <c r="A5" s="300" t="s">
        <v>352</v>
      </c>
      <c r="B5" s="951"/>
      <c r="C5" s="928">
        <f>SUM(C6:C9)</f>
        <v>27600278</v>
      </c>
      <c r="D5" s="928"/>
      <c r="E5" s="928"/>
      <c r="F5" s="928"/>
      <c r="G5" s="928"/>
      <c r="H5" s="928">
        <f t="shared" ref="H5" si="0">SUM(H6:H9)</f>
        <v>11903469</v>
      </c>
      <c r="I5" s="926">
        <f>SUM(C5:H5)</f>
        <v>39503747</v>
      </c>
    </row>
    <row r="6" spans="1:9" ht="12.75" x14ac:dyDescent="0.2">
      <c r="A6" s="412" t="s">
        <v>353</v>
      </c>
      <c r="B6" s="952"/>
      <c r="C6" s="943"/>
      <c r="D6" s="944"/>
      <c r="E6" s="944"/>
      <c r="F6" s="944"/>
      <c r="G6" s="929"/>
      <c r="H6" s="929">
        <v>10669680</v>
      </c>
      <c r="I6" s="945"/>
    </row>
    <row r="7" spans="1:9" ht="12.75" x14ac:dyDescent="0.2">
      <c r="A7" s="412" t="s">
        <v>354</v>
      </c>
      <c r="B7" s="952"/>
      <c r="C7" s="946">
        <v>19584000</v>
      </c>
      <c r="D7" s="944"/>
      <c r="E7" s="944"/>
      <c r="F7" s="944"/>
      <c r="G7" s="929"/>
      <c r="H7" s="929"/>
      <c r="I7" s="945"/>
    </row>
    <row r="8" spans="1:9" ht="12.75" x14ac:dyDescent="0.2">
      <c r="A8" s="412" t="s">
        <v>355</v>
      </c>
      <c r="B8" s="952"/>
      <c r="C8" s="946"/>
      <c r="D8" s="944"/>
      <c r="E8" s="944"/>
      <c r="F8" s="944"/>
      <c r="G8" s="929"/>
      <c r="H8" s="929">
        <v>1233789</v>
      </c>
      <c r="I8" s="945"/>
    </row>
    <row r="9" spans="1:9" ht="12.75" x14ac:dyDescent="0.2">
      <c r="A9" s="412" t="s">
        <v>356</v>
      </c>
      <c r="B9" s="952"/>
      <c r="C9" s="946">
        <v>8016278</v>
      </c>
      <c r="D9" s="944"/>
      <c r="E9" s="944"/>
      <c r="F9" s="944"/>
      <c r="G9" s="929"/>
      <c r="H9" s="929"/>
      <c r="I9" s="945"/>
    </row>
    <row r="10" spans="1:9" ht="12.75" x14ac:dyDescent="0.2">
      <c r="A10" s="413" t="s">
        <v>357</v>
      </c>
      <c r="B10" s="953"/>
      <c r="C10" s="947">
        <v>23357700</v>
      </c>
      <c r="D10" s="932"/>
      <c r="E10" s="948"/>
      <c r="F10" s="948"/>
      <c r="G10" s="930"/>
      <c r="H10" s="930"/>
      <c r="I10" s="926">
        <f t="shared" ref="I10:I11" si="1">SUM(C10:H10)</f>
        <v>23357700</v>
      </c>
    </row>
    <row r="11" spans="1:9" ht="12.75" x14ac:dyDescent="0.2">
      <c r="A11" s="413" t="s">
        <v>358</v>
      </c>
      <c r="B11" s="938"/>
      <c r="C11" s="947">
        <v>38250</v>
      </c>
      <c r="D11" s="932"/>
      <c r="E11" s="932"/>
      <c r="F11" s="932"/>
      <c r="G11" s="931"/>
      <c r="H11" s="931"/>
      <c r="I11" s="926">
        <f t="shared" si="1"/>
        <v>38250</v>
      </c>
    </row>
    <row r="12" spans="1:9" ht="12.75" x14ac:dyDescent="0.2">
      <c r="A12" s="413"/>
      <c r="B12" s="938"/>
      <c r="C12" s="939"/>
      <c r="D12" s="932"/>
      <c r="E12" s="932"/>
      <c r="F12" s="932"/>
      <c r="G12" s="932"/>
      <c r="H12" s="932"/>
      <c r="I12" s="926"/>
    </row>
    <row r="13" spans="1:9" s="419" customFormat="1" ht="12.75" x14ac:dyDescent="0.2">
      <c r="A13" s="414" t="s">
        <v>359</v>
      </c>
      <c r="B13" s="954"/>
      <c r="C13" s="933">
        <f>+C4+C6+C7+C8+C9+C10+C11+C12</f>
        <v>50996228</v>
      </c>
      <c r="D13" s="933">
        <f>+D4+D6+D7+D8+D9+D10+D11+D12</f>
        <v>116179500</v>
      </c>
      <c r="E13" s="933"/>
      <c r="F13" s="933"/>
      <c r="G13" s="933"/>
      <c r="H13" s="933">
        <f>+H4+H6+H7+H8+H9+H10+H11+H12</f>
        <v>11903469</v>
      </c>
      <c r="I13" s="949">
        <f>SUM(C13:H13)</f>
        <v>179079197</v>
      </c>
    </row>
    <row r="14" spans="1:9" s="419" customFormat="1" ht="12.75" x14ac:dyDescent="0.2">
      <c r="A14" s="415"/>
      <c r="B14" s="938"/>
      <c r="C14" s="957"/>
      <c r="D14" s="958"/>
      <c r="E14" s="932"/>
      <c r="F14" s="932"/>
      <c r="G14" s="931"/>
      <c r="H14" s="931"/>
      <c r="I14" s="959"/>
    </row>
    <row r="15" spans="1:9" s="419" customFormat="1" ht="12.75" x14ac:dyDescent="0.2">
      <c r="A15" s="301" t="s">
        <v>483</v>
      </c>
      <c r="B15" s="960" t="s">
        <v>530</v>
      </c>
      <c r="C15" s="955"/>
      <c r="D15" s="924"/>
      <c r="E15" s="924">
        <v>131746650</v>
      </c>
      <c r="F15" s="955"/>
      <c r="G15" s="956"/>
      <c r="H15" s="925"/>
      <c r="I15" s="942"/>
    </row>
    <row r="16" spans="1:9" s="419" customFormat="1" ht="12.75" x14ac:dyDescent="0.2">
      <c r="A16" s="301" t="s">
        <v>484</v>
      </c>
      <c r="B16" s="960" t="s">
        <v>204</v>
      </c>
      <c r="C16" s="955"/>
      <c r="D16" s="924"/>
      <c r="E16" s="924">
        <v>52542000</v>
      </c>
      <c r="F16" s="955"/>
      <c r="G16" s="956"/>
      <c r="H16" s="925"/>
      <c r="I16" s="942"/>
    </row>
    <row r="17" spans="1:11" s="419" customFormat="1" ht="12.75" x14ac:dyDescent="0.2">
      <c r="A17" s="301" t="s">
        <v>485</v>
      </c>
      <c r="B17" s="960" t="s">
        <v>531</v>
      </c>
      <c r="C17" s="955"/>
      <c r="D17" s="924"/>
      <c r="E17" s="924">
        <v>30291400</v>
      </c>
      <c r="F17" s="955"/>
      <c r="G17" s="956"/>
      <c r="H17" s="925"/>
      <c r="I17" s="942"/>
    </row>
    <row r="18" spans="1:11" s="419" customFormat="1" ht="12.75" x14ac:dyDescent="0.2">
      <c r="A18" s="301" t="s">
        <v>360</v>
      </c>
      <c r="B18" s="960" t="s">
        <v>529</v>
      </c>
      <c r="C18" s="955"/>
      <c r="D18" s="924"/>
      <c r="E18" s="924">
        <v>4518000</v>
      </c>
      <c r="F18" s="955"/>
      <c r="G18" s="956"/>
      <c r="H18" s="925"/>
      <c r="I18" s="942"/>
    </row>
    <row r="19" spans="1:11" s="419" customFormat="1" ht="25.5" x14ac:dyDescent="0.2">
      <c r="A19" s="414" t="s">
        <v>361</v>
      </c>
      <c r="B19" s="954"/>
      <c r="C19" s="933"/>
      <c r="D19" s="961"/>
      <c r="E19" s="962">
        <f>SUM(E14:E18)</f>
        <v>219098050</v>
      </c>
      <c r="F19" s="962"/>
      <c r="G19" s="963"/>
      <c r="H19" s="934"/>
      <c r="I19" s="949">
        <f>SUM(C19:H19)</f>
        <v>219098050</v>
      </c>
    </row>
    <row r="20" spans="1:11" ht="12.75" x14ac:dyDescent="0.2">
      <c r="A20" s="301"/>
      <c r="B20" s="965"/>
      <c r="C20" s="955"/>
      <c r="D20" s="924"/>
      <c r="E20" s="924"/>
      <c r="F20" s="955"/>
      <c r="G20" s="956"/>
      <c r="H20" s="925"/>
      <c r="I20" s="942"/>
      <c r="J20" s="419"/>
    </row>
    <row r="21" spans="1:11" s="419" customFormat="1" ht="12.75" x14ac:dyDescent="0.2">
      <c r="A21" s="301" t="s">
        <v>362</v>
      </c>
      <c r="B21" s="965"/>
      <c r="C21" s="955">
        <v>24494000</v>
      </c>
      <c r="D21" s="966"/>
      <c r="E21" s="932"/>
      <c r="F21" s="955"/>
      <c r="G21" s="956"/>
      <c r="H21" s="925"/>
      <c r="I21" s="942"/>
    </row>
    <row r="22" spans="1:11" ht="12.75" x14ac:dyDescent="0.2">
      <c r="A22" s="301" t="s">
        <v>416</v>
      </c>
      <c r="B22" s="960" t="s">
        <v>533</v>
      </c>
      <c r="C22" s="955"/>
      <c r="D22" s="955"/>
      <c r="E22" s="924"/>
      <c r="F22" s="955">
        <v>36860000</v>
      </c>
      <c r="G22" s="956"/>
      <c r="H22" s="925"/>
      <c r="I22" s="942"/>
      <c r="J22" s="419"/>
    </row>
    <row r="23" spans="1:11" s="221" customFormat="1" ht="12.75" x14ac:dyDescent="0.2">
      <c r="A23" s="301" t="s">
        <v>205</v>
      </c>
      <c r="B23" s="960" t="s">
        <v>532</v>
      </c>
      <c r="C23" s="955">
        <v>796320</v>
      </c>
      <c r="D23" s="955"/>
      <c r="E23" s="924"/>
      <c r="F23" s="955"/>
      <c r="G23" s="956"/>
      <c r="H23" s="925"/>
      <c r="I23" s="942"/>
      <c r="J23" s="964"/>
    </row>
    <row r="24" spans="1:11" ht="12.75" x14ac:dyDescent="0.2">
      <c r="A24" s="301" t="s">
        <v>466</v>
      </c>
      <c r="B24" s="960" t="s">
        <v>534</v>
      </c>
      <c r="C24" s="955">
        <v>40273200</v>
      </c>
      <c r="D24" s="955"/>
      <c r="E24" s="924"/>
      <c r="F24" s="955"/>
      <c r="G24" s="956"/>
      <c r="H24" s="925"/>
      <c r="I24" s="942"/>
      <c r="J24" s="419"/>
    </row>
    <row r="25" spans="1:11" ht="12.75" x14ac:dyDescent="0.2">
      <c r="A25" s="317" t="s">
        <v>363</v>
      </c>
      <c r="B25" s="960"/>
      <c r="C25" s="955">
        <v>62373508</v>
      </c>
      <c r="D25" s="966"/>
      <c r="E25" s="924"/>
      <c r="F25" s="955"/>
      <c r="G25" s="956"/>
      <c r="H25" s="925"/>
      <c r="I25" s="942"/>
      <c r="J25" s="419"/>
    </row>
    <row r="26" spans="1:11" ht="25.5" x14ac:dyDescent="0.2">
      <c r="A26" s="416" t="s">
        <v>364</v>
      </c>
      <c r="B26" s="967"/>
      <c r="C26" s="933">
        <f>SUM(C21:C25)</f>
        <v>127937028</v>
      </c>
      <c r="D26" s="933"/>
      <c r="E26" s="968"/>
      <c r="F26" s="933">
        <f>SUM(F21:F25)</f>
        <v>36860000</v>
      </c>
      <c r="G26" s="933"/>
      <c r="H26" s="934"/>
      <c r="I26" s="949">
        <f>SUM(C26:H26)</f>
        <v>164797028</v>
      </c>
      <c r="J26" s="419"/>
    </row>
    <row r="27" spans="1:11" ht="12.75" x14ac:dyDescent="0.2">
      <c r="A27" s="301"/>
      <c r="B27" s="965"/>
      <c r="C27" s="955"/>
      <c r="D27" s="924"/>
      <c r="E27" s="924"/>
      <c r="F27" s="924"/>
      <c r="G27" s="925"/>
      <c r="H27" s="925"/>
      <c r="I27" s="942"/>
      <c r="J27" s="419"/>
    </row>
    <row r="28" spans="1:11" ht="12.75" x14ac:dyDescent="0.2">
      <c r="A28" s="417" t="s">
        <v>486</v>
      </c>
      <c r="B28" s="969"/>
      <c r="C28" s="970"/>
      <c r="D28" s="971"/>
      <c r="E28" s="971"/>
      <c r="F28" s="971"/>
      <c r="G28" s="935">
        <v>18772670</v>
      </c>
      <c r="H28" s="935"/>
      <c r="I28" s="949">
        <f>SUM(C28:H28)</f>
        <v>18772670</v>
      </c>
      <c r="J28" s="419"/>
    </row>
    <row r="29" spans="1:11" ht="13.5" thickBot="1" x14ac:dyDescent="0.25">
      <c r="A29" s="302"/>
      <c r="B29" s="972"/>
      <c r="C29" s="973"/>
      <c r="D29" s="974"/>
      <c r="E29" s="974"/>
      <c r="F29" s="974"/>
      <c r="G29" s="936"/>
      <c r="H29" s="936"/>
      <c r="I29" s="942"/>
      <c r="J29" s="419"/>
    </row>
    <row r="30" spans="1:11" s="221" customFormat="1" thickBot="1" x14ac:dyDescent="0.25">
      <c r="A30" s="418" t="s">
        <v>168</v>
      </c>
      <c r="B30" s="975"/>
      <c r="C30" s="976">
        <f>+C13+C26</f>
        <v>178933256</v>
      </c>
      <c r="D30" s="976">
        <f t="shared" ref="D30:I30" si="2">+D13+D19+D26+D28</f>
        <v>116179500</v>
      </c>
      <c r="E30" s="976">
        <f t="shared" si="2"/>
        <v>219098050</v>
      </c>
      <c r="F30" s="976">
        <f t="shared" si="2"/>
        <v>36860000</v>
      </c>
      <c r="G30" s="976">
        <f t="shared" si="2"/>
        <v>18772670</v>
      </c>
      <c r="H30" s="937">
        <f t="shared" si="2"/>
        <v>11903469</v>
      </c>
      <c r="I30" s="977">
        <f t="shared" si="2"/>
        <v>581746945</v>
      </c>
      <c r="J30" s="964"/>
      <c r="K30" s="964"/>
    </row>
    <row r="31" spans="1:11" x14ac:dyDescent="0.25">
      <c r="A31" s="222"/>
      <c r="B31" s="222"/>
      <c r="C31" s="223"/>
      <c r="I31" s="420"/>
    </row>
    <row r="32" spans="1:11" x14ac:dyDescent="0.25">
      <c r="A32" s="224"/>
      <c r="B32" s="224"/>
      <c r="C32" s="219"/>
      <c r="D32" s="421"/>
      <c r="H32" s="421"/>
      <c r="I32" s="33"/>
    </row>
    <row r="33" spans="1:10" x14ac:dyDescent="0.25">
      <c r="A33" s="586"/>
      <c r="B33" s="586"/>
      <c r="D33" s="587"/>
      <c r="E33" s="587"/>
      <c r="F33" s="587"/>
      <c r="G33" s="587"/>
      <c r="H33" s="587"/>
      <c r="I33" s="1"/>
      <c r="J33" s="379"/>
    </row>
    <row r="34" spans="1:10" ht="18.75" x14ac:dyDescent="0.3">
      <c r="A34" s="586"/>
      <c r="B34" s="588"/>
      <c r="C34" s="422"/>
      <c r="D34" s="587"/>
      <c r="E34" s="587"/>
      <c r="F34" s="587"/>
      <c r="G34" s="587"/>
      <c r="H34" s="587"/>
      <c r="I34" s="1"/>
      <c r="J34" s="379"/>
    </row>
    <row r="35" spans="1:10" x14ac:dyDescent="0.25">
      <c r="A35" s="586"/>
      <c r="B35" s="586"/>
      <c r="D35" s="587"/>
      <c r="E35" s="587"/>
      <c r="F35" s="587"/>
      <c r="G35" s="587"/>
      <c r="H35" s="587"/>
      <c r="I35" s="1"/>
      <c r="J35" s="379"/>
    </row>
  </sheetData>
  <phoneticPr fontId="11" type="noConversion"/>
  <printOptions horizontalCentered="1"/>
  <pageMargins left="0.23622047244094491" right="0.23622047244094491" top="1.5354330708661419" bottom="0.74803149606299213" header="0.31496062992125984" footer="0.31496062992125984"/>
  <pageSetup paperSize="8" orientation="landscape" r:id="rId1"/>
  <headerFooter alignWithMargins="0">
    <oddHeader>&amp;L5 sz. melléklet&amp;C&amp;"Arial,Félkövér"Nagykovácsi Nagyközség Önkormányzat
 2021. évi állami támogatás részletezése 
&amp;Radatok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8">
    <pageSetUpPr fitToPage="1"/>
  </sheetPr>
  <dimension ref="A1:BD41"/>
  <sheetViews>
    <sheetView zoomScaleNormal="100" workbookViewId="0">
      <selection activeCell="D34" sqref="D34"/>
    </sheetView>
  </sheetViews>
  <sheetFormatPr defaultColWidth="8.85546875" defaultRowHeight="12.75" x14ac:dyDescent="0.2"/>
  <cols>
    <col min="1" max="1" width="6.7109375" style="13" customWidth="1"/>
    <col min="2" max="2" width="48" style="13" customWidth="1"/>
    <col min="3" max="4" width="20.7109375" style="429" customWidth="1"/>
    <col min="5" max="5" width="20.7109375" style="850" customWidth="1"/>
    <col min="6" max="9" width="8.85546875" style="429"/>
    <col min="10" max="16384" width="8.85546875" style="13"/>
  </cols>
  <sheetData>
    <row r="1" spans="1:56" s="128" customFormat="1" ht="25.5" x14ac:dyDescent="0.2">
      <c r="A1" s="127" t="s">
        <v>12</v>
      </c>
      <c r="B1" s="127" t="s">
        <v>13</v>
      </c>
      <c r="C1" s="498" t="s">
        <v>476</v>
      </c>
      <c r="D1" s="498" t="s">
        <v>506</v>
      </c>
      <c r="E1" s="134" t="s">
        <v>40</v>
      </c>
      <c r="F1" s="837"/>
      <c r="G1" s="837"/>
      <c r="H1" s="837"/>
      <c r="I1" s="837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</row>
    <row r="2" spans="1:56" x14ac:dyDescent="0.2">
      <c r="A2" s="14"/>
      <c r="B2" s="18"/>
      <c r="C2" s="15"/>
      <c r="D2" s="15"/>
      <c r="E2" s="107"/>
      <c r="F2" s="838"/>
      <c r="G2" s="838"/>
      <c r="H2" s="838"/>
      <c r="I2" s="83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25" customFormat="1" ht="12.75" customHeight="1" thickBot="1" x14ac:dyDescent="0.25">
      <c r="A3" s="16">
        <v>1</v>
      </c>
      <c r="B3" s="16">
        <v>2</v>
      </c>
      <c r="C3" s="828">
        <v>3</v>
      </c>
      <c r="D3" s="828">
        <v>4</v>
      </c>
      <c r="E3" s="839" t="s">
        <v>175</v>
      </c>
      <c r="F3" s="840"/>
      <c r="G3" s="840"/>
      <c r="H3" s="840"/>
      <c r="I3" s="840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6" x14ac:dyDescent="0.2">
      <c r="A4" s="26" t="s">
        <v>22</v>
      </c>
      <c r="B4" s="19" t="s">
        <v>23</v>
      </c>
      <c r="C4" s="829"/>
      <c r="D4" s="829"/>
      <c r="E4" s="841"/>
    </row>
    <row r="5" spans="1:56" x14ac:dyDescent="0.2">
      <c r="A5" s="27" t="s">
        <v>314</v>
      </c>
      <c r="B5" s="20" t="s">
        <v>2</v>
      </c>
      <c r="C5" s="830">
        <f>SUM(C6:C7)</f>
        <v>37682</v>
      </c>
      <c r="D5" s="830">
        <f>SUM(D6:D7)</f>
        <v>44144</v>
      </c>
      <c r="E5" s="842">
        <f t="shared" ref="E5:E16" si="0">+D5/C5</f>
        <v>1.171487712966403</v>
      </c>
    </row>
    <row r="6" spans="1:56" x14ac:dyDescent="0.2">
      <c r="A6" s="499" t="s">
        <v>392</v>
      </c>
      <c r="B6" s="135" t="s">
        <v>393</v>
      </c>
      <c r="C6" s="831"/>
      <c r="D6" s="831"/>
      <c r="E6" s="843"/>
    </row>
    <row r="7" spans="1:56" x14ac:dyDescent="0.2">
      <c r="A7" s="499" t="s">
        <v>394</v>
      </c>
      <c r="B7" s="135" t="s">
        <v>395</v>
      </c>
      <c r="C7" s="831">
        <f>+'3. sz. m._kiadások-bevételek'!C44</f>
        <v>37682</v>
      </c>
      <c r="D7" s="831">
        <f>+'3. sz. m._kiadások-bevételek'!D44</f>
        <v>44144</v>
      </c>
      <c r="E7" s="844">
        <f t="shared" si="0"/>
        <v>1.171487712966403</v>
      </c>
    </row>
    <row r="8" spans="1:56" x14ac:dyDescent="0.2">
      <c r="A8" s="14" t="s">
        <v>316</v>
      </c>
      <c r="B8" s="20" t="s">
        <v>396</v>
      </c>
      <c r="C8" s="830">
        <f>+'3. sz. m._kiadások-bevételek'!C45</f>
        <v>7789</v>
      </c>
      <c r="D8" s="830">
        <f>+'3. sz. m._kiadások-bevételek'!D45</f>
        <v>8091</v>
      </c>
      <c r="E8" s="842">
        <f t="shared" si="0"/>
        <v>1.0387726280652201</v>
      </c>
    </row>
    <row r="9" spans="1:56" x14ac:dyDescent="0.2">
      <c r="A9" s="27" t="s">
        <v>318</v>
      </c>
      <c r="B9" s="137" t="s">
        <v>24</v>
      </c>
      <c r="C9" s="830">
        <f>SUM(C10:C14)</f>
        <v>273025</v>
      </c>
      <c r="D9" s="830">
        <f>SUM(D10:D14)</f>
        <v>320394</v>
      </c>
      <c r="E9" s="842">
        <f t="shared" si="0"/>
        <v>1.1734969325153375</v>
      </c>
    </row>
    <row r="10" spans="1:56" x14ac:dyDescent="0.2">
      <c r="A10" s="499" t="s">
        <v>397</v>
      </c>
      <c r="B10" s="136" t="s">
        <v>398</v>
      </c>
      <c r="C10" s="831">
        <v>2580</v>
      </c>
      <c r="D10" s="831">
        <v>6766</v>
      </c>
      <c r="E10" s="843">
        <f t="shared" si="0"/>
        <v>2.6224806201550388</v>
      </c>
    </row>
    <row r="11" spans="1:56" x14ac:dyDescent="0.2">
      <c r="A11" s="499" t="s">
        <v>399</v>
      </c>
      <c r="B11" s="136" t="s">
        <v>400</v>
      </c>
      <c r="C11" s="831">
        <v>2620</v>
      </c>
      <c r="D11" s="831">
        <v>2620</v>
      </c>
      <c r="E11" s="843">
        <f t="shared" si="0"/>
        <v>1</v>
      </c>
    </row>
    <row r="12" spans="1:56" x14ac:dyDescent="0.2">
      <c r="A12" s="499" t="s">
        <v>401</v>
      </c>
      <c r="B12" s="136" t="s">
        <v>402</v>
      </c>
      <c r="C12" s="831">
        <v>192233</v>
      </c>
      <c r="D12" s="831">
        <v>218099</v>
      </c>
      <c r="E12" s="843">
        <f t="shared" si="0"/>
        <v>1.134555461341185</v>
      </c>
    </row>
    <row r="13" spans="1:56" x14ac:dyDescent="0.2">
      <c r="A13" s="499" t="s">
        <v>403</v>
      </c>
      <c r="B13" s="136" t="s">
        <v>404</v>
      </c>
      <c r="C13" s="831">
        <v>12050</v>
      </c>
      <c r="D13" s="831">
        <v>13534</v>
      </c>
      <c r="E13" s="843">
        <f t="shared" si="0"/>
        <v>1.1231535269709543</v>
      </c>
    </row>
    <row r="14" spans="1:56" x14ac:dyDescent="0.2">
      <c r="A14" s="499" t="s">
        <v>405</v>
      </c>
      <c r="B14" s="136" t="s">
        <v>406</v>
      </c>
      <c r="C14" s="831">
        <v>63542</v>
      </c>
      <c r="D14" s="831">
        <v>79375</v>
      </c>
      <c r="E14" s="843">
        <f t="shared" si="0"/>
        <v>1.2491737748260994</v>
      </c>
    </row>
    <row r="15" spans="1:56" x14ac:dyDescent="0.2">
      <c r="A15" s="27" t="s">
        <v>320</v>
      </c>
      <c r="B15" s="137" t="s">
        <v>407</v>
      </c>
      <c r="C15" s="830">
        <f>+'3. sz. m._kiadások-bevételek'!C47</f>
        <v>37000</v>
      </c>
      <c r="D15" s="830">
        <f>+'3. sz. m._kiadások-bevételek'!D47</f>
        <v>24494</v>
      </c>
      <c r="E15" s="842">
        <f t="shared" si="0"/>
        <v>0.66200000000000003</v>
      </c>
    </row>
    <row r="16" spans="1:56" ht="13.5" thickBot="1" x14ac:dyDescent="0.25">
      <c r="A16" s="27" t="s">
        <v>322</v>
      </c>
      <c r="B16" s="137" t="s">
        <v>408</v>
      </c>
      <c r="C16" s="830">
        <f>+'3. sz. m._kiadások-bevételek'!C48</f>
        <v>106375</v>
      </c>
      <c r="D16" s="830">
        <f>+'3. sz. m._kiadások-bevételek'!D48</f>
        <v>146667</v>
      </c>
      <c r="E16" s="845">
        <f t="shared" si="0"/>
        <v>1.3787732079905992</v>
      </c>
    </row>
    <row r="17" spans="1:8" ht="13.5" thickBot="1" x14ac:dyDescent="0.25">
      <c r="A17" s="28" t="s">
        <v>16</v>
      </c>
      <c r="B17" s="138" t="s">
        <v>460</v>
      </c>
      <c r="C17" s="832">
        <f>+C5+C8+C9+C15+C16</f>
        <v>461871</v>
      </c>
      <c r="D17" s="832">
        <f>+D5+D8+D9+D15+D16</f>
        <v>543790</v>
      </c>
      <c r="E17" s="846">
        <f>+D17/C17</f>
        <v>1.1773633763540037</v>
      </c>
    </row>
    <row r="18" spans="1:8" x14ac:dyDescent="0.2">
      <c r="A18" s="14"/>
      <c r="B18" s="17"/>
      <c r="C18" s="833"/>
      <c r="D18" s="833"/>
      <c r="E18" s="843"/>
    </row>
    <row r="19" spans="1:8" s="147" customFormat="1" x14ac:dyDescent="0.2">
      <c r="A19" s="27" t="s">
        <v>18</v>
      </c>
      <c r="B19" s="20" t="s">
        <v>25</v>
      </c>
      <c r="C19" s="834"/>
      <c r="D19" s="834"/>
      <c r="E19" s="847"/>
    </row>
    <row r="20" spans="1:8" s="147" customFormat="1" x14ac:dyDescent="0.2">
      <c r="A20" s="27" t="s">
        <v>331</v>
      </c>
      <c r="B20" s="52" t="s">
        <v>160</v>
      </c>
      <c r="C20" s="834">
        <f>+'3. sz. m._kiadások-bevételek'!C54</f>
        <v>479437</v>
      </c>
      <c r="D20" s="834">
        <f>+'3. sz. m._kiadások-bevételek'!D54</f>
        <v>780302</v>
      </c>
      <c r="E20" s="843">
        <f>+D20/C20</f>
        <v>1.6275381332688132</v>
      </c>
    </row>
    <row r="21" spans="1:8" s="147" customFormat="1" x14ac:dyDescent="0.2">
      <c r="A21" s="27" t="s">
        <v>333</v>
      </c>
      <c r="B21" s="228" t="s">
        <v>159</v>
      </c>
      <c r="C21" s="834">
        <f>+'3. sz. m._kiadások-bevételek'!C55</f>
        <v>7200</v>
      </c>
      <c r="D21" s="834">
        <f>+'3. sz. m._kiadások-bevételek'!D55</f>
        <v>6951</v>
      </c>
      <c r="E21" s="843">
        <f>+D21/C21</f>
        <v>0.9654166666666667</v>
      </c>
    </row>
    <row r="22" spans="1:8" ht="13.5" thickBot="1" x14ac:dyDescent="0.25">
      <c r="A22" s="27" t="s">
        <v>335</v>
      </c>
      <c r="B22" s="228" t="s">
        <v>458</v>
      </c>
      <c r="C22" s="834">
        <f>+'3. sz. m._kiadások-bevételek'!C56</f>
        <v>2900</v>
      </c>
      <c r="D22" s="834">
        <f>+'3. sz. m._kiadások-bevételek'!D56</f>
        <v>0</v>
      </c>
      <c r="E22" s="843">
        <f>+D22/C22</f>
        <v>0</v>
      </c>
    </row>
    <row r="23" spans="1:8" ht="13.5" thickBot="1" x14ac:dyDescent="0.25">
      <c r="A23" s="30" t="s">
        <v>18</v>
      </c>
      <c r="B23" s="60" t="s">
        <v>461</v>
      </c>
      <c r="C23" s="832">
        <f>SUM(C20:C22)</f>
        <v>489537</v>
      </c>
      <c r="D23" s="832">
        <f>SUM(D20:D22)</f>
        <v>787253</v>
      </c>
      <c r="E23" s="846">
        <f>+D23/C23</f>
        <v>1.6081583210257855</v>
      </c>
    </row>
    <row r="24" spans="1:8" x14ac:dyDescent="0.2">
      <c r="A24" s="27"/>
      <c r="B24" s="20"/>
      <c r="C24" s="834"/>
      <c r="D24" s="834"/>
      <c r="E24" s="847"/>
    </row>
    <row r="25" spans="1:8" x14ac:dyDescent="0.2">
      <c r="A25" s="27" t="s">
        <v>341</v>
      </c>
      <c r="B25" s="139" t="s">
        <v>409</v>
      </c>
      <c r="C25" s="830">
        <f>+C26</f>
        <v>870416</v>
      </c>
      <c r="D25" s="830">
        <f>+D26</f>
        <v>806725</v>
      </c>
      <c r="E25" s="842">
        <f>+D25/C25</f>
        <v>0.92682694251943898</v>
      </c>
    </row>
    <row r="26" spans="1:8" x14ac:dyDescent="0.2">
      <c r="A26" s="27"/>
      <c r="B26" s="637" t="s">
        <v>410</v>
      </c>
      <c r="C26" s="834">
        <f>+'3. sz. m._kiadások-bevételek'!C64</f>
        <v>870416</v>
      </c>
      <c r="D26" s="834">
        <f>+'3. sz. m._kiadások-bevételek'!D64</f>
        <v>806725</v>
      </c>
      <c r="E26" s="843">
        <f>+D26/C26</f>
        <v>0.92682694251943898</v>
      </c>
      <c r="F26" s="29"/>
    </row>
    <row r="27" spans="1:8" ht="13.5" thickBot="1" x14ac:dyDescent="0.25">
      <c r="A27" s="666"/>
      <c r="B27" s="667" t="s">
        <v>26</v>
      </c>
      <c r="C27" s="835">
        <f>+C17+C23+C25</f>
        <v>1821824</v>
      </c>
      <c r="D27" s="835">
        <f>+D17+D23+D25</f>
        <v>2137768</v>
      </c>
      <c r="E27" s="848">
        <f>+D27/C27</f>
        <v>1.1734218014473408</v>
      </c>
    </row>
    <row r="28" spans="1:8" x14ac:dyDescent="0.2">
      <c r="C28" s="836"/>
      <c r="D28" s="836"/>
      <c r="E28" s="849"/>
    </row>
    <row r="29" spans="1:8" x14ac:dyDescent="0.2">
      <c r="B29" s="21"/>
      <c r="C29" s="431"/>
      <c r="D29" s="431"/>
      <c r="E29" s="500"/>
    </row>
    <row r="30" spans="1:8" x14ac:dyDescent="0.2">
      <c r="B30" s="501"/>
      <c r="C30" s="431"/>
      <c r="D30" s="431"/>
      <c r="E30" s="500"/>
      <c r="H30" s="430"/>
    </row>
    <row r="31" spans="1:8" x14ac:dyDescent="0.2">
      <c r="B31" s="21"/>
    </row>
    <row r="32" spans="1:8" x14ac:dyDescent="0.2">
      <c r="B32" s="21"/>
    </row>
    <row r="33" spans="2:2" x14ac:dyDescent="0.2">
      <c r="B33" s="21"/>
    </row>
    <row r="40" spans="2:2" ht="18" customHeight="1" x14ac:dyDescent="0.2"/>
    <row r="41" spans="2:2" ht="18.75" customHeight="1" x14ac:dyDescent="0.2"/>
  </sheetData>
  <phoneticPr fontId="11" type="noConversion"/>
  <printOptions horizontalCentered="1"/>
  <pageMargins left="0.62992125984251968" right="0.47244094488188981" top="1.5354330708661419" bottom="0.55118110236220474" header="0.51181102362204722" footer="0.27559055118110237"/>
  <pageSetup paperSize="9" scale="83" orientation="landscape" horizontalDpi="4294967294" r:id="rId1"/>
  <headerFooter alignWithMargins="0">
    <oddHeader>&amp;L6 sz.melléklet&amp;C&amp;"Arial,Félkövér"&amp;12Nagykovácsi Nagyközség Önkormányzatának
2021. évi kiadásai kiemelt előirányzatonként&amp;Radatok eFt-ban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5"/>
  <dimension ref="A1:E32"/>
  <sheetViews>
    <sheetView zoomScaleNormal="100" workbookViewId="0">
      <selection activeCell="E8" sqref="E8"/>
    </sheetView>
  </sheetViews>
  <sheetFormatPr defaultRowHeight="12.75" x14ac:dyDescent="0.2"/>
  <cols>
    <col min="1" max="1" width="10" style="572" bestFit="1" customWidth="1"/>
    <col min="2" max="2" width="80.5703125" style="149" bestFit="1" customWidth="1"/>
    <col min="3" max="3" width="20.140625" style="149" bestFit="1" customWidth="1"/>
    <col min="4" max="16384" width="9.140625" style="149"/>
  </cols>
  <sheetData>
    <row r="1" spans="1:5" ht="13.5" thickBot="1" x14ac:dyDescent="0.25">
      <c r="A1" s="878" t="s">
        <v>507</v>
      </c>
      <c r="B1" s="879"/>
      <c r="C1" s="880"/>
    </row>
    <row r="2" spans="1:5" ht="53.25" customHeight="1" thickBot="1" x14ac:dyDescent="0.25">
      <c r="A2" s="571"/>
      <c r="B2" s="570" t="s">
        <v>3</v>
      </c>
      <c r="C2" s="570" t="s">
        <v>417</v>
      </c>
    </row>
    <row r="3" spans="1:5" ht="12.75" customHeight="1" x14ac:dyDescent="0.2">
      <c r="A3" s="851"/>
      <c r="B3" s="852" t="s">
        <v>160</v>
      </c>
      <c r="C3" s="853"/>
    </row>
    <row r="4" spans="1:5" ht="12.75" customHeight="1" x14ac:dyDescent="0.2">
      <c r="A4" s="855">
        <v>1</v>
      </c>
      <c r="B4" s="704" t="s">
        <v>473</v>
      </c>
      <c r="C4" s="154">
        <v>203414</v>
      </c>
    </row>
    <row r="5" spans="1:5" ht="12.75" customHeight="1" x14ac:dyDescent="0.2">
      <c r="A5" s="855">
        <v>2</v>
      </c>
      <c r="B5" s="704" t="s">
        <v>480</v>
      </c>
      <c r="C5" s="154">
        <v>184277</v>
      </c>
    </row>
    <row r="6" spans="1:5" ht="12.75" customHeight="1" x14ac:dyDescent="0.2">
      <c r="A6" s="855">
        <v>3</v>
      </c>
      <c r="B6" s="704" t="s">
        <v>475</v>
      </c>
      <c r="C6" s="154">
        <v>321997</v>
      </c>
      <c r="E6" s="318"/>
    </row>
    <row r="7" spans="1:5" ht="14.25" customHeight="1" x14ac:dyDescent="0.2">
      <c r="A7" s="855">
        <v>4</v>
      </c>
      <c r="B7" s="704" t="s">
        <v>508</v>
      </c>
      <c r="C7" s="154">
        <v>1270</v>
      </c>
    </row>
    <row r="8" spans="1:5" ht="14.25" customHeight="1" x14ac:dyDescent="0.2">
      <c r="A8" s="855">
        <v>5</v>
      </c>
      <c r="B8" s="704" t="s">
        <v>509</v>
      </c>
      <c r="C8" s="154">
        <v>635</v>
      </c>
    </row>
    <row r="9" spans="1:5" ht="14.25" customHeight="1" x14ac:dyDescent="0.2">
      <c r="A9" s="855">
        <v>6</v>
      </c>
      <c r="B9" s="704" t="s">
        <v>510</v>
      </c>
      <c r="C9" s="154">
        <v>2794</v>
      </c>
    </row>
    <row r="10" spans="1:5" ht="14.25" customHeight="1" x14ac:dyDescent="0.2">
      <c r="A10" s="855">
        <v>7</v>
      </c>
      <c r="B10" s="704" t="s">
        <v>511</v>
      </c>
      <c r="C10" s="154">
        <v>1100</v>
      </c>
    </row>
    <row r="11" spans="1:5" ht="38.25" x14ac:dyDescent="0.2">
      <c r="A11" s="855">
        <v>8</v>
      </c>
      <c r="B11" s="854" t="s">
        <v>512</v>
      </c>
      <c r="C11" s="154">
        <v>1000</v>
      </c>
    </row>
    <row r="12" spans="1:5" s="150" customFormat="1" x14ac:dyDescent="0.2">
      <c r="A12" s="855">
        <v>9</v>
      </c>
      <c r="B12" s="704" t="s">
        <v>513</v>
      </c>
      <c r="C12" s="154">
        <v>4100</v>
      </c>
    </row>
    <row r="13" spans="1:5" s="150" customFormat="1" x14ac:dyDescent="0.2">
      <c r="A13" s="855">
        <v>10</v>
      </c>
      <c r="B13" s="704" t="s">
        <v>514</v>
      </c>
      <c r="C13" s="154">
        <v>935</v>
      </c>
    </row>
    <row r="14" spans="1:5" s="150" customFormat="1" ht="12.75" customHeight="1" x14ac:dyDescent="0.2">
      <c r="A14" s="855">
        <v>11</v>
      </c>
      <c r="B14" s="704" t="s">
        <v>477</v>
      </c>
      <c r="C14" s="154">
        <v>22000</v>
      </c>
    </row>
    <row r="15" spans="1:5" s="150" customFormat="1" ht="69" customHeight="1" x14ac:dyDescent="0.2">
      <c r="A15" s="855">
        <v>12</v>
      </c>
      <c r="B15" s="854" t="s">
        <v>515</v>
      </c>
      <c r="C15" s="154">
        <v>20600</v>
      </c>
    </row>
    <row r="16" spans="1:5" s="150" customFormat="1" ht="12.75" customHeight="1" x14ac:dyDescent="0.2">
      <c r="A16" s="855">
        <v>13</v>
      </c>
      <c r="B16" s="856" t="s">
        <v>516</v>
      </c>
      <c r="C16" s="154">
        <v>2300</v>
      </c>
    </row>
    <row r="17" spans="1:5" s="150" customFormat="1" x14ac:dyDescent="0.2">
      <c r="A17" s="855">
        <v>14</v>
      </c>
      <c r="B17" s="856" t="s">
        <v>517</v>
      </c>
      <c r="C17" s="154">
        <v>11000</v>
      </c>
    </row>
    <row r="18" spans="1:5" s="150" customFormat="1" x14ac:dyDescent="0.2">
      <c r="A18" s="855">
        <v>15</v>
      </c>
      <c r="B18" s="704" t="s">
        <v>478</v>
      </c>
      <c r="C18" s="154">
        <v>450</v>
      </c>
    </row>
    <row r="19" spans="1:5" s="150" customFormat="1" x14ac:dyDescent="0.2">
      <c r="A19" s="855">
        <v>16</v>
      </c>
      <c r="B19" s="704" t="s">
        <v>518</v>
      </c>
      <c r="C19" s="706">
        <v>381</v>
      </c>
    </row>
    <row r="20" spans="1:5" s="150" customFormat="1" x14ac:dyDescent="0.2">
      <c r="A20" s="855">
        <v>17</v>
      </c>
      <c r="B20" s="704" t="s">
        <v>519</v>
      </c>
      <c r="C20" s="154">
        <v>1700</v>
      </c>
    </row>
    <row r="21" spans="1:5" s="150" customFormat="1" x14ac:dyDescent="0.2">
      <c r="A21" s="855">
        <v>18</v>
      </c>
      <c r="B21" s="704" t="s">
        <v>520</v>
      </c>
      <c r="C21" s="154">
        <v>350</v>
      </c>
    </row>
    <row r="22" spans="1:5" s="150" customFormat="1" x14ac:dyDescent="0.2">
      <c r="A22" s="771"/>
      <c r="B22" s="704"/>
      <c r="C22" s="154"/>
      <c r="E22" s="203"/>
    </row>
    <row r="23" spans="1:5" s="150" customFormat="1" x14ac:dyDescent="0.2">
      <c r="A23" s="774"/>
      <c r="B23" s="773" t="s">
        <v>159</v>
      </c>
      <c r="C23" s="154"/>
    </row>
    <row r="24" spans="1:5" s="150" customFormat="1" x14ac:dyDescent="0.2">
      <c r="A24" s="703">
        <v>20</v>
      </c>
      <c r="B24" s="704" t="s">
        <v>521</v>
      </c>
      <c r="C24" s="708">
        <v>5500</v>
      </c>
    </row>
    <row r="25" spans="1:5" s="150" customFormat="1" x14ac:dyDescent="0.2">
      <c r="A25" s="703">
        <v>21</v>
      </c>
      <c r="B25" s="704" t="s">
        <v>522</v>
      </c>
      <c r="C25" s="708">
        <v>950</v>
      </c>
    </row>
    <row r="26" spans="1:5" s="150" customFormat="1" ht="13.5" thickBot="1" x14ac:dyDescent="0.25">
      <c r="A26" s="703">
        <v>22</v>
      </c>
      <c r="B26" s="704" t="s">
        <v>523</v>
      </c>
      <c r="C26" s="708">
        <v>500</v>
      </c>
      <c r="E26" s="203"/>
    </row>
    <row r="27" spans="1:5" ht="13.5" thickBot="1" x14ac:dyDescent="0.25">
      <c r="A27" s="772"/>
      <c r="B27" s="775" t="s">
        <v>479</v>
      </c>
      <c r="C27" s="705">
        <f>SUM(C4:C26)</f>
        <v>787253</v>
      </c>
    </row>
    <row r="32" spans="1:5" x14ac:dyDescent="0.2">
      <c r="B32" s="149" t="s">
        <v>133</v>
      </c>
    </row>
  </sheetData>
  <mergeCells count="1">
    <mergeCell ref="A1:C1"/>
  </mergeCells>
  <phoneticPr fontId="11" type="noConversion"/>
  <printOptions horizontalCentered="1" verticalCentered="1"/>
  <pageMargins left="0.23622047244094491" right="0.23622047244094491" top="1.1417322834645669" bottom="0.78740157480314965" header="0.70866141732283472" footer="0.51181102362204722"/>
  <pageSetup paperSize="9" scale="85" orientation="landscape" horizontalDpi="4294967294" r:id="rId1"/>
  <headerFooter alignWithMargins="0">
    <oddHeader>&amp;L6.2. sz.melléklet&amp;C&amp;"Arial,Félkövér"Nagykovácsi Önkormányzat
 2021. évi költségvetésének felhalmozási előirányzatai feladatonként
&amp;Radatok 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2"/>
  <dimension ref="A1:P37"/>
  <sheetViews>
    <sheetView topLeftCell="A13" zoomScale="90" zoomScaleNormal="90" workbookViewId="0">
      <selection activeCell="D34" sqref="D34"/>
    </sheetView>
  </sheetViews>
  <sheetFormatPr defaultRowHeight="12.75" x14ac:dyDescent="0.2"/>
  <cols>
    <col min="1" max="1" width="12.5703125" style="308" customWidth="1"/>
    <col min="2" max="2" width="77.28515625" style="308" customWidth="1"/>
    <col min="3" max="3" width="16.7109375" style="308" hidden="1" customWidth="1"/>
    <col min="4" max="4" width="16.7109375" style="308" customWidth="1"/>
    <col min="5" max="5" width="16.7109375" style="308" hidden="1" customWidth="1"/>
    <col min="6" max="6" width="16.7109375" hidden="1" customWidth="1"/>
    <col min="7" max="8" width="16.7109375" style="308" hidden="1" customWidth="1"/>
  </cols>
  <sheetData>
    <row r="1" spans="1:8" ht="16.5" thickBot="1" x14ac:dyDescent="0.3">
      <c r="A1" s="75"/>
      <c r="G1" s="3"/>
      <c r="H1" s="3"/>
    </row>
    <row r="2" spans="1:8" s="8" customFormat="1" ht="15.75" customHeight="1" x14ac:dyDescent="0.2">
      <c r="A2" s="883" t="s">
        <v>63</v>
      </c>
      <c r="B2" s="76" t="s">
        <v>3</v>
      </c>
      <c r="C2" s="886" t="s">
        <v>64</v>
      </c>
      <c r="D2" s="887"/>
      <c r="E2" s="887"/>
      <c r="F2" s="887"/>
      <c r="G2" s="887"/>
      <c r="H2" s="888"/>
    </row>
    <row r="3" spans="1:8" s="8" customFormat="1" ht="13.5" thickBot="1" x14ac:dyDescent="0.25">
      <c r="A3" s="884"/>
      <c r="B3" s="77" t="s">
        <v>65</v>
      </c>
      <c r="C3" s="889" t="s">
        <v>21</v>
      </c>
      <c r="D3" s="890"/>
      <c r="E3" s="890"/>
      <c r="F3" s="890"/>
      <c r="G3" s="890"/>
      <c r="H3" s="891"/>
    </row>
    <row r="4" spans="1:8" s="8" customFormat="1" ht="52.5" customHeight="1" thickBot="1" x14ac:dyDescent="0.25">
      <c r="A4" s="885"/>
      <c r="B4" s="78"/>
      <c r="C4" s="309" t="s">
        <v>66</v>
      </c>
      <c r="D4" s="309" t="s">
        <v>141</v>
      </c>
      <c r="E4" s="79" t="s">
        <v>167</v>
      </c>
      <c r="F4" s="79" t="s">
        <v>41</v>
      </c>
      <c r="G4" s="309" t="s">
        <v>67</v>
      </c>
      <c r="H4" s="309" t="s">
        <v>4</v>
      </c>
    </row>
    <row r="5" spans="1:8" s="8" customFormat="1" ht="18" customHeight="1" thickBot="1" x14ac:dyDescent="0.25">
      <c r="A5" s="80">
        <v>1</v>
      </c>
      <c r="B5" s="81">
        <v>2</v>
      </c>
      <c r="C5" s="310">
        <v>3</v>
      </c>
      <c r="D5" s="310">
        <v>4</v>
      </c>
      <c r="E5" s="81">
        <v>5</v>
      </c>
      <c r="F5" s="81">
        <v>6</v>
      </c>
      <c r="G5" s="310">
        <v>7</v>
      </c>
      <c r="H5" s="310">
        <v>8</v>
      </c>
    </row>
    <row r="6" spans="1:8" ht="18" customHeight="1" thickBot="1" x14ac:dyDescent="0.25">
      <c r="A6" s="82" t="s">
        <v>68</v>
      </c>
      <c r="B6" s="83" t="s">
        <v>69</v>
      </c>
      <c r="C6" s="311">
        <v>1</v>
      </c>
      <c r="D6" s="314"/>
      <c r="E6" s="85"/>
      <c r="F6" s="303"/>
      <c r="G6" s="314"/>
      <c r="H6" s="315">
        <f t="shared" ref="H6:H27" si="0">SUM(C6:G6)</f>
        <v>1</v>
      </c>
    </row>
    <row r="7" spans="1:8" ht="18.75" customHeight="1" thickBot="1" x14ac:dyDescent="0.25">
      <c r="A7" s="86">
        <v>140040</v>
      </c>
      <c r="B7" s="87" t="s">
        <v>70</v>
      </c>
      <c r="C7" s="312">
        <v>1</v>
      </c>
      <c r="D7" s="312"/>
      <c r="E7" s="88"/>
      <c r="F7" s="304"/>
      <c r="G7" s="312"/>
      <c r="H7" s="315">
        <f t="shared" si="0"/>
        <v>1</v>
      </c>
    </row>
    <row r="8" spans="1:8" ht="26.25" thickBot="1" x14ac:dyDescent="0.25">
      <c r="A8" s="86" t="s">
        <v>71</v>
      </c>
      <c r="B8" s="87" t="s">
        <v>72</v>
      </c>
      <c r="C8" s="312">
        <v>15</v>
      </c>
      <c r="D8" s="312"/>
      <c r="E8" s="88"/>
      <c r="F8" s="304"/>
      <c r="G8" s="312"/>
      <c r="H8" s="315">
        <f t="shared" si="0"/>
        <v>15</v>
      </c>
    </row>
    <row r="9" spans="1:8" ht="26.25" thickBot="1" x14ac:dyDescent="0.25">
      <c r="A9" s="86" t="s">
        <v>71</v>
      </c>
      <c r="B9" s="87" t="s">
        <v>73</v>
      </c>
      <c r="C9" s="312">
        <v>8</v>
      </c>
      <c r="D9" s="312"/>
      <c r="E9" s="88"/>
      <c r="F9" s="304"/>
      <c r="G9" s="312"/>
      <c r="H9" s="315">
        <f t="shared" si="0"/>
        <v>8</v>
      </c>
    </row>
    <row r="10" spans="1:8" s="8" customFormat="1" ht="20.25" customHeight="1" thickBot="1" x14ac:dyDescent="0.25">
      <c r="A10" s="892" t="s">
        <v>74</v>
      </c>
      <c r="B10" s="893"/>
      <c r="C10" s="313">
        <f>SUM(C6:C9)</f>
        <v>25</v>
      </c>
      <c r="D10" s="313">
        <f>SUM(D6:D9)</f>
        <v>0</v>
      </c>
      <c r="E10" s="89">
        <f>SUM(E6:E9)</f>
        <v>0</v>
      </c>
      <c r="F10" s="305">
        <f>SUM(F6:F9)</f>
        <v>0</v>
      </c>
      <c r="G10" s="313">
        <f>SUM(G6:G9)</f>
        <v>0</v>
      </c>
      <c r="H10" s="315">
        <f t="shared" si="0"/>
        <v>25</v>
      </c>
    </row>
    <row r="11" spans="1:8" ht="19.5" customHeight="1" thickBot="1" x14ac:dyDescent="0.25">
      <c r="A11" s="86">
        <v>31</v>
      </c>
      <c r="B11" s="87" t="s">
        <v>75</v>
      </c>
      <c r="C11" s="312"/>
      <c r="D11" s="312"/>
      <c r="E11" s="84">
        <v>1</v>
      </c>
      <c r="F11" s="304"/>
      <c r="G11" s="312"/>
      <c r="H11" s="315">
        <f t="shared" si="0"/>
        <v>1</v>
      </c>
    </row>
    <row r="12" spans="1:8" ht="18" customHeight="1" thickBot="1" x14ac:dyDescent="0.25">
      <c r="A12" s="86">
        <v>31</v>
      </c>
      <c r="B12" s="87" t="s">
        <v>76</v>
      </c>
      <c r="C12" s="312"/>
      <c r="D12" s="312"/>
      <c r="E12" s="84">
        <v>3</v>
      </c>
      <c r="F12" s="304"/>
      <c r="G12" s="312"/>
      <c r="H12" s="315">
        <f t="shared" si="0"/>
        <v>3</v>
      </c>
    </row>
    <row r="13" spans="1:8" ht="26.25" thickBot="1" x14ac:dyDescent="0.25">
      <c r="A13" s="86" t="s">
        <v>77</v>
      </c>
      <c r="B13" s="87" t="s">
        <v>78</v>
      </c>
      <c r="C13" s="312"/>
      <c r="D13" s="312"/>
      <c r="E13" s="84">
        <v>3</v>
      </c>
      <c r="F13" s="304"/>
      <c r="G13" s="312"/>
      <c r="H13" s="315">
        <f t="shared" si="0"/>
        <v>3</v>
      </c>
    </row>
    <row r="14" spans="1:8" ht="26.25" thickBot="1" x14ac:dyDescent="0.25">
      <c r="A14" s="86" t="s">
        <v>79</v>
      </c>
      <c r="B14" s="87" t="s">
        <v>80</v>
      </c>
      <c r="C14" s="312"/>
      <c r="D14" s="312"/>
      <c r="E14" s="84">
        <v>8</v>
      </c>
      <c r="F14" s="304"/>
      <c r="G14" s="312"/>
      <c r="H14" s="315">
        <f t="shared" si="0"/>
        <v>8</v>
      </c>
    </row>
    <row r="15" spans="1:8" ht="26.25" thickBot="1" x14ac:dyDescent="0.25">
      <c r="A15" s="86" t="s">
        <v>81</v>
      </c>
      <c r="B15" s="87" t="s">
        <v>82</v>
      </c>
      <c r="C15" s="312"/>
      <c r="D15" s="312"/>
      <c r="E15" s="84">
        <v>2</v>
      </c>
      <c r="F15" s="304"/>
      <c r="G15" s="312"/>
      <c r="H15" s="315">
        <f t="shared" si="0"/>
        <v>2</v>
      </c>
    </row>
    <row r="16" spans="1:8" ht="26.25" thickBot="1" x14ac:dyDescent="0.25">
      <c r="A16" s="86" t="s">
        <v>83</v>
      </c>
      <c r="B16" s="87" t="s">
        <v>84</v>
      </c>
      <c r="C16" s="312"/>
      <c r="D16" s="312"/>
      <c r="E16" s="84">
        <v>10</v>
      </c>
      <c r="F16" s="304"/>
      <c r="G16" s="312"/>
      <c r="H16" s="315">
        <f t="shared" si="0"/>
        <v>10</v>
      </c>
    </row>
    <row r="17" spans="1:16" ht="26.25" thickBot="1" x14ac:dyDescent="0.25">
      <c r="A17" s="86" t="s">
        <v>213</v>
      </c>
      <c r="B17" s="87" t="s">
        <v>86</v>
      </c>
      <c r="C17" s="312"/>
      <c r="D17" s="312">
        <v>2</v>
      </c>
      <c r="E17" s="84">
        <v>3</v>
      </c>
      <c r="F17" s="304"/>
      <c r="G17" s="312">
        <v>2</v>
      </c>
      <c r="H17" s="315">
        <f>SUM(C17:G17)</f>
        <v>7</v>
      </c>
    </row>
    <row r="18" spans="1:16" ht="26.25" thickBot="1" x14ac:dyDescent="0.25">
      <c r="A18" s="86" t="s">
        <v>87</v>
      </c>
      <c r="B18" s="87" t="s">
        <v>88</v>
      </c>
      <c r="C18" s="312"/>
      <c r="D18" s="312">
        <v>2</v>
      </c>
      <c r="E18" s="84"/>
      <c r="F18" s="304"/>
      <c r="G18" s="312">
        <v>1</v>
      </c>
      <c r="H18" s="315"/>
    </row>
    <row r="19" spans="1:16" ht="26.25" thickBot="1" x14ac:dyDescent="0.25">
      <c r="A19" s="86" t="s">
        <v>89</v>
      </c>
      <c r="B19" s="87" t="s">
        <v>90</v>
      </c>
      <c r="C19" s="312"/>
      <c r="D19" s="312"/>
      <c r="E19" s="84"/>
      <c r="F19" s="304"/>
      <c r="G19" s="312">
        <v>1</v>
      </c>
      <c r="H19" s="315"/>
    </row>
    <row r="20" spans="1:16" s="8" customFormat="1" ht="19.5" customHeight="1" thickBot="1" x14ac:dyDescent="0.25">
      <c r="A20" s="86" t="s">
        <v>85</v>
      </c>
      <c r="B20" s="87" t="s">
        <v>210</v>
      </c>
      <c r="C20" s="312"/>
      <c r="D20" s="311"/>
      <c r="E20" s="84">
        <v>1</v>
      </c>
      <c r="F20" s="304"/>
      <c r="G20" s="312"/>
      <c r="H20" s="315">
        <f t="shared" si="0"/>
        <v>1</v>
      </c>
    </row>
    <row r="21" spans="1:16" ht="26.25" thickBot="1" x14ac:dyDescent="0.25">
      <c r="A21" s="86" t="s">
        <v>87</v>
      </c>
      <c r="B21" s="87" t="s">
        <v>211</v>
      </c>
      <c r="C21" s="312"/>
      <c r="D21" s="312"/>
      <c r="E21" s="84">
        <v>23</v>
      </c>
      <c r="F21" s="304"/>
      <c r="G21" s="312"/>
      <c r="H21" s="315">
        <f t="shared" si="0"/>
        <v>23</v>
      </c>
    </row>
    <row r="22" spans="1:16" ht="17.25" customHeight="1" thickBot="1" x14ac:dyDescent="0.25">
      <c r="A22" s="86" t="s">
        <v>89</v>
      </c>
      <c r="B22" s="87" t="s">
        <v>212</v>
      </c>
      <c r="C22" s="312"/>
      <c r="D22" s="312"/>
      <c r="E22" s="84"/>
      <c r="F22" s="304"/>
      <c r="G22" s="312"/>
      <c r="H22" s="315">
        <f t="shared" si="0"/>
        <v>0</v>
      </c>
    </row>
    <row r="23" spans="1:16" s="8" customFormat="1" ht="20.25" customHeight="1" thickBot="1" x14ac:dyDescent="0.25">
      <c r="A23" s="881" t="s">
        <v>91</v>
      </c>
      <c r="B23" s="882"/>
      <c r="C23" s="313">
        <f>SUM(C11:C22)</f>
        <v>0</v>
      </c>
      <c r="D23" s="313">
        <f>SUM(D11:D22)</f>
        <v>4</v>
      </c>
      <c r="E23" s="89">
        <f>SUM(E11:E22)</f>
        <v>54</v>
      </c>
      <c r="F23" s="305">
        <f>SUM(F11:F22)</f>
        <v>0</v>
      </c>
      <c r="G23" s="313">
        <f>SUM(G11:G22)</f>
        <v>4</v>
      </c>
      <c r="H23" s="315">
        <f t="shared" si="0"/>
        <v>62</v>
      </c>
    </row>
    <row r="24" spans="1:16" s="8" customFormat="1" ht="20.25" customHeight="1" thickBot="1" x14ac:dyDescent="0.25">
      <c r="A24" s="86" t="s">
        <v>92</v>
      </c>
      <c r="B24" s="90" t="s">
        <v>93</v>
      </c>
      <c r="C24" s="312"/>
      <c r="D24" s="312"/>
      <c r="E24" s="88"/>
      <c r="F24" s="304"/>
      <c r="G24" s="312"/>
      <c r="H24" s="315">
        <f t="shared" si="0"/>
        <v>0</v>
      </c>
    </row>
    <row r="25" spans="1:16" ht="13.5" thickBot="1" x14ac:dyDescent="0.25">
      <c r="A25" s="91">
        <v>888888</v>
      </c>
      <c r="B25" s="92" t="s">
        <v>94</v>
      </c>
      <c r="C25" s="312"/>
      <c r="D25" s="312"/>
      <c r="E25" s="88"/>
      <c r="F25" s="304"/>
      <c r="G25" s="312"/>
      <c r="H25" s="315">
        <f t="shared" si="0"/>
        <v>0</v>
      </c>
    </row>
    <row r="26" spans="1:16" ht="13.5" thickBot="1" x14ac:dyDescent="0.25">
      <c r="A26" s="892" t="s">
        <v>95</v>
      </c>
      <c r="B26" s="894"/>
      <c r="C26" s="313">
        <f>SUM(C24:C25)</f>
        <v>0</v>
      </c>
      <c r="D26" s="313">
        <f>SUM(D24:D25)</f>
        <v>0</v>
      </c>
      <c r="E26" s="89">
        <f>SUM(E24:E25)</f>
        <v>0</v>
      </c>
      <c r="F26" s="305">
        <f>SUM(F24:F25)</f>
        <v>0</v>
      </c>
      <c r="G26" s="313">
        <f>SUM(G24:G25)</f>
        <v>0</v>
      </c>
      <c r="H26" s="315">
        <f t="shared" si="0"/>
        <v>0</v>
      </c>
    </row>
    <row r="27" spans="1:16" ht="13.5" thickBot="1" x14ac:dyDescent="0.25">
      <c r="A27" s="881" t="s">
        <v>96</v>
      </c>
      <c r="B27" s="882"/>
      <c r="C27" s="313">
        <f>SUM(C10,C23,C26)</f>
        <v>25</v>
      </c>
      <c r="D27" s="313">
        <f>SUM(D10,D23,D26)</f>
        <v>4</v>
      </c>
      <c r="E27" s="89">
        <f>SUM(E10,E23,E26)</f>
        <v>54</v>
      </c>
      <c r="F27" s="305">
        <f>SUM(F10,F23,F26)</f>
        <v>0</v>
      </c>
      <c r="G27" s="313">
        <f>SUM(G10,G23,G26)</f>
        <v>4</v>
      </c>
      <c r="H27" s="315">
        <f t="shared" si="0"/>
        <v>87</v>
      </c>
      <c r="J27" s="182"/>
      <c r="K27" s="182"/>
      <c r="L27" s="182"/>
      <c r="M27" s="182"/>
      <c r="N27" s="182"/>
      <c r="O27" s="182"/>
      <c r="P27" s="182"/>
    </row>
    <row r="28" spans="1:16" ht="15.75" x14ac:dyDescent="0.25">
      <c r="A28" s="75"/>
      <c r="J28" s="182"/>
      <c r="K28" s="182"/>
      <c r="L28" s="182"/>
      <c r="M28" s="182"/>
      <c r="N28" s="182"/>
      <c r="O28" s="182"/>
      <c r="P28" s="182"/>
    </row>
    <row r="29" spans="1:16" x14ac:dyDescent="0.2">
      <c r="H29" s="316"/>
      <c r="J29" s="182"/>
      <c r="K29" s="182"/>
      <c r="L29" s="182"/>
      <c r="M29" s="182"/>
      <c r="N29" s="182"/>
      <c r="O29" s="182"/>
      <c r="P29" s="182"/>
    </row>
    <row r="30" spans="1:16" x14ac:dyDescent="0.2">
      <c r="J30" s="182"/>
      <c r="K30" s="182"/>
      <c r="L30" s="182"/>
      <c r="M30" s="182"/>
      <c r="N30" s="182"/>
      <c r="O30" s="182"/>
      <c r="P30" s="182"/>
    </row>
    <row r="31" spans="1:16" x14ac:dyDescent="0.2">
      <c r="J31" s="182"/>
      <c r="K31" s="182"/>
      <c r="L31" s="182"/>
      <c r="M31" s="182"/>
      <c r="N31" s="182"/>
      <c r="O31" s="182"/>
      <c r="P31" s="182"/>
    </row>
    <row r="32" spans="1:16" x14ac:dyDescent="0.2">
      <c r="J32" s="182"/>
      <c r="K32" s="182"/>
      <c r="L32" s="182"/>
      <c r="M32" s="182"/>
      <c r="N32" s="182"/>
      <c r="O32" s="182"/>
      <c r="P32" s="182"/>
    </row>
    <row r="33" spans="10:16" x14ac:dyDescent="0.2">
      <c r="J33" s="182"/>
      <c r="K33" s="182"/>
      <c r="L33" s="182"/>
      <c r="M33" s="182"/>
      <c r="N33" s="182"/>
      <c r="O33" s="182"/>
      <c r="P33" s="182"/>
    </row>
    <row r="34" spans="10:16" x14ac:dyDescent="0.2">
      <c r="J34" s="182"/>
      <c r="K34" s="182"/>
      <c r="L34" s="182"/>
      <c r="M34" s="182"/>
      <c r="N34" s="182"/>
      <c r="O34" s="182"/>
      <c r="P34" s="182"/>
    </row>
    <row r="35" spans="10:16" x14ac:dyDescent="0.2">
      <c r="J35" s="182"/>
      <c r="K35" s="182"/>
      <c r="L35" s="182"/>
      <c r="M35" s="182"/>
      <c r="N35" s="182"/>
      <c r="O35" s="182"/>
      <c r="P35" s="182"/>
    </row>
    <row r="36" spans="10:16" x14ac:dyDescent="0.2">
      <c r="J36" s="182"/>
      <c r="K36" s="182"/>
      <c r="L36" s="182"/>
      <c r="M36" s="182"/>
      <c r="N36" s="182"/>
      <c r="O36" s="182"/>
      <c r="P36" s="182"/>
    </row>
    <row r="37" spans="10:16" x14ac:dyDescent="0.2">
      <c r="J37" s="182"/>
      <c r="K37" s="182"/>
      <c r="L37" s="182"/>
      <c r="M37" s="182"/>
      <c r="N37" s="182"/>
      <c r="O37" s="182"/>
      <c r="P37" s="182"/>
    </row>
  </sheetData>
  <mergeCells count="7">
    <mergeCell ref="A27:B27"/>
    <mergeCell ref="A23:B23"/>
    <mergeCell ref="A2:A4"/>
    <mergeCell ref="C2:H2"/>
    <mergeCell ref="C3:H3"/>
    <mergeCell ref="A10:B10"/>
    <mergeCell ref="A26:B26"/>
  </mergeCells>
  <phoneticPr fontId="11" type="noConversion"/>
  <printOptions horizontalCentered="1"/>
  <pageMargins left="0.35433070866141736" right="0.27559055118110237" top="1.3779527559055118" bottom="0.98425196850393704" header="0.51181102362204722" footer="0.51181102362204722"/>
  <pageSetup paperSize="9" scale="73" orientation="landscape" r:id="rId1"/>
  <headerFooter alignWithMargins="0">
    <oddHeader>&amp;L6/A sz.melléklet&amp;C&amp;"Arial,Félkövér"&amp;12Nagykovácsi  Nagyközség Önkormányzatának éves létszám-előirányzata
2014. év</oddHeader>
    <oddFooter>&amp;L&amp;D&amp;C&amp;P&amp;R&amp;F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625F65341E72C4FAB660EF766C15509" ma:contentTypeVersion="0" ma:contentTypeDescription="Új dokumentum létrehozása." ma:contentTypeScope="" ma:versionID="985b396ed4d19b9fd25410c95487bc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d5a17be1c5f0116587a69add3ef7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94694-3B80-4A96-A8D9-F878CBF18B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03CBA-D753-401B-A044-D96258531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109C0E-ECB3-430D-ADC3-27B86C91E11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1A. melléklet_BEVÉTEL_KIADÁS</vt:lpstr>
      <vt:lpstr>3. sz. m._kiadások-bevételek</vt:lpstr>
      <vt:lpstr>4.sz.m.Bevételek</vt:lpstr>
      <vt:lpstr>4.2. sz.m_felh.bev.</vt:lpstr>
      <vt:lpstr>3.2.sz.mfelh.bev.részl ÁFA külö</vt:lpstr>
      <vt:lpstr>5. sz. m. Állami támogatások</vt:lpstr>
      <vt:lpstr>6.sz.m.Kiadások</vt:lpstr>
      <vt:lpstr>6.2. sz.m.felh.kiadás</vt:lpstr>
      <vt:lpstr>6A.sz.m.létszám-előir. </vt:lpstr>
      <vt:lpstr>7.sz.Műk.c.átadott.pe. </vt:lpstr>
      <vt:lpstr>7.2.sz.Felh.c.átadott pe.</vt:lpstr>
      <vt:lpstr>8.sz.m Tartalékok</vt:lpstr>
      <vt:lpstr>9.sz.m.ütemterv</vt:lpstr>
      <vt:lpstr>10.sz. m.hitelállomány</vt:lpstr>
      <vt:lpstr>10.sz. korábbi évek kötelezetts</vt:lpstr>
      <vt:lpstr>11.sz.m.EU-s projektek</vt:lpstr>
      <vt:lpstr>13.sz.m. Műk_felhalm mérleg</vt:lpstr>
      <vt:lpstr>12.sz.m.kedvezmények</vt:lpstr>
      <vt:lpstr>13.sz.m.létszám-előir. </vt:lpstr>
      <vt:lpstr>Tájékoztató 1. többéves kihatás</vt:lpstr>
      <vt:lpstr>15.sz. m Önként vállalt</vt:lpstr>
      <vt:lpstr>'4.sz.m.Bevételek'!Nyomtatási_cím</vt:lpstr>
      <vt:lpstr>'10.sz. korábbi évek kötelezetts'!Nyomtatási_terület</vt:lpstr>
      <vt:lpstr>'11.sz.m.EU-s projektek'!Nyomtatási_terület</vt:lpstr>
      <vt:lpstr>'13.sz.m. Műk_felhalm mérleg'!Nyomtatási_terület</vt:lpstr>
      <vt:lpstr>'15.sz. m Önként vállalt'!Nyomtatási_terület</vt:lpstr>
      <vt:lpstr>'1A. melléklet_BEVÉTEL_KIADÁS'!Nyomtatási_terület</vt:lpstr>
      <vt:lpstr>'3. sz. m._kiadások-bevételek'!Nyomtatási_terület</vt:lpstr>
      <vt:lpstr>'3.2.sz.mfelh.bev.részl ÁFA külö'!Nyomtatási_terület</vt:lpstr>
      <vt:lpstr>'4.2. sz.m_felh.bev.'!Nyomtatási_terület</vt:lpstr>
      <vt:lpstr>'4.sz.m.Bevételek'!Nyomtatási_terület</vt:lpstr>
      <vt:lpstr>'5. sz. m. Állami támogatások'!Nyomtatási_terület</vt:lpstr>
      <vt:lpstr>'6.2. sz.m.felh.kiadás'!Nyomtatási_terület</vt:lpstr>
      <vt:lpstr>'6.sz.m.Kiadások'!Nyomtatási_terület</vt:lpstr>
      <vt:lpstr>'7.sz.Műk.c.átadott.pe. '!Nyomtatási_terület</vt:lpstr>
      <vt:lpstr>'8.sz.m Tartalékok'!Nyomtatási_terület</vt:lpstr>
      <vt:lpstr>'9.sz.m.ütemterv'!Nyomtatási_terület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2021-02-12T12:46:12Z</cp:lastPrinted>
  <dcterms:created xsi:type="dcterms:W3CDTF">2008-07-24T13:43:35Z</dcterms:created>
  <dcterms:modified xsi:type="dcterms:W3CDTF">2021-02-12T12:46:23Z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0x0101006625F65341E72C4FAB660EF766C15509</vt:lpwstr>
  </property>
</Properties>
</file>