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ocuments\Árvai Attila\Loclexbe\Költségvetés 2020\"/>
    </mc:Choice>
  </mc:AlternateContent>
  <xr:revisionPtr revIDLastSave="0" documentId="8_{298C7B33-A989-429B-B950-9B98B21B32B7}" xr6:coauthVersionLast="46" xr6:coauthVersionMax="46" xr10:uidLastSave="{00000000-0000-0000-0000-000000000000}"/>
  <bookViews>
    <workbookView xWindow="135" yWindow="210" windowWidth="20355" windowHeight="11310" xr2:uid="{00000000-000D-0000-FFFF-FFFF00000000}"/>
  </bookViews>
  <sheets>
    <sheet name="01" sheetId="45" r:id="rId1"/>
    <sheet name="02" sheetId="24" r:id="rId2"/>
    <sheet name="03" sheetId="29" r:id="rId3"/>
    <sheet name="04" sheetId="25" r:id="rId4"/>
    <sheet name="05" sheetId="43" r:id="rId5"/>
    <sheet name="06" sheetId="44" r:id="rId6"/>
    <sheet name="07" sheetId="47" r:id="rId7"/>
    <sheet name="08a" sheetId="28" r:id="rId8"/>
    <sheet name="08b" sheetId="48" r:id="rId9"/>
    <sheet name="09" sheetId="30" r:id="rId10"/>
    <sheet name="10" sheetId="31" r:id="rId11"/>
    <sheet name="11" sheetId="50" r:id="rId12"/>
    <sheet name="12" sheetId="32" r:id="rId13"/>
    <sheet name="13" sheetId="33" r:id="rId14"/>
    <sheet name="14" sheetId="34" r:id="rId15"/>
    <sheet name="15" sheetId="35" r:id="rId16"/>
    <sheet name="16" sheetId="36" r:id="rId17"/>
    <sheet name="17" sheetId="37" r:id="rId18"/>
    <sheet name="18" sheetId="38" r:id="rId19"/>
    <sheet name="19" sheetId="41" r:id="rId20"/>
    <sheet name="20" sheetId="39" r:id="rId21"/>
  </sheets>
  <definedNames>
    <definedName name="_xlnm._FilterDatabase" localSheetId="3" hidden="1">'04'!$A$7:$K$254</definedName>
    <definedName name="_xlnm._FilterDatabase" localSheetId="4" hidden="1">'05'!$A$7:$N$226</definedName>
    <definedName name="_xlnm._FilterDatabase" localSheetId="5" hidden="1">'06'!$A$7:$K$229</definedName>
    <definedName name="_xlnm._FilterDatabase" localSheetId="6" hidden="1">'07'!$A$7:$K$241</definedName>
    <definedName name="_xlnm.Print_Titles" localSheetId="0">'01'!$1:$7</definedName>
    <definedName name="_xlnm.Print_Titles" localSheetId="1">'02'!$1:$7</definedName>
    <definedName name="_xlnm.Print_Titles" localSheetId="2">'03'!$1:$7</definedName>
    <definedName name="_xlnm.Print_Titles" localSheetId="3">'04'!$1:$7</definedName>
    <definedName name="_xlnm.Print_Titles" localSheetId="4">'05'!$1:$7</definedName>
    <definedName name="_xlnm.Print_Titles" localSheetId="5">'06'!$1:$7</definedName>
    <definedName name="_xlnm.Print_Titles" localSheetId="6">'07'!$1:$7</definedName>
    <definedName name="_xlnm.Print_Titles" localSheetId="7">'08a'!$1:$12</definedName>
    <definedName name="_xlnm.Print_Titles" localSheetId="9">'09'!$1:$13</definedName>
    <definedName name="_xlnm.Print_Titles" localSheetId="10">'10'!$1:$13</definedName>
    <definedName name="_xlnm.Print_Titles" localSheetId="12">'12'!$1:$3</definedName>
    <definedName name="_xlnm.Print_Titles" localSheetId="13">'13'!$1:$3</definedName>
    <definedName name="_xlnm.Print_Titles" localSheetId="14">'14'!$1:$3</definedName>
    <definedName name="_xlnm.Print_Titles" localSheetId="15">'15'!$1:$3</definedName>
    <definedName name="_xlnm.Print_Titles" localSheetId="16">'16'!$1:$1</definedName>
    <definedName name="_xlnm.Print_Titles" localSheetId="17">'17'!$1:$1</definedName>
    <definedName name="_xlnm.Print_Titles" localSheetId="18">'18'!$1:$7</definedName>
    <definedName name="_xlnm.Print_Titles" localSheetId="19">'19'!$1:$40</definedName>
    <definedName name="_xlnm.Print_Titles" localSheetId="20">'20'!$1:$7</definedName>
    <definedName name="_xlnm.Print_Area" localSheetId="0">'01'!$A$1:$K$226</definedName>
    <definedName name="_xlnm.Print_Area" localSheetId="1">'02'!$A$1:$M$32</definedName>
    <definedName name="_xlnm.Print_Area" localSheetId="2">'03'!$A$1:$H$32</definedName>
    <definedName name="_xlnm.Print_Area" localSheetId="3">'04'!$A$1:$K$254</definedName>
    <definedName name="_xlnm.Print_Area" localSheetId="4">'05'!$A$1:$N$226</definedName>
    <definedName name="_xlnm.Print_Area" localSheetId="5">'06'!$A$1:$K$229</definedName>
    <definedName name="_xlnm.Print_Area" localSheetId="6">'07'!$A$1:$K$241</definedName>
    <definedName name="_xlnm.Print_Area" localSheetId="7">'08a'!$A$1:$I$12</definedName>
    <definedName name="_xlnm.Print_Area" localSheetId="9">'09'!$A$1:$I$13</definedName>
    <definedName name="_xlnm.Print_Area" localSheetId="10">'10'!$A$1:$I$13</definedName>
    <definedName name="_xlnm.Print_Area" localSheetId="11">'11'!$A$1:$BE$13</definedName>
    <definedName name="_xlnm.Print_Area" localSheetId="12">'12'!$A$1:$F$14</definedName>
    <definedName name="_xlnm.Print_Area" localSheetId="13">'13'!$A$1:$C$10</definedName>
    <definedName name="_xlnm.Print_Area" localSheetId="14">'14'!$A$1:$H$16</definedName>
    <definedName name="_xlnm.Print_Area" localSheetId="15">'15'!$A$1:$C$9</definedName>
    <definedName name="_xlnm.Print_Area" localSheetId="16">'16'!$A$1:$D$12</definedName>
    <definedName name="_xlnm.Print_Area" localSheetId="17">'17'!$A$1:$D$55</definedName>
    <definedName name="_xlnm.Print_Area" localSheetId="18">'18'!$A$1:$M$12</definedName>
    <definedName name="_xlnm.Print_Area" localSheetId="19">'19'!$A$1:$M$44</definedName>
    <definedName name="_xlnm.Print_Area" localSheetId="20">'20'!$A$1:$Q$30</definedName>
  </definedNames>
  <calcPr calcId="181029"/>
</workbook>
</file>

<file path=xl/calcChain.xml><?xml version="1.0" encoding="utf-8"?>
<calcChain xmlns="http://schemas.openxmlformats.org/spreadsheetml/2006/main">
  <c r="E161" i="25" l="1"/>
  <c r="E170" i="25"/>
  <c r="E158" i="25"/>
  <c r="J183" i="44"/>
  <c r="E236" i="25"/>
  <c r="K9" i="38"/>
  <c r="K8" i="38"/>
  <c r="K11" i="41"/>
  <c r="E11" i="41"/>
  <c r="J9" i="38"/>
  <c r="J8" i="38"/>
  <c r="E9" i="38"/>
  <c r="E8" i="38"/>
  <c r="D9" i="38"/>
  <c r="D8" i="38"/>
  <c r="K11" i="38"/>
  <c r="BB13" i="50"/>
  <c r="AX13" i="50"/>
  <c r="AT13" i="50"/>
  <c r="Z13" i="50"/>
  <c r="V13" i="50"/>
  <c r="R13" i="50"/>
  <c r="E11" i="38" l="1"/>
  <c r="H31" i="29" l="1"/>
  <c r="H21" i="29"/>
  <c r="G31" i="29"/>
  <c r="G21" i="29"/>
  <c r="F31" i="29"/>
  <c r="H18" i="29"/>
  <c r="E18" i="29"/>
  <c r="F32" i="24"/>
  <c r="F16" i="24"/>
  <c r="E224" i="45"/>
  <c r="E223" i="45"/>
  <c r="E218" i="45"/>
  <c r="E219" i="45"/>
  <c r="E220" i="45"/>
  <c r="E221" i="45"/>
  <c r="E217" i="45"/>
  <c r="E209" i="45"/>
  <c r="E210" i="45"/>
  <c r="E211" i="45"/>
  <c r="E212" i="45"/>
  <c r="E213" i="45"/>
  <c r="E214" i="45"/>
  <c r="E207" i="45"/>
  <c r="E202" i="45"/>
  <c r="E203" i="45"/>
  <c r="E204" i="45"/>
  <c r="E205" i="45"/>
  <c r="E201" i="45"/>
  <c r="E198" i="45"/>
  <c r="E199" i="45"/>
  <c r="E197" i="45"/>
  <c r="E187" i="45"/>
  <c r="E188" i="45"/>
  <c r="E189" i="45"/>
  <c r="E190" i="45"/>
  <c r="E191" i="45"/>
  <c r="E192" i="45"/>
  <c r="E193" i="45"/>
  <c r="E194" i="45"/>
  <c r="E186" i="45"/>
  <c r="E182" i="45"/>
  <c r="E183" i="45"/>
  <c r="E181" i="45"/>
  <c r="E174" i="45"/>
  <c r="E175" i="45"/>
  <c r="E176" i="45"/>
  <c r="E177" i="45"/>
  <c r="E178" i="45"/>
  <c r="E173" i="45"/>
  <c r="E158" i="45"/>
  <c r="E159" i="45"/>
  <c r="E160" i="45"/>
  <c r="E161" i="45"/>
  <c r="E162" i="45"/>
  <c r="E163" i="45"/>
  <c r="E164" i="45"/>
  <c r="E165" i="45"/>
  <c r="E166" i="45"/>
  <c r="E167" i="45"/>
  <c r="E168" i="45"/>
  <c r="E169" i="45"/>
  <c r="E171" i="45"/>
  <c r="E157" i="45"/>
  <c r="E149" i="45"/>
  <c r="E150" i="45"/>
  <c r="E151" i="45"/>
  <c r="E152" i="45"/>
  <c r="E153" i="45"/>
  <c r="E154" i="45"/>
  <c r="E155" i="45"/>
  <c r="E148" i="45"/>
  <c r="E142" i="45"/>
  <c r="E143" i="45"/>
  <c r="E144" i="45"/>
  <c r="E145" i="45"/>
  <c r="E141" i="45"/>
  <c r="E139" i="45"/>
  <c r="E131" i="45"/>
  <c r="E132" i="45"/>
  <c r="E133" i="45"/>
  <c r="E134" i="45"/>
  <c r="E135" i="45"/>
  <c r="E136" i="45"/>
  <c r="E127" i="45"/>
  <c r="E125" i="45"/>
  <c r="E118" i="45"/>
  <c r="E119" i="45"/>
  <c r="E117" i="45"/>
  <c r="E104" i="45"/>
  <c r="E105" i="45"/>
  <c r="E106" i="45"/>
  <c r="E107" i="45"/>
  <c r="E108" i="45"/>
  <c r="E109" i="45"/>
  <c r="E110" i="45"/>
  <c r="E111" i="45"/>
  <c r="E112" i="45"/>
  <c r="E113" i="45"/>
  <c r="E114" i="45"/>
  <c r="E115" i="45"/>
  <c r="E103" i="45"/>
  <c r="E100" i="45"/>
  <c r="E99" i="45"/>
  <c r="E94" i="45"/>
  <c r="E95" i="45"/>
  <c r="E96" i="45"/>
  <c r="E97" i="45"/>
  <c r="E93" i="45"/>
  <c r="E88" i="45"/>
  <c r="E89" i="45"/>
  <c r="E90" i="45"/>
  <c r="E85" i="45"/>
  <c r="E87" i="45"/>
  <c r="E84" i="45"/>
  <c r="E82" i="45"/>
  <c r="E77" i="45"/>
  <c r="E78" i="45"/>
  <c r="E79" i="45"/>
  <c r="E76" i="45"/>
  <c r="E74" i="45"/>
  <c r="E73" i="45"/>
  <c r="E72" i="45"/>
  <c r="E66" i="45"/>
  <c r="E67" i="45"/>
  <c r="E68" i="45"/>
  <c r="E69" i="45"/>
  <c r="E65" i="45"/>
  <c r="E60" i="45"/>
  <c r="E61" i="45"/>
  <c r="E62" i="45"/>
  <c r="E63" i="45"/>
  <c r="E59" i="45"/>
  <c r="E54" i="45"/>
  <c r="E55" i="45"/>
  <c r="E56" i="45"/>
  <c r="E57" i="45"/>
  <c r="E53" i="45"/>
  <c r="E43" i="45"/>
  <c r="E44" i="45"/>
  <c r="E46" i="45"/>
  <c r="E47" i="45"/>
  <c r="E48" i="45"/>
  <c r="E49" i="45"/>
  <c r="E50" i="45"/>
  <c r="E51" i="45"/>
  <c r="E41" i="45"/>
  <c r="E28" i="45"/>
  <c r="E30" i="45"/>
  <c r="E31" i="45"/>
  <c r="E33" i="45"/>
  <c r="E34" i="45"/>
  <c r="E35" i="45"/>
  <c r="E37" i="45"/>
  <c r="E27" i="45"/>
  <c r="E22" i="45"/>
  <c r="E23" i="45"/>
  <c r="E24" i="45"/>
  <c r="E25" i="45"/>
  <c r="E21" i="45"/>
  <c r="E16" i="45"/>
  <c r="E17" i="45"/>
  <c r="E18" i="45"/>
  <c r="E19" i="45"/>
  <c r="E15" i="45"/>
  <c r="E12" i="45"/>
  <c r="E13" i="45"/>
  <c r="D224" i="45"/>
  <c r="D223" i="45"/>
  <c r="D218" i="45"/>
  <c r="D219" i="45"/>
  <c r="D220" i="45"/>
  <c r="D221" i="45"/>
  <c r="D217" i="45"/>
  <c r="D208" i="45"/>
  <c r="D210" i="45"/>
  <c r="D211" i="45"/>
  <c r="D212" i="45"/>
  <c r="D213" i="45"/>
  <c r="D214" i="45"/>
  <c r="D207" i="45"/>
  <c r="D202" i="45"/>
  <c r="D203" i="45"/>
  <c r="D204" i="45"/>
  <c r="D205" i="45"/>
  <c r="D201" i="45"/>
  <c r="D198" i="45"/>
  <c r="D199" i="45"/>
  <c r="D197" i="45"/>
  <c r="D187" i="45"/>
  <c r="D188" i="45"/>
  <c r="D189" i="45"/>
  <c r="D190" i="45"/>
  <c r="D191" i="45"/>
  <c r="D192" i="45"/>
  <c r="D193" i="45"/>
  <c r="D194" i="45"/>
  <c r="D186" i="45"/>
  <c r="D182" i="45"/>
  <c r="D183" i="45"/>
  <c r="D184" i="45"/>
  <c r="D181" i="45"/>
  <c r="D174" i="45"/>
  <c r="D175" i="45"/>
  <c r="D176" i="45"/>
  <c r="D177" i="45"/>
  <c r="D178" i="45"/>
  <c r="D179" i="45"/>
  <c r="D173" i="45"/>
  <c r="D158" i="45"/>
  <c r="D159" i="45"/>
  <c r="D160" i="45"/>
  <c r="D161" i="45"/>
  <c r="D162" i="45"/>
  <c r="D163" i="45"/>
  <c r="D164" i="45"/>
  <c r="D165" i="45"/>
  <c r="D166" i="45"/>
  <c r="D167" i="45"/>
  <c r="D168" i="45"/>
  <c r="D169" i="45"/>
  <c r="D170" i="45"/>
  <c r="D157" i="45"/>
  <c r="D149" i="45"/>
  <c r="D150" i="45"/>
  <c r="D151" i="45"/>
  <c r="D152" i="45"/>
  <c r="D153" i="45"/>
  <c r="D154" i="45"/>
  <c r="D155" i="45"/>
  <c r="D148" i="45"/>
  <c r="D142" i="45"/>
  <c r="D143" i="45"/>
  <c r="D144" i="45"/>
  <c r="D139" i="45"/>
  <c r="D131" i="45"/>
  <c r="D132" i="45"/>
  <c r="D134" i="45"/>
  <c r="D125" i="45"/>
  <c r="D118" i="45"/>
  <c r="D119" i="45"/>
  <c r="D117" i="45"/>
  <c r="D104" i="45"/>
  <c r="D106" i="45"/>
  <c r="D107" i="45"/>
  <c r="D108" i="45"/>
  <c r="D110" i="45"/>
  <c r="D112" i="45"/>
  <c r="D113" i="45"/>
  <c r="D114" i="45"/>
  <c r="D100" i="45"/>
  <c r="D99" i="45"/>
  <c r="D94" i="45"/>
  <c r="D95" i="45"/>
  <c r="D96" i="45"/>
  <c r="D97" i="45"/>
  <c r="D93" i="45"/>
  <c r="D85" i="45"/>
  <c r="D87" i="45"/>
  <c r="D88" i="45"/>
  <c r="D89" i="45"/>
  <c r="D90" i="45"/>
  <c r="D84" i="45"/>
  <c r="D82" i="45"/>
  <c r="D81" i="45"/>
  <c r="D77" i="45"/>
  <c r="D78" i="45"/>
  <c r="D79" i="45"/>
  <c r="D76" i="45"/>
  <c r="D73" i="45"/>
  <c r="D74" i="45"/>
  <c r="D72" i="45"/>
  <c r="D66" i="45"/>
  <c r="D67" i="45"/>
  <c r="D68" i="45"/>
  <c r="D69" i="45"/>
  <c r="D65" i="45"/>
  <c r="D60" i="45"/>
  <c r="D61" i="45"/>
  <c r="D62" i="45"/>
  <c r="D63" i="45"/>
  <c r="D59" i="45"/>
  <c r="D54" i="45"/>
  <c r="D55" i="45"/>
  <c r="D56" i="45"/>
  <c r="D57" i="45"/>
  <c r="D53" i="45"/>
  <c r="D43" i="45"/>
  <c r="D44" i="45"/>
  <c r="D46" i="45"/>
  <c r="D47" i="45"/>
  <c r="D48" i="45"/>
  <c r="D49" i="45"/>
  <c r="D50" i="45"/>
  <c r="D51" i="45"/>
  <c r="D41" i="45"/>
  <c r="D31" i="45"/>
  <c r="D34" i="45"/>
  <c r="D35" i="45"/>
  <c r="D36" i="45"/>
  <c r="D37" i="45"/>
  <c r="D30" i="45"/>
  <c r="D28" i="45"/>
  <c r="D27" i="45"/>
  <c r="D22" i="45"/>
  <c r="D23" i="45"/>
  <c r="D24" i="45"/>
  <c r="D25" i="45"/>
  <c r="D21" i="45"/>
  <c r="D16" i="45"/>
  <c r="D17" i="45"/>
  <c r="D18" i="45"/>
  <c r="D15" i="45"/>
  <c r="D12" i="45"/>
  <c r="D13" i="45"/>
  <c r="E222" i="45" l="1"/>
  <c r="E195" i="45"/>
  <c r="K26" i="24" s="1"/>
  <c r="E206" i="45"/>
  <c r="E200" i="45"/>
  <c r="E215" i="45"/>
  <c r="E91" i="45"/>
  <c r="E156" i="45"/>
  <c r="K11" i="24" s="1"/>
  <c r="E146" i="45"/>
  <c r="E116" i="45"/>
  <c r="E98" i="45"/>
  <c r="E80" i="45"/>
  <c r="E75" i="45"/>
  <c r="E70" i="45"/>
  <c r="E58" i="45"/>
  <c r="E26" i="45"/>
  <c r="D24" i="24" s="1"/>
  <c r="E64" i="45"/>
  <c r="E11" i="24" s="1"/>
  <c r="E120" i="45"/>
  <c r="E121" i="45" l="1"/>
  <c r="E209" i="25"/>
  <c r="E184" i="45" s="1"/>
  <c r="E185" i="45" s="1"/>
  <c r="K25" i="24" s="1"/>
  <c r="K8" i="24" l="1"/>
  <c r="E204" i="25"/>
  <c r="E179" i="45" s="1"/>
  <c r="E180" i="45" s="1"/>
  <c r="K24" i="24" s="1"/>
  <c r="K29" i="24" s="1"/>
  <c r="K31" i="24" s="1"/>
  <c r="E66" i="25"/>
  <c r="D8" i="48"/>
  <c r="F7" i="48" l="1"/>
  <c r="E149" i="25"/>
  <c r="E124" i="45" s="1"/>
  <c r="E195" i="25"/>
  <c r="E170" i="45" s="1"/>
  <c r="E172" i="45" s="1"/>
  <c r="K12" i="24" s="1"/>
  <c r="E63" i="25"/>
  <c r="E48" i="25"/>
  <c r="E32" i="45" s="1"/>
  <c r="E106" i="25"/>
  <c r="E81" i="45" s="1"/>
  <c r="E83" i="45" s="1"/>
  <c r="E25" i="25"/>
  <c r="E11" i="45" s="1"/>
  <c r="E23" i="25"/>
  <c r="E22" i="25"/>
  <c r="E15" i="25"/>
  <c r="E14" i="25" s="1"/>
  <c r="E9" i="45" s="1"/>
  <c r="E8" i="25"/>
  <c r="E8" i="45" s="1"/>
  <c r="D66" i="25"/>
  <c r="E54" i="25"/>
  <c r="E36" i="45" s="1"/>
  <c r="E38" i="45" s="1"/>
  <c r="E237" i="25"/>
  <c r="E235" i="25"/>
  <c r="E147" i="25"/>
  <c r="E122" i="45" s="1"/>
  <c r="E148" i="25"/>
  <c r="E233" i="25"/>
  <c r="E208" i="45" s="1"/>
  <c r="E216" i="45" s="1"/>
  <c r="E225" i="45" s="1"/>
  <c r="K14" i="24" s="1"/>
  <c r="D196" i="25"/>
  <c r="D171" i="45" s="1"/>
  <c r="K9" i="24" l="1"/>
  <c r="E17" i="25"/>
  <c r="E10" i="45" s="1"/>
  <c r="E14" i="45" s="1"/>
  <c r="E20" i="45" s="1"/>
  <c r="E8" i="24" l="1"/>
  <c r="E17" i="48"/>
  <c r="D17" i="48"/>
  <c r="E141" i="44" l="1"/>
  <c r="E138" i="45" s="1"/>
  <c r="E140" i="45" s="1"/>
  <c r="E130" i="44"/>
  <c r="E130" i="45" s="1"/>
  <c r="E137" i="45" s="1"/>
  <c r="E128" i="44"/>
  <c r="E128" i="45" s="1"/>
  <c r="E129" i="45" s="1"/>
  <c r="E123" i="44"/>
  <c r="E123" i="45" s="1"/>
  <c r="E126" i="45" s="1"/>
  <c r="E86" i="44"/>
  <c r="E86" i="45" s="1"/>
  <c r="E92" i="45" s="1"/>
  <c r="E101" i="45" s="1"/>
  <c r="E14" i="24" s="1"/>
  <c r="E92" i="47"/>
  <c r="E47" i="47"/>
  <c r="E45" i="45" s="1"/>
  <c r="E42" i="47"/>
  <c r="E42" i="45" s="1"/>
  <c r="E140" i="47"/>
  <c r="E52" i="45" l="1"/>
  <c r="E10" i="24" s="1"/>
  <c r="E147" i="45"/>
  <c r="F8" i="48"/>
  <c r="F17" i="48" s="1"/>
  <c r="C32" i="37"/>
  <c r="B32" i="37"/>
  <c r="D31" i="37"/>
  <c r="K10" i="24" l="1"/>
  <c r="K13" i="24" s="1"/>
  <c r="K15" i="24" s="1"/>
  <c r="E196" i="45"/>
  <c r="E226" i="45" s="1"/>
  <c r="D34" i="25"/>
  <c r="D19" i="45" s="1"/>
  <c r="D160" i="25"/>
  <c r="F141" i="43"/>
  <c r="F124" i="43"/>
  <c r="D197" i="25" l="1"/>
  <c r="E24" i="29" s="1"/>
  <c r="D166" i="25"/>
  <c r="D147" i="25"/>
  <c r="D128" i="25"/>
  <c r="E21" i="29" l="1"/>
  <c r="D15" i="25"/>
  <c r="D145" i="43" l="1"/>
  <c r="D141" i="43"/>
  <c r="D138" i="43"/>
  <c r="D138" i="45" s="1"/>
  <c r="D136" i="43"/>
  <c r="D136" i="45" s="1"/>
  <c r="D135" i="43"/>
  <c r="D135" i="45" s="1"/>
  <c r="D133" i="43"/>
  <c r="D133" i="45" s="1"/>
  <c r="D130" i="43"/>
  <c r="D128" i="43"/>
  <c r="D128" i="45" s="1"/>
  <c r="D127" i="43"/>
  <c r="D127" i="45" s="1"/>
  <c r="D124" i="43"/>
  <c r="D124" i="45" s="1"/>
  <c r="D123" i="43"/>
  <c r="D123" i="45" s="1"/>
  <c r="D122" i="43"/>
  <c r="D86" i="43"/>
  <c r="F146" i="43"/>
  <c r="D115" i="43"/>
  <c r="D115" i="45" s="1"/>
  <c r="D111" i="43"/>
  <c r="D111" i="45" s="1"/>
  <c r="D109" i="43"/>
  <c r="D109" i="45" s="1"/>
  <c r="D105" i="43"/>
  <c r="D105" i="45" s="1"/>
  <c r="D103" i="43"/>
  <c r="D103" i="45" s="1"/>
  <c r="F222" i="43"/>
  <c r="F215" i="43"/>
  <c r="F206" i="43"/>
  <c r="F200" i="43"/>
  <c r="F195" i="43"/>
  <c r="F185" i="43"/>
  <c r="F180" i="43"/>
  <c r="F156" i="43"/>
  <c r="F140" i="43"/>
  <c r="F137" i="43"/>
  <c r="F129" i="43"/>
  <c r="F126" i="43"/>
  <c r="F120" i="43"/>
  <c r="F116" i="43"/>
  <c r="F98" i="43"/>
  <c r="F91" i="43"/>
  <c r="F83" i="43"/>
  <c r="F80" i="43"/>
  <c r="F70" i="43"/>
  <c r="F64" i="43"/>
  <c r="F58" i="43"/>
  <c r="F52" i="43"/>
  <c r="F38" i="43"/>
  <c r="F29" i="43"/>
  <c r="F26" i="43"/>
  <c r="F14" i="43"/>
  <c r="F20" i="43" s="1"/>
  <c r="F21" i="29" l="1"/>
  <c r="D122" i="45"/>
  <c r="J9" i="24" s="1"/>
  <c r="F18" i="29"/>
  <c r="F40" i="43"/>
  <c r="F71" i="43" s="1"/>
  <c r="F216" i="43"/>
  <c r="F225" i="43" s="1"/>
  <c r="F92" i="43"/>
  <c r="F101" i="43" s="1"/>
  <c r="F147" i="43"/>
  <c r="F121" i="43"/>
  <c r="F102" i="43" l="1"/>
  <c r="F196" i="43"/>
  <c r="F226" i="43" s="1"/>
  <c r="F228" i="43" l="1"/>
  <c r="D156" i="47"/>
  <c r="D141" i="45" s="1"/>
  <c r="D86" i="44" l="1"/>
  <c r="G18" i="29" l="1"/>
  <c r="D86" i="45"/>
  <c r="D170" i="25"/>
  <c r="D145" i="45" s="1"/>
  <c r="E197" i="25" l="1"/>
  <c r="H197" i="25"/>
  <c r="I197" i="25"/>
  <c r="J197" i="25"/>
  <c r="D65" i="25" l="1"/>
  <c r="D58" i="25"/>
  <c r="D39" i="45" s="1"/>
  <c r="D50" i="25"/>
  <c r="D33" i="45" s="1"/>
  <c r="D48" i="25"/>
  <c r="D32" i="45" s="1"/>
  <c r="D25" i="25"/>
  <c r="D11" i="45" s="1"/>
  <c r="D237" i="25"/>
  <c r="D235" i="25"/>
  <c r="E116" i="43" l="1"/>
  <c r="L33" i="41" l="1"/>
  <c r="K33" i="41"/>
  <c r="M33" i="41" s="1"/>
  <c r="J33" i="41"/>
  <c r="F33" i="41"/>
  <c r="E33" i="41"/>
  <c r="D33" i="41"/>
  <c r="M32" i="41"/>
  <c r="G32" i="41"/>
  <c r="M31" i="41"/>
  <c r="G31" i="41"/>
  <c r="M30" i="41"/>
  <c r="G30" i="41"/>
  <c r="D51" i="37"/>
  <c r="C55" i="37"/>
  <c r="C10" i="36" s="1"/>
  <c r="B55" i="37"/>
  <c r="B10" i="36" s="1"/>
  <c r="D54" i="37"/>
  <c r="D53" i="37"/>
  <c r="D52" i="37"/>
  <c r="D50" i="37"/>
  <c r="C15" i="37"/>
  <c r="C6" i="36" s="1"/>
  <c r="D14" i="37"/>
  <c r="B15" i="37"/>
  <c r="B6" i="36" s="1"/>
  <c r="E162" i="25"/>
  <c r="F162" i="25"/>
  <c r="G162" i="25"/>
  <c r="H162" i="25"/>
  <c r="I162" i="25"/>
  <c r="J162" i="25"/>
  <c r="D162" i="25"/>
  <c r="E151" i="25"/>
  <c r="F151" i="25"/>
  <c r="G151" i="25"/>
  <c r="H151" i="25"/>
  <c r="I151" i="25"/>
  <c r="J151" i="25"/>
  <c r="D151" i="25"/>
  <c r="G33" i="41" l="1"/>
  <c r="B11" i="36"/>
  <c r="C11" i="36"/>
  <c r="D10" i="36"/>
  <c r="D55" i="37"/>
  <c r="D91" i="45"/>
  <c r="K236" i="25"/>
  <c r="I137" i="43"/>
  <c r="J137" i="43"/>
  <c r="K137" i="43"/>
  <c r="L137" i="43"/>
  <c r="M137" i="43"/>
  <c r="H137" i="43"/>
  <c r="G222" i="43"/>
  <c r="E222" i="43"/>
  <c r="G215" i="43"/>
  <c r="E215" i="43"/>
  <c r="G206" i="43"/>
  <c r="E206" i="43"/>
  <c r="G200" i="43"/>
  <c r="E200" i="43"/>
  <c r="G195" i="43"/>
  <c r="E195" i="43"/>
  <c r="G185" i="43"/>
  <c r="E185" i="43"/>
  <c r="G180" i="43"/>
  <c r="E180" i="43"/>
  <c r="D172" i="43"/>
  <c r="F24" i="29" s="1"/>
  <c r="G156" i="43"/>
  <c r="E156" i="43"/>
  <c r="G146" i="43"/>
  <c r="G140" i="43"/>
  <c r="E140" i="43"/>
  <c r="G137" i="43"/>
  <c r="E137" i="43"/>
  <c r="G129" i="43"/>
  <c r="E129" i="43"/>
  <c r="G126" i="43"/>
  <c r="E126" i="43"/>
  <c r="G120" i="43"/>
  <c r="E120" i="43"/>
  <c r="G116" i="43"/>
  <c r="D116" i="43" s="1"/>
  <c r="G98" i="43"/>
  <c r="E98" i="43"/>
  <c r="G91" i="43"/>
  <c r="E91" i="43"/>
  <c r="D236" i="25"/>
  <c r="G83" i="43"/>
  <c r="E83" i="43"/>
  <c r="G80" i="43"/>
  <c r="E80" i="43"/>
  <c r="G70" i="43"/>
  <c r="E70" i="43"/>
  <c r="G64" i="43"/>
  <c r="E64" i="43"/>
  <c r="G58" i="43"/>
  <c r="E58" i="43"/>
  <c r="G52" i="43"/>
  <c r="E52" i="43"/>
  <c r="G38" i="43"/>
  <c r="E38" i="43"/>
  <c r="G29" i="43"/>
  <c r="E29" i="43"/>
  <c r="G26" i="43"/>
  <c r="E26" i="43"/>
  <c r="G14" i="43"/>
  <c r="G20" i="43" s="1"/>
  <c r="E14" i="43"/>
  <c r="D140" i="43" l="1"/>
  <c r="D137" i="43"/>
  <c r="D126" i="43"/>
  <c r="D120" i="43"/>
  <c r="D129" i="43"/>
  <c r="D195" i="43"/>
  <c r="F27" i="29" s="1"/>
  <c r="D38" i="43"/>
  <c r="D222" i="43"/>
  <c r="D14" i="43"/>
  <c r="D70" i="43"/>
  <c r="F14" i="29" s="1"/>
  <c r="D26" i="43"/>
  <c r="F9" i="29" s="1"/>
  <c r="D29" i="43"/>
  <c r="D200" i="43"/>
  <c r="D215" i="43"/>
  <c r="E40" i="43"/>
  <c r="D58" i="43"/>
  <c r="F12" i="29" s="1"/>
  <c r="D83" i="43"/>
  <c r="G121" i="43"/>
  <c r="D80" i="43"/>
  <c r="D91" i="43"/>
  <c r="D52" i="43"/>
  <c r="F11" i="29" s="1"/>
  <c r="D64" i="43"/>
  <c r="F13" i="29" s="1"/>
  <c r="E121" i="43"/>
  <c r="D185" i="43"/>
  <c r="F26" i="29" s="1"/>
  <c r="G40" i="43"/>
  <c r="E92" i="43"/>
  <c r="E101" i="43" s="1"/>
  <c r="D98" i="43"/>
  <c r="D180" i="43"/>
  <c r="F25" i="29" s="1"/>
  <c r="G216" i="43"/>
  <c r="G225" i="43" s="1"/>
  <c r="G147" i="43"/>
  <c r="E146" i="43"/>
  <c r="D146" i="43" s="1"/>
  <c r="D156" i="43"/>
  <c r="F23" i="29" s="1"/>
  <c r="D206" i="43"/>
  <c r="E20" i="43"/>
  <c r="G92" i="43"/>
  <c r="E216" i="43"/>
  <c r="D40" i="43" l="1"/>
  <c r="F10" i="29" s="1"/>
  <c r="D121" i="43"/>
  <c r="F20" i="29" s="1"/>
  <c r="G101" i="43"/>
  <c r="D101" i="43" s="1"/>
  <c r="F16" i="29" s="1"/>
  <c r="D92" i="43"/>
  <c r="G71" i="43"/>
  <c r="G196" i="43"/>
  <c r="E147" i="43"/>
  <c r="D147" i="43" s="1"/>
  <c r="F22" i="29" s="1"/>
  <c r="D20" i="43"/>
  <c r="F8" i="29" s="1"/>
  <c r="E71" i="43"/>
  <c r="E225" i="43"/>
  <c r="D225" i="43" s="1"/>
  <c r="F29" i="29" s="1"/>
  <c r="D216" i="43"/>
  <c r="G226" i="43" l="1"/>
  <c r="G102" i="43"/>
  <c r="D71" i="43"/>
  <c r="E102" i="43"/>
  <c r="E196" i="43"/>
  <c r="D196" i="43" s="1"/>
  <c r="D102" i="43" l="1"/>
  <c r="E226" i="43"/>
  <c r="D226" i="43" s="1"/>
  <c r="E187" i="47" l="1"/>
  <c r="F187" i="47"/>
  <c r="G187" i="47"/>
  <c r="H187" i="47"/>
  <c r="I187" i="47"/>
  <c r="J187" i="47"/>
  <c r="D187" i="47"/>
  <c r="H24" i="29" s="1"/>
  <c r="E76" i="47"/>
  <c r="D76" i="47"/>
  <c r="H14" i="29" s="1"/>
  <c r="E38" i="47"/>
  <c r="D38" i="47"/>
  <c r="E26" i="47"/>
  <c r="D26" i="47"/>
  <c r="H9" i="29" s="1"/>
  <c r="D142" i="47"/>
  <c r="D130" i="45" s="1"/>
  <c r="D42" i="47"/>
  <c r="D95" i="25" l="1"/>
  <c r="E14" i="29" s="1"/>
  <c r="D63" i="25"/>
  <c r="D42" i="45" s="1"/>
  <c r="K239" i="47" l="1"/>
  <c r="K238" i="47"/>
  <c r="J237" i="47"/>
  <c r="I237" i="47"/>
  <c r="H237" i="47"/>
  <c r="G237" i="47"/>
  <c r="F237" i="47"/>
  <c r="E237" i="47"/>
  <c r="K237" i="47" s="1"/>
  <c r="D237" i="47"/>
  <c r="K236" i="47"/>
  <c r="K235" i="47"/>
  <c r="K234" i="47"/>
  <c r="K233" i="47"/>
  <c r="K232" i="47"/>
  <c r="J230" i="47"/>
  <c r="I230" i="47"/>
  <c r="H230" i="47"/>
  <c r="G230" i="47"/>
  <c r="F230" i="47"/>
  <c r="E230" i="47"/>
  <c r="K230" i="47" s="1"/>
  <c r="D230" i="47"/>
  <c r="K229" i="47"/>
  <c r="K228" i="47"/>
  <c r="K227" i="47"/>
  <c r="K226" i="47"/>
  <c r="K225" i="47"/>
  <c r="K224" i="47"/>
  <c r="K223" i="47"/>
  <c r="K222" i="47"/>
  <c r="J221" i="47"/>
  <c r="I221" i="47"/>
  <c r="H221" i="47"/>
  <c r="G221" i="47"/>
  <c r="F221" i="47"/>
  <c r="E221" i="47"/>
  <c r="K221" i="47" s="1"/>
  <c r="D221" i="47"/>
  <c r="K220" i="47"/>
  <c r="K219" i="47"/>
  <c r="K218" i="47"/>
  <c r="K217" i="47"/>
  <c r="K216" i="47"/>
  <c r="J215" i="47"/>
  <c r="I215" i="47"/>
  <c r="H215" i="47"/>
  <c r="G215" i="47"/>
  <c r="F215" i="47"/>
  <c r="E215" i="47"/>
  <c r="D215" i="47"/>
  <c r="D231" i="47" s="1"/>
  <c r="K214" i="47"/>
  <c r="K213" i="47"/>
  <c r="K212" i="47"/>
  <c r="J210" i="47"/>
  <c r="I210" i="47"/>
  <c r="H210" i="47"/>
  <c r="G210" i="47"/>
  <c r="F210" i="47"/>
  <c r="E210" i="47"/>
  <c r="K210" i="47" s="1"/>
  <c r="D210" i="47"/>
  <c r="H27" i="29" s="1"/>
  <c r="K209" i="47"/>
  <c r="K208" i="47"/>
  <c r="K207" i="47"/>
  <c r="K206" i="47"/>
  <c r="K205" i="47"/>
  <c r="K204" i="47"/>
  <c r="K203" i="47"/>
  <c r="K202" i="47"/>
  <c r="K201" i="47"/>
  <c r="J200" i="47"/>
  <c r="I200" i="47"/>
  <c r="H200" i="47"/>
  <c r="G200" i="47"/>
  <c r="F200" i="47"/>
  <c r="E200" i="47"/>
  <c r="K200" i="47" s="1"/>
  <c r="D200" i="47"/>
  <c r="H26" i="29" s="1"/>
  <c r="K199" i="47"/>
  <c r="K198" i="47"/>
  <c r="K197" i="47"/>
  <c r="K196" i="47"/>
  <c r="J195" i="47"/>
  <c r="I195" i="47"/>
  <c r="H195" i="47"/>
  <c r="G195" i="47"/>
  <c r="F195" i="47"/>
  <c r="E195" i="47"/>
  <c r="K195" i="47" s="1"/>
  <c r="D195" i="47"/>
  <c r="H25" i="29" s="1"/>
  <c r="K194" i="47"/>
  <c r="K193" i="47"/>
  <c r="K192" i="47"/>
  <c r="K191" i="47"/>
  <c r="K190" i="47"/>
  <c r="K189" i="47"/>
  <c r="K188" i="47"/>
  <c r="K187" i="47"/>
  <c r="K185" i="47"/>
  <c r="K184" i="47"/>
  <c r="K183" i="47"/>
  <c r="K182" i="47"/>
  <c r="K181" i="47"/>
  <c r="K180" i="47"/>
  <c r="K179" i="47"/>
  <c r="K178" i="47"/>
  <c r="K177" i="47"/>
  <c r="K176" i="47"/>
  <c r="K175" i="47"/>
  <c r="K174" i="47"/>
  <c r="K173" i="47"/>
  <c r="K172" i="47"/>
  <c r="J171" i="47"/>
  <c r="I171" i="47"/>
  <c r="H171" i="47"/>
  <c r="G171" i="47"/>
  <c r="F171" i="47"/>
  <c r="E171" i="47"/>
  <c r="K171" i="47" s="1"/>
  <c r="D171" i="47"/>
  <c r="H23" i="29" s="1"/>
  <c r="K170" i="47"/>
  <c r="K169" i="47"/>
  <c r="K168" i="47"/>
  <c r="K167" i="47"/>
  <c r="K166" i="47"/>
  <c r="K165" i="47"/>
  <c r="K164" i="47"/>
  <c r="K163" i="47"/>
  <c r="J161" i="47"/>
  <c r="I161" i="47"/>
  <c r="H161" i="47"/>
  <c r="G161" i="47"/>
  <c r="F161" i="47"/>
  <c r="E161" i="47"/>
  <c r="D161" i="47"/>
  <c r="K160" i="47"/>
  <c r="K159" i="47"/>
  <c r="K158" i="47"/>
  <c r="K157" i="47"/>
  <c r="K156" i="47"/>
  <c r="J155" i="47"/>
  <c r="I155" i="47"/>
  <c r="H155" i="47"/>
  <c r="G155" i="47"/>
  <c r="F155" i="47"/>
  <c r="E155" i="47"/>
  <c r="K155" i="47" s="1"/>
  <c r="D155" i="47"/>
  <c r="K154" i="47"/>
  <c r="K153" i="47"/>
  <c r="J152" i="47"/>
  <c r="I152" i="47"/>
  <c r="H152" i="47"/>
  <c r="G152" i="47"/>
  <c r="F152" i="47"/>
  <c r="E152" i="47"/>
  <c r="D152" i="47"/>
  <c r="K151" i="47"/>
  <c r="K150" i="47"/>
  <c r="K149" i="47"/>
  <c r="K148" i="47"/>
  <c r="K147" i="47"/>
  <c r="K146" i="47"/>
  <c r="K142" i="47"/>
  <c r="J141" i="47"/>
  <c r="I141" i="47"/>
  <c r="H141" i="47"/>
  <c r="G141" i="47"/>
  <c r="F141" i="47"/>
  <c r="E141" i="47"/>
  <c r="D141" i="47"/>
  <c r="K140" i="47"/>
  <c r="K139" i="47"/>
  <c r="J138" i="47"/>
  <c r="I138" i="47"/>
  <c r="H138" i="47"/>
  <c r="G138" i="47"/>
  <c r="F138" i="47"/>
  <c r="E138" i="47"/>
  <c r="K137" i="47"/>
  <c r="K130" i="47"/>
  <c r="K129" i="47"/>
  <c r="K128" i="47"/>
  <c r="J126" i="47"/>
  <c r="I126" i="47"/>
  <c r="H126" i="47"/>
  <c r="G126" i="47"/>
  <c r="F126" i="47"/>
  <c r="E126" i="47"/>
  <c r="D126" i="47"/>
  <c r="K125" i="47"/>
  <c r="K124" i="47"/>
  <c r="K123" i="47"/>
  <c r="J122" i="47"/>
  <c r="I122" i="47"/>
  <c r="H122" i="47"/>
  <c r="G122" i="47"/>
  <c r="F122" i="47"/>
  <c r="E122" i="47"/>
  <c r="D122" i="47"/>
  <c r="K121" i="47"/>
  <c r="K120" i="47"/>
  <c r="K119" i="47"/>
  <c r="K118" i="47"/>
  <c r="K117" i="47"/>
  <c r="K116" i="47"/>
  <c r="K115" i="47"/>
  <c r="K114" i="47"/>
  <c r="K113" i="47"/>
  <c r="K112" i="47"/>
  <c r="K111" i="47"/>
  <c r="K110" i="47"/>
  <c r="K109" i="47"/>
  <c r="K106" i="47"/>
  <c r="K105" i="47"/>
  <c r="J104" i="47"/>
  <c r="H104" i="47"/>
  <c r="F104" i="47"/>
  <c r="E104" i="47"/>
  <c r="K104" i="47" s="1"/>
  <c r="D104" i="47"/>
  <c r="K103" i="47"/>
  <c r="K102" i="47"/>
  <c r="K101" i="47"/>
  <c r="K100" i="47"/>
  <c r="K99" i="47"/>
  <c r="J97" i="47"/>
  <c r="H97" i="47"/>
  <c r="F97" i="47"/>
  <c r="E97" i="47"/>
  <c r="K97" i="47" s="1"/>
  <c r="D97" i="47"/>
  <c r="K96" i="47"/>
  <c r="K95" i="47"/>
  <c r="K94" i="47"/>
  <c r="K93" i="47"/>
  <c r="K92" i="47"/>
  <c r="K91" i="47"/>
  <c r="K90" i="47"/>
  <c r="J89" i="47"/>
  <c r="H89" i="47"/>
  <c r="F89" i="47"/>
  <c r="E89" i="47"/>
  <c r="D89" i="47"/>
  <c r="K88" i="47"/>
  <c r="K87" i="47"/>
  <c r="K86" i="47"/>
  <c r="D86" i="47"/>
  <c r="K85" i="47"/>
  <c r="K84" i="47"/>
  <c r="K83" i="47"/>
  <c r="K82" i="47"/>
  <c r="J81" i="47"/>
  <c r="H81" i="47"/>
  <c r="F81" i="47"/>
  <c r="E81" i="47"/>
  <c r="K81" i="47" s="1"/>
  <c r="D81" i="47"/>
  <c r="K80" i="47"/>
  <c r="K79" i="47"/>
  <c r="K78" i="47"/>
  <c r="J76" i="47"/>
  <c r="H76" i="47"/>
  <c r="F76" i="47"/>
  <c r="K76" i="47"/>
  <c r="K75" i="47"/>
  <c r="K74" i="47"/>
  <c r="K73" i="47"/>
  <c r="K72" i="47"/>
  <c r="K71" i="47"/>
  <c r="J70" i="47"/>
  <c r="H70" i="47"/>
  <c r="F70" i="47"/>
  <c r="E70" i="47"/>
  <c r="K70" i="47" s="1"/>
  <c r="D70" i="47"/>
  <c r="H13" i="29" s="1"/>
  <c r="K69" i="47"/>
  <c r="K68" i="47"/>
  <c r="K67" i="47"/>
  <c r="K66" i="47"/>
  <c r="K65" i="47"/>
  <c r="J64" i="47"/>
  <c r="H64" i="47"/>
  <c r="F64" i="47"/>
  <c r="E64" i="47"/>
  <c r="K64" i="47" s="1"/>
  <c r="D64" i="47"/>
  <c r="H12" i="29" s="1"/>
  <c r="K63" i="47"/>
  <c r="K62" i="47"/>
  <c r="K61" i="47"/>
  <c r="K60" i="47"/>
  <c r="K59" i="47"/>
  <c r="J58" i="47"/>
  <c r="H58" i="47"/>
  <c r="F58" i="47"/>
  <c r="E58" i="47"/>
  <c r="K57" i="47"/>
  <c r="K56" i="47"/>
  <c r="K55" i="47"/>
  <c r="K54" i="47"/>
  <c r="K53" i="47"/>
  <c r="K52" i="47"/>
  <c r="K47" i="47"/>
  <c r="D47" i="47"/>
  <c r="D45" i="45" s="1"/>
  <c r="K46" i="47"/>
  <c r="K45" i="47"/>
  <c r="K42" i="47"/>
  <c r="K41" i="47"/>
  <c r="K39" i="47"/>
  <c r="J38" i="47"/>
  <c r="H38" i="47"/>
  <c r="F38" i="47"/>
  <c r="K38" i="47"/>
  <c r="K37" i="47"/>
  <c r="K36" i="47"/>
  <c r="K35" i="47"/>
  <c r="K34" i="47"/>
  <c r="K33" i="47"/>
  <c r="K32" i="47"/>
  <c r="K31" i="47"/>
  <c r="K30" i="47"/>
  <c r="J29" i="47"/>
  <c r="H29" i="47"/>
  <c r="F29" i="47"/>
  <c r="E29" i="47"/>
  <c r="D29" i="47"/>
  <c r="K28" i="47"/>
  <c r="K27" i="47"/>
  <c r="J26" i="47"/>
  <c r="H26" i="47"/>
  <c r="F26" i="47"/>
  <c r="K26" i="47"/>
  <c r="K25" i="47"/>
  <c r="K24" i="47"/>
  <c r="K23" i="47"/>
  <c r="K22" i="47"/>
  <c r="K21" i="47"/>
  <c r="K19" i="47"/>
  <c r="K18" i="47"/>
  <c r="K17" i="47"/>
  <c r="K16" i="47"/>
  <c r="K15" i="47"/>
  <c r="J14" i="47"/>
  <c r="J20" i="47" s="1"/>
  <c r="H14" i="47"/>
  <c r="H20" i="47" s="1"/>
  <c r="F14" i="47"/>
  <c r="F20" i="47" s="1"/>
  <c r="E14" i="47"/>
  <c r="K14" i="47" s="1"/>
  <c r="K13" i="47"/>
  <c r="K12" i="47"/>
  <c r="K11" i="47"/>
  <c r="K10" i="47"/>
  <c r="K9" i="47"/>
  <c r="K8" i="47"/>
  <c r="C8" i="33"/>
  <c r="K122" i="47" l="1"/>
  <c r="K89" i="47"/>
  <c r="K161" i="47"/>
  <c r="K138" i="47"/>
  <c r="K141" i="47"/>
  <c r="K58" i="47"/>
  <c r="K152" i="47"/>
  <c r="F40" i="47"/>
  <c r="F77" i="47" s="1"/>
  <c r="J231" i="47"/>
  <c r="J240" i="47" s="1"/>
  <c r="E231" i="47"/>
  <c r="K231" i="47" s="1"/>
  <c r="F231" i="47"/>
  <c r="F240" i="47" s="1"/>
  <c r="G231" i="47"/>
  <c r="G240" i="47" s="1"/>
  <c r="D138" i="47"/>
  <c r="D162" i="47" s="1"/>
  <c r="H22" i="29" s="1"/>
  <c r="H231" i="47"/>
  <c r="H240" i="47" s="1"/>
  <c r="I231" i="47"/>
  <c r="I240" i="47" s="1"/>
  <c r="H40" i="47"/>
  <c r="H77" i="47" s="1"/>
  <c r="E40" i="47"/>
  <c r="K40" i="47" s="1"/>
  <c r="D98" i="47"/>
  <c r="D107" i="47" s="1"/>
  <c r="H16" i="29" s="1"/>
  <c r="F127" i="47"/>
  <c r="J127" i="47"/>
  <c r="D240" i="47"/>
  <c r="H29" i="29" s="1"/>
  <c r="H162" i="47"/>
  <c r="J98" i="47"/>
  <c r="J107" i="47" s="1"/>
  <c r="G127" i="47"/>
  <c r="H98" i="47"/>
  <c r="H107" i="47" s="1"/>
  <c r="D127" i="47"/>
  <c r="H20" i="29" s="1"/>
  <c r="H127" i="47"/>
  <c r="F162" i="47"/>
  <c r="J162" i="47"/>
  <c r="E127" i="47"/>
  <c r="I127" i="47"/>
  <c r="I162" i="47"/>
  <c r="D14" i="47"/>
  <c r="D20" i="47" s="1"/>
  <c r="H8" i="29" s="1"/>
  <c r="E20" i="47"/>
  <c r="D58" i="47"/>
  <c r="H11" i="29" s="1"/>
  <c r="F98" i="47"/>
  <c r="F107" i="47" s="1"/>
  <c r="G162" i="47"/>
  <c r="D40" i="47"/>
  <c r="H10" i="29" s="1"/>
  <c r="J40" i="47"/>
  <c r="J77" i="47" s="1"/>
  <c r="K29" i="47"/>
  <c r="E98" i="47"/>
  <c r="E162" i="47"/>
  <c r="K215" i="47"/>
  <c r="K126" i="47"/>
  <c r="E240" i="47" l="1"/>
  <c r="K240" i="47" s="1"/>
  <c r="K162" i="47"/>
  <c r="K127" i="47"/>
  <c r="H211" i="47"/>
  <c r="H241" i="47" s="1"/>
  <c r="F211" i="47"/>
  <c r="F241" i="47" s="1"/>
  <c r="J211" i="47"/>
  <c r="J241" i="47" s="1"/>
  <c r="E77" i="47"/>
  <c r="K77" i="47" s="1"/>
  <c r="H108" i="47"/>
  <c r="J108" i="47"/>
  <c r="I211" i="47"/>
  <c r="I241" i="47" s="1"/>
  <c r="G211" i="47"/>
  <c r="G241" i="47" s="1"/>
  <c r="D77" i="47"/>
  <c r="D108" i="47" s="1"/>
  <c r="D211" i="47"/>
  <c r="D241" i="47" s="1"/>
  <c r="F108" i="47"/>
  <c r="K20" i="47"/>
  <c r="E211" i="47"/>
  <c r="K98" i="47"/>
  <c r="E107" i="47"/>
  <c r="J243" i="47" l="1"/>
  <c r="D243" i="47"/>
  <c r="E228" i="43"/>
  <c r="G228" i="43"/>
  <c r="K107" i="47"/>
  <c r="E108" i="47"/>
  <c r="K108" i="47" s="1"/>
  <c r="E241" i="47"/>
  <c r="K211" i="47"/>
  <c r="G11" i="41"/>
  <c r="E231" i="25"/>
  <c r="F231" i="25"/>
  <c r="G231" i="25"/>
  <c r="H231" i="25"/>
  <c r="I231" i="25"/>
  <c r="J231" i="25"/>
  <c r="E243" i="47" l="1"/>
  <c r="K241" i="47"/>
  <c r="E100" i="25"/>
  <c r="F100" i="25"/>
  <c r="H100" i="25"/>
  <c r="J100" i="25"/>
  <c r="E13" i="30"/>
  <c r="M52" i="43"/>
  <c r="I52" i="43"/>
  <c r="H52" i="43"/>
  <c r="H12" i="28" l="1"/>
  <c r="I12" i="28"/>
  <c r="D12" i="28"/>
  <c r="E12" i="28"/>
  <c r="H13" i="31"/>
  <c r="I13" i="31"/>
  <c r="D13" i="31"/>
  <c r="E13" i="31"/>
  <c r="K131" i="44"/>
  <c r="K132" i="44"/>
  <c r="K133" i="44"/>
  <c r="K235" i="25"/>
  <c r="K237" i="25"/>
  <c r="D123" i="25" l="1"/>
  <c r="G9" i="38" l="1"/>
  <c r="G10" i="38"/>
  <c r="G11" i="38"/>
  <c r="M19" i="41"/>
  <c r="G19" i="41"/>
  <c r="E243" i="25" l="1"/>
  <c r="F243" i="25"/>
  <c r="G243" i="25"/>
  <c r="H243" i="25"/>
  <c r="I243" i="25"/>
  <c r="J243" i="25"/>
  <c r="D243" i="25"/>
  <c r="J95" i="25"/>
  <c r="H95" i="25"/>
  <c r="F95" i="25"/>
  <c r="J57" i="25"/>
  <c r="H57" i="25"/>
  <c r="F57" i="25"/>
  <c r="H29" i="25"/>
  <c r="M24" i="24" l="1"/>
  <c r="M25" i="24"/>
  <c r="M11" i="24"/>
  <c r="M9" i="24"/>
  <c r="M12" i="24"/>
  <c r="M26" i="24"/>
  <c r="D80" i="45"/>
  <c r="D75" i="45"/>
  <c r="G10" i="24" l="1"/>
  <c r="G11" i="24"/>
  <c r="D137" i="45"/>
  <c r="D222" i="45"/>
  <c r="D215" i="45"/>
  <c r="D206" i="45"/>
  <c r="D200" i="45"/>
  <c r="D195" i="45"/>
  <c r="J26" i="24" s="1"/>
  <c r="D185" i="45"/>
  <c r="J25" i="24" s="1"/>
  <c r="D180" i="45"/>
  <c r="J24" i="24" s="1"/>
  <c r="D172" i="45"/>
  <c r="J12" i="24" s="1"/>
  <c r="D156" i="45"/>
  <c r="J11" i="24" s="1"/>
  <c r="D140" i="45"/>
  <c r="D129" i="45"/>
  <c r="D126" i="45"/>
  <c r="D120" i="45"/>
  <c r="D116" i="45"/>
  <c r="D98" i="45"/>
  <c r="D83" i="45"/>
  <c r="D70" i="45"/>
  <c r="D64" i="45"/>
  <c r="D11" i="24" s="1"/>
  <c r="D58" i="45"/>
  <c r="D29" i="45"/>
  <c r="K227" i="44"/>
  <c r="K226" i="44"/>
  <c r="J225" i="44"/>
  <c r="I225" i="44"/>
  <c r="H225" i="44"/>
  <c r="G225" i="44"/>
  <c r="F225" i="44"/>
  <c r="E225" i="44"/>
  <c r="K225" i="44" s="1"/>
  <c r="D225" i="44"/>
  <c r="K224" i="44"/>
  <c r="K223" i="44"/>
  <c r="K222" i="44"/>
  <c r="K221" i="44"/>
  <c r="K220" i="44"/>
  <c r="J218" i="44"/>
  <c r="I218" i="44"/>
  <c r="H218" i="44"/>
  <c r="G218" i="44"/>
  <c r="F218" i="44"/>
  <c r="E218" i="44"/>
  <c r="D218" i="44"/>
  <c r="K217" i="44"/>
  <c r="K216" i="44"/>
  <c r="K215" i="44"/>
  <c r="K214" i="44"/>
  <c r="K213" i="44"/>
  <c r="K212" i="44"/>
  <c r="K211" i="44"/>
  <c r="K210" i="44"/>
  <c r="J209" i="44"/>
  <c r="I209" i="44"/>
  <c r="H209" i="44"/>
  <c r="G209" i="44"/>
  <c r="F209" i="44"/>
  <c r="E209" i="44"/>
  <c r="D209" i="44"/>
  <c r="K208" i="44"/>
  <c r="K207" i="44"/>
  <c r="K206" i="44"/>
  <c r="K205" i="44"/>
  <c r="K204" i="44"/>
  <c r="J203" i="44"/>
  <c r="I203" i="44"/>
  <c r="H203" i="44"/>
  <c r="G203" i="44"/>
  <c r="F203" i="44"/>
  <c r="E203" i="44"/>
  <c r="K203" i="44" s="1"/>
  <c r="D203" i="44"/>
  <c r="K202" i="44"/>
  <c r="K201" i="44"/>
  <c r="K200" i="44"/>
  <c r="D198" i="44"/>
  <c r="G27" i="29" s="1"/>
  <c r="K197" i="44"/>
  <c r="K196" i="44"/>
  <c r="K195" i="44"/>
  <c r="K194" i="44"/>
  <c r="K193" i="44"/>
  <c r="K192" i="44"/>
  <c r="K191" i="44"/>
  <c r="K190" i="44"/>
  <c r="K189" i="44"/>
  <c r="J188" i="44"/>
  <c r="I188" i="44"/>
  <c r="H188" i="44"/>
  <c r="G188" i="44"/>
  <c r="F188" i="44"/>
  <c r="E188" i="44"/>
  <c r="D188" i="44"/>
  <c r="G26" i="29" s="1"/>
  <c r="K187" i="44"/>
  <c r="K186" i="44"/>
  <c r="K185" i="44"/>
  <c r="K184" i="44"/>
  <c r="I183" i="44"/>
  <c r="H183" i="44"/>
  <c r="G183" i="44"/>
  <c r="F183" i="44"/>
  <c r="E183" i="44"/>
  <c r="D183" i="44"/>
  <c r="G25" i="29" s="1"/>
  <c r="K182" i="44"/>
  <c r="K181" i="44"/>
  <c r="K180" i="44"/>
  <c r="K179" i="44"/>
  <c r="K178" i="44"/>
  <c r="K177" i="44"/>
  <c r="K176" i="44"/>
  <c r="J175" i="44"/>
  <c r="I175" i="44"/>
  <c r="H175" i="44"/>
  <c r="G175" i="44"/>
  <c r="F175" i="44"/>
  <c r="E175" i="44"/>
  <c r="D175" i="44"/>
  <c r="G24" i="29" s="1"/>
  <c r="K173" i="44"/>
  <c r="K172" i="44"/>
  <c r="K171" i="44"/>
  <c r="K170" i="44"/>
  <c r="K169" i="44"/>
  <c r="K168" i="44"/>
  <c r="K167" i="44"/>
  <c r="K166" i="44"/>
  <c r="K165" i="44"/>
  <c r="K164" i="44"/>
  <c r="K163" i="44"/>
  <c r="K162" i="44"/>
  <c r="K161" i="44"/>
  <c r="K160" i="44"/>
  <c r="J159" i="44"/>
  <c r="I159" i="44"/>
  <c r="H159" i="44"/>
  <c r="G159" i="44"/>
  <c r="F159" i="44"/>
  <c r="E159" i="44"/>
  <c r="D159" i="44"/>
  <c r="G23" i="29" s="1"/>
  <c r="K158" i="44"/>
  <c r="K157" i="44"/>
  <c r="K156" i="44"/>
  <c r="K155" i="44"/>
  <c r="K154" i="44"/>
  <c r="K153" i="44"/>
  <c r="K152" i="44"/>
  <c r="K151" i="44"/>
  <c r="J149" i="44"/>
  <c r="I149" i="44"/>
  <c r="H149" i="44"/>
  <c r="G149" i="44"/>
  <c r="F149" i="44"/>
  <c r="E149" i="44"/>
  <c r="D149" i="44"/>
  <c r="K148" i="44"/>
  <c r="K147" i="44"/>
  <c r="K146" i="44"/>
  <c r="K145" i="44"/>
  <c r="K144" i="44"/>
  <c r="J143" i="44"/>
  <c r="I143" i="44"/>
  <c r="H143" i="44"/>
  <c r="G143" i="44"/>
  <c r="F143" i="44"/>
  <c r="E143" i="44"/>
  <c r="D143" i="44"/>
  <c r="K142" i="44"/>
  <c r="K141" i="44"/>
  <c r="J140" i="44"/>
  <c r="I140" i="44"/>
  <c r="H140" i="44"/>
  <c r="G140" i="44"/>
  <c r="F140" i="44"/>
  <c r="E140" i="44"/>
  <c r="D140" i="44"/>
  <c r="K139" i="44"/>
  <c r="K138" i="44"/>
  <c r="K137" i="44"/>
  <c r="K136" i="44"/>
  <c r="K135" i="44"/>
  <c r="K134" i="44"/>
  <c r="K130" i="44"/>
  <c r="J129" i="44"/>
  <c r="I129" i="44"/>
  <c r="H129" i="44"/>
  <c r="G129" i="44"/>
  <c r="F129" i="44"/>
  <c r="E129" i="44"/>
  <c r="D129" i="44"/>
  <c r="K128" i="44"/>
  <c r="K127" i="44"/>
  <c r="J126" i="44"/>
  <c r="I126" i="44"/>
  <c r="H126" i="44"/>
  <c r="G126" i="44"/>
  <c r="F126" i="44"/>
  <c r="E126" i="44"/>
  <c r="D126" i="44"/>
  <c r="K125" i="44"/>
  <c r="K124" i="44"/>
  <c r="K123" i="44"/>
  <c r="K122" i="44"/>
  <c r="J120" i="44"/>
  <c r="I120" i="44"/>
  <c r="H120" i="44"/>
  <c r="G120" i="44"/>
  <c r="F120" i="44"/>
  <c r="E120" i="44"/>
  <c r="K120" i="44" s="1"/>
  <c r="D120" i="44"/>
  <c r="K119" i="44"/>
  <c r="K118" i="44"/>
  <c r="K117" i="44"/>
  <c r="J116" i="44"/>
  <c r="I116" i="44"/>
  <c r="H116" i="44"/>
  <c r="G116" i="44"/>
  <c r="F116" i="44"/>
  <c r="E116" i="44"/>
  <c r="D116" i="44"/>
  <c r="K115" i="44"/>
  <c r="K114" i="44"/>
  <c r="K113" i="44"/>
  <c r="K112" i="44"/>
  <c r="K111" i="44"/>
  <c r="K110" i="44"/>
  <c r="K109" i="44"/>
  <c r="K108" i="44"/>
  <c r="K107" i="44"/>
  <c r="K106" i="44"/>
  <c r="K105" i="44"/>
  <c r="K104" i="44"/>
  <c r="K103" i="44"/>
  <c r="K100" i="44"/>
  <c r="K99" i="44"/>
  <c r="J98" i="44"/>
  <c r="H98" i="44"/>
  <c r="F98" i="44"/>
  <c r="E98" i="44"/>
  <c r="K98" i="44" s="1"/>
  <c r="K97" i="44"/>
  <c r="K96" i="44"/>
  <c r="K95" i="44"/>
  <c r="K94" i="44"/>
  <c r="K93" i="44"/>
  <c r="D98" i="44"/>
  <c r="J91" i="44"/>
  <c r="H91" i="44"/>
  <c r="F91" i="44"/>
  <c r="E91" i="44"/>
  <c r="K91" i="44" s="1"/>
  <c r="K90" i="44"/>
  <c r="K89" i="44"/>
  <c r="D91" i="44"/>
  <c r="K88" i="44"/>
  <c r="K87" i="44"/>
  <c r="K86" i="44"/>
  <c r="K85" i="44"/>
  <c r="K84" i="44"/>
  <c r="J83" i="44"/>
  <c r="H83" i="44"/>
  <c r="F83" i="44"/>
  <c r="E83" i="44"/>
  <c r="K82" i="44"/>
  <c r="K81" i="44"/>
  <c r="D83" i="44"/>
  <c r="J80" i="44"/>
  <c r="H80" i="44"/>
  <c r="F80" i="44"/>
  <c r="E80" i="44"/>
  <c r="K79" i="44"/>
  <c r="K78" i="44"/>
  <c r="K77" i="44"/>
  <c r="K76" i="44"/>
  <c r="D80" i="44"/>
  <c r="J75" i="44"/>
  <c r="H75" i="44"/>
  <c r="F75" i="44"/>
  <c r="E75" i="44"/>
  <c r="K75" i="44" s="1"/>
  <c r="K74" i="44"/>
  <c r="K73" i="44"/>
  <c r="K72" i="44"/>
  <c r="J70" i="44"/>
  <c r="H70" i="44"/>
  <c r="F70" i="44"/>
  <c r="E70" i="44"/>
  <c r="K69" i="44"/>
  <c r="K68" i="44"/>
  <c r="K67" i="44"/>
  <c r="K66" i="44"/>
  <c r="K65" i="44"/>
  <c r="D70" i="44"/>
  <c r="G14" i="29" s="1"/>
  <c r="D14" i="29" s="1"/>
  <c r="J64" i="44"/>
  <c r="H64" i="44"/>
  <c r="F64" i="44"/>
  <c r="E64" i="44"/>
  <c r="K63" i="44"/>
  <c r="K62" i="44"/>
  <c r="K61" i="44"/>
  <c r="K60" i="44"/>
  <c r="K59" i="44"/>
  <c r="D64" i="44"/>
  <c r="G13" i="29" s="1"/>
  <c r="J58" i="44"/>
  <c r="H58" i="44"/>
  <c r="F58" i="44"/>
  <c r="E58" i="44"/>
  <c r="K57" i="44"/>
  <c r="K56" i="44"/>
  <c r="K55" i="44"/>
  <c r="K54" i="44"/>
  <c r="K53" i="44"/>
  <c r="D58" i="44"/>
  <c r="G12" i="29" s="1"/>
  <c r="J52" i="44"/>
  <c r="H52" i="44"/>
  <c r="F52" i="44"/>
  <c r="E52" i="44"/>
  <c r="K51" i="44"/>
  <c r="K50" i="44"/>
  <c r="K49" i="44"/>
  <c r="K48" i="44"/>
  <c r="K47" i="44"/>
  <c r="K46" i="44"/>
  <c r="K45" i="44"/>
  <c r="K44" i="44"/>
  <c r="K43" i="44"/>
  <c r="K42" i="44"/>
  <c r="K41" i="44"/>
  <c r="D52" i="44"/>
  <c r="G11" i="29" s="1"/>
  <c r="K39" i="44"/>
  <c r="J38" i="44"/>
  <c r="H38" i="44"/>
  <c r="F38" i="44"/>
  <c r="E38" i="44"/>
  <c r="K38" i="44" s="1"/>
  <c r="K37" i="44"/>
  <c r="K36" i="44"/>
  <c r="K35" i="44"/>
  <c r="K34" i="44"/>
  <c r="K33" i="44"/>
  <c r="D38" i="44"/>
  <c r="K32" i="44"/>
  <c r="K31" i="44"/>
  <c r="K30" i="44"/>
  <c r="J29" i="44"/>
  <c r="H29" i="44"/>
  <c r="F29" i="44"/>
  <c r="E29" i="44"/>
  <c r="K29" i="44" s="1"/>
  <c r="K28" i="44"/>
  <c r="K27" i="44"/>
  <c r="D29" i="44"/>
  <c r="J26" i="44"/>
  <c r="H26" i="44"/>
  <c r="F26" i="44"/>
  <c r="E26" i="44"/>
  <c r="K25" i="44"/>
  <c r="K24" i="44"/>
  <c r="K23" i="44"/>
  <c r="K22" i="44"/>
  <c r="K21" i="44"/>
  <c r="D26" i="44"/>
  <c r="G9" i="29" s="1"/>
  <c r="K19" i="44"/>
  <c r="K18" i="44"/>
  <c r="K17" i="44"/>
  <c r="K16" i="44"/>
  <c r="K15" i="44"/>
  <c r="J14" i="44"/>
  <c r="J20" i="44" s="1"/>
  <c r="H14" i="44"/>
  <c r="H20" i="44" s="1"/>
  <c r="F14" i="44"/>
  <c r="F20" i="44" s="1"/>
  <c r="E14" i="44"/>
  <c r="E20" i="44" s="1"/>
  <c r="K13" i="44"/>
  <c r="K12" i="44"/>
  <c r="K11" i="44"/>
  <c r="K10" i="44"/>
  <c r="K9" i="44"/>
  <c r="K8" i="44"/>
  <c r="D14" i="44"/>
  <c r="D25" i="24" l="1"/>
  <c r="E25" i="24"/>
  <c r="E26" i="24"/>
  <c r="G26" i="24" s="1"/>
  <c r="D26" i="24"/>
  <c r="K218" i="44"/>
  <c r="K209" i="44"/>
  <c r="E121" i="44"/>
  <c r="I121" i="44"/>
  <c r="K26" i="44"/>
  <c r="K159" i="44"/>
  <c r="K64" i="44"/>
  <c r="K198" i="44"/>
  <c r="K58" i="44"/>
  <c r="K70" i="44"/>
  <c r="H121" i="44"/>
  <c r="M10" i="24"/>
  <c r="G14" i="24"/>
  <c r="K149" i="44"/>
  <c r="K143" i="44"/>
  <c r="D121" i="44"/>
  <c r="G20" i="29" s="1"/>
  <c r="I219" i="44"/>
  <c r="I228" i="44" s="1"/>
  <c r="F219" i="44"/>
  <c r="F228" i="44" s="1"/>
  <c r="J219" i="44"/>
  <c r="J228" i="44" s="1"/>
  <c r="F121" i="44"/>
  <c r="J121" i="44"/>
  <c r="K129" i="44"/>
  <c r="K183" i="44"/>
  <c r="D219" i="44"/>
  <c r="D228" i="44" s="1"/>
  <c r="G29" i="29" s="1"/>
  <c r="H219" i="44"/>
  <c r="H228" i="44" s="1"/>
  <c r="M8" i="24"/>
  <c r="K188" i="44"/>
  <c r="K175" i="44"/>
  <c r="K140" i="44"/>
  <c r="G150" i="44"/>
  <c r="G121" i="44"/>
  <c r="J92" i="44"/>
  <c r="J101" i="44" s="1"/>
  <c r="K83" i="44"/>
  <c r="F92" i="44"/>
  <c r="F101" i="44" s="1"/>
  <c r="K52" i="44"/>
  <c r="D20" i="44"/>
  <c r="G8" i="29" s="1"/>
  <c r="D121" i="45"/>
  <c r="J8" i="24" s="1"/>
  <c r="D92" i="45"/>
  <c r="D101" i="45" s="1"/>
  <c r="D14" i="24" s="1"/>
  <c r="H40" i="44"/>
  <c r="H71" i="44" s="1"/>
  <c r="H92" i="44"/>
  <c r="H101" i="44" s="1"/>
  <c r="E92" i="44"/>
  <c r="F40" i="44"/>
  <c r="F71" i="44" s="1"/>
  <c r="J40" i="44"/>
  <c r="J71" i="44" s="1"/>
  <c r="D75" i="44"/>
  <c r="D92" i="44" s="1"/>
  <c r="D101" i="44" s="1"/>
  <c r="G16" i="29" s="1"/>
  <c r="D150" i="44"/>
  <c r="G22" i="29" s="1"/>
  <c r="H150" i="44"/>
  <c r="H199" i="44" s="1"/>
  <c r="G219" i="44"/>
  <c r="G228" i="44" s="1"/>
  <c r="E150" i="44"/>
  <c r="I150" i="44"/>
  <c r="F150" i="44"/>
  <c r="J150" i="44"/>
  <c r="K20" i="44"/>
  <c r="D40" i="44"/>
  <c r="G10" i="29" s="1"/>
  <c r="K116" i="44"/>
  <c r="E40" i="44"/>
  <c r="E219" i="44"/>
  <c r="K14" i="44"/>
  <c r="K80" i="44"/>
  <c r="K126" i="44"/>
  <c r="H215" i="43"/>
  <c r="I215" i="43"/>
  <c r="J215" i="43"/>
  <c r="K215" i="43"/>
  <c r="L215" i="43"/>
  <c r="M215" i="43"/>
  <c r="H172" i="43"/>
  <c r="I172" i="43"/>
  <c r="J172" i="43"/>
  <c r="K172" i="43"/>
  <c r="L172" i="43"/>
  <c r="M172" i="43"/>
  <c r="H156" i="43"/>
  <c r="I156" i="43"/>
  <c r="J156" i="43"/>
  <c r="K156" i="43"/>
  <c r="L156" i="43"/>
  <c r="M156" i="43"/>
  <c r="H129" i="43"/>
  <c r="I129" i="43"/>
  <c r="J129" i="43"/>
  <c r="K129" i="43"/>
  <c r="L129" i="43"/>
  <c r="M129" i="43"/>
  <c r="H126" i="43"/>
  <c r="I126" i="43"/>
  <c r="J126" i="43"/>
  <c r="K126" i="43"/>
  <c r="L126" i="43"/>
  <c r="M126" i="43"/>
  <c r="I199" i="44" l="1"/>
  <c r="I229" i="44"/>
  <c r="F199" i="44"/>
  <c r="F229" i="44" s="1"/>
  <c r="K121" i="44"/>
  <c r="K92" i="44"/>
  <c r="J102" i="44"/>
  <c r="F102" i="44"/>
  <c r="G15" i="29"/>
  <c r="K40" i="44"/>
  <c r="H15" i="29"/>
  <c r="E199" i="44"/>
  <c r="H28" i="29"/>
  <c r="H229" i="44"/>
  <c r="J199" i="44"/>
  <c r="J229" i="44" s="1"/>
  <c r="E101" i="44"/>
  <c r="G199" i="44"/>
  <c r="G229" i="44" s="1"/>
  <c r="K150" i="44"/>
  <c r="H102" i="44"/>
  <c r="D199" i="44"/>
  <c r="D229" i="44" s="1"/>
  <c r="D71" i="44"/>
  <c r="E71" i="44"/>
  <c r="K71" i="44" s="1"/>
  <c r="E228" i="44"/>
  <c r="K219" i="44"/>
  <c r="H98" i="43"/>
  <c r="N98" i="43" s="1"/>
  <c r="I98" i="43"/>
  <c r="K98" i="43"/>
  <c r="M98" i="43"/>
  <c r="H91" i="43"/>
  <c r="N91" i="43" s="1"/>
  <c r="I91" i="43"/>
  <c r="K91" i="43"/>
  <c r="M91" i="43"/>
  <c r="H83" i="43"/>
  <c r="I83" i="43"/>
  <c r="K83" i="43"/>
  <c r="M83" i="43"/>
  <c r="H80" i="43"/>
  <c r="N80" i="43" s="1"/>
  <c r="I80" i="43"/>
  <c r="K80" i="43"/>
  <c r="M80" i="43"/>
  <c r="H75" i="43"/>
  <c r="N75" i="43" s="1"/>
  <c r="I75" i="43"/>
  <c r="K75" i="43"/>
  <c r="M75" i="43"/>
  <c r="H70" i="43"/>
  <c r="I70" i="43"/>
  <c r="K70" i="43"/>
  <c r="M70" i="43"/>
  <c r="H64" i="43"/>
  <c r="I64" i="43"/>
  <c r="K64" i="43"/>
  <c r="M64" i="43"/>
  <c r="H58" i="43"/>
  <c r="I58" i="43"/>
  <c r="K58" i="43"/>
  <c r="M58" i="43"/>
  <c r="K52" i="43"/>
  <c r="H38" i="43"/>
  <c r="N38" i="43" s="1"/>
  <c r="I38" i="43"/>
  <c r="K38" i="43"/>
  <c r="M38" i="43"/>
  <c r="H29" i="43"/>
  <c r="H40" i="43" s="1"/>
  <c r="I29" i="43"/>
  <c r="K29" i="43"/>
  <c r="K40" i="43" s="1"/>
  <c r="M29" i="43"/>
  <c r="H26" i="43"/>
  <c r="I26" i="43"/>
  <c r="K26" i="43"/>
  <c r="M26" i="43"/>
  <c r="H14" i="43"/>
  <c r="H20" i="43" s="1"/>
  <c r="I14" i="43"/>
  <c r="I20" i="43" s="1"/>
  <c r="K14" i="43"/>
  <c r="K20" i="43" s="1"/>
  <c r="M14" i="43"/>
  <c r="M20" i="43" s="1"/>
  <c r="N224" i="43"/>
  <c r="N223" i="43"/>
  <c r="M222" i="43"/>
  <c r="L222" i="43"/>
  <c r="K222" i="43"/>
  <c r="J222" i="43"/>
  <c r="I222" i="43"/>
  <c r="H222" i="43"/>
  <c r="N222" i="43" s="1"/>
  <c r="N221" i="43"/>
  <c r="N220" i="43"/>
  <c r="N219" i="43"/>
  <c r="N218" i="43"/>
  <c r="N217" i="43"/>
  <c r="N215" i="43"/>
  <c r="N214" i="43"/>
  <c r="N213" i="43"/>
  <c r="N212" i="43"/>
  <c r="N211" i="43"/>
  <c r="N210" i="43"/>
  <c r="N209" i="43"/>
  <c r="N208" i="43"/>
  <c r="N207" i="43"/>
  <c r="M206" i="43"/>
  <c r="L206" i="43"/>
  <c r="K206" i="43"/>
  <c r="J206" i="43"/>
  <c r="I206" i="43"/>
  <c r="H206" i="43"/>
  <c r="N206" i="43" s="1"/>
  <c r="N205" i="43"/>
  <c r="N204" i="43"/>
  <c r="N203" i="43"/>
  <c r="N202" i="43"/>
  <c r="N201" i="43"/>
  <c r="M200" i="43"/>
  <c r="L200" i="43"/>
  <c r="K200" i="43"/>
  <c r="J200" i="43"/>
  <c r="I200" i="43"/>
  <c r="H200" i="43"/>
  <c r="N199" i="43"/>
  <c r="N198" i="43"/>
  <c r="N197" i="43"/>
  <c r="M195" i="43"/>
  <c r="L195" i="43"/>
  <c r="K195" i="43"/>
  <c r="J195" i="43"/>
  <c r="I195" i="43"/>
  <c r="H195" i="43"/>
  <c r="N194" i="43"/>
  <c r="N193" i="43"/>
  <c r="N192" i="43"/>
  <c r="N191" i="43"/>
  <c r="N190" i="43"/>
  <c r="N189" i="43"/>
  <c r="N188" i="43"/>
  <c r="N187" i="43"/>
  <c r="N186" i="43"/>
  <c r="M185" i="43"/>
  <c r="L185" i="43"/>
  <c r="K185" i="43"/>
  <c r="J185" i="43"/>
  <c r="I185" i="43"/>
  <c r="H185" i="43"/>
  <c r="N184" i="43"/>
  <c r="N183" i="43"/>
  <c r="N182" i="43"/>
  <c r="N181" i="43"/>
  <c r="M180" i="43"/>
  <c r="L180" i="43"/>
  <c r="K180" i="43"/>
  <c r="J180" i="43"/>
  <c r="I180" i="43"/>
  <c r="H180" i="43"/>
  <c r="N179" i="43"/>
  <c r="N178" i="43"/>
  <c r="N177" i="43"/>
  <c r="N176" i="43"/>
  <c r="N175" i="43"/>
  <c r="N174" i="43"/>
  <c r="N173" i="43"/>
  <c r="N172" i="43"/>
  <c r="N170" i="43"/>
  <c r="N169" i="43"/>
  <c r="N168" i="43"/>
  <c r="N167" i="43"/>
  <c r="N166" i="43"/>
  <c r="N165" i="43"/>
  <c r="N164" i="43"/>
  <c r="N163" i="43"/>
  <c r="N162" i="43"/>
  <c r="N161" i="43"/>
  <c r="N160" i="43"/>
  <c r="N159" i="43"/>
  <c r="N158" i="43"/>
  <c r="N157" i="43"/>
  <c r="N156" i="43"/>
  <c r="N155" i="43"/>
  <c r="N154" i="43"/>
  <c r="N153" i="43"/>
  <c r="N152" i="43"/>
  <c r="N151" i="43"/>
  <c r="N150" i="43"/>
  <c r="N149" i="43"/>
  <c r="N148" i="43"/>
  <c r="M146" i="43"/>
  <c r="L146" i="43"/>
  <c r="K146" i="43"/>
  <c r="J146" i="43"/>
  <c r="I146" i="43"/>
  <c r="H146" i="43"/>
  <c r="N145" i="43"/>
  <c r="N144" i="43"/>
  <c r="N143" i="43"/>
  <c r="N142" i="43"/>
  <c r="N141" i="43"/>
  <c r="M140" i="43"/>
  <c r="L140" i="43"/>
  <c r="K140" i="43"/>
  <c r="J140" i="43"/>
  <c r="I140" i="43"/>
  <c r="H140" i="43"/>
  <c r="N139" i="43"/>
  <c r="N138" i="43"/>
  <c r="N136" i="43"/>
  <c r="N135" i="43"/>
  <c r="N134" i="43"/>
  <c r="N133" i="43"/>
  <c r="N132" i="43"/>
  <c r="N131" i="43"/>
  <c r="N130" i="43"/>
  <c r="N129" i="43"/>
  <c r="N128" i="43"/>
  <c r="N127" i="43"/>
  <c r="N125" i="43"/>
  <c r="N124" i="43"/>
  <c r="N123" i="43"/>
  <c r="N122" i="43"/>
  <c r="M120" i="43"/>
  <c r="L120" i="43"/>
  <c r="K120" i="43"/>
  <c r="J120" i="43"/>
  <c r="I120" i="43"/>
  <c r="H120" i="43"/>
  <c r="N119" i="43"/>
  <c r="N118" i="43"/>
  <c r="N117" i="43"/>
  <c r="M116" i="43"/>
  <c r="L116" i="43"/>
  <c r="K116" i="43"/>
  <c r="J116" i="43"/>
  <c r="I116" i="43"/>
  <c r="H116" i="43"/>
  <c r="N115" i="43"/>
  <c r="N114" i="43"/>
  <c r="N113" i="43"/>
  <c r="N112" i="43"/>
  <c r="N111" i="43"/>
  <c r="N110" i="43"/>
  <c r="N109" i="43"/>
  <c r="N108" i="43"/>
  <c r="N107" i="43"/>
  <c r="N106" i="43"/>
  <c r="N105" i="43"/>
  <c r="N104" i="43"/>
  <c r="N103" i="43"/>
  <c r="N100" i="43"/>
  <c r="N99" i="43"/>
  <c r="N97" i="43"/>
  <c r="N96" i="43"/>
  <c r="N95" i="43"/>
  <c r="N94" i="43"/>
  <c r="N93" i="43"/>
  <c r="N90" i="43"/>
  <c r="N89" i="43"/>
  <c r="N88" i="43"/>
  <c r="N87" i="43"/>
  <c r="N86" i="43"/>
  <c r="N85" i="43"/>
  <c r="N84" i="43"/>
  <c r="N82" i="43"/>
  <c r="N81" i="43"/>
  <c r="N79" i="43"/>
  <c r="N78" i="43"/>
  <c r="N77" i="43"/>
  <c r="N76" i="43"/>
  <c r="N74" i="43"/>
  <c r="N73" i="43"/>
  <c r="N72" i="43"/>
  <c r="N69" i="43"/>
  <c r="N68" i="43"/>
  <c r="N67" i="43"/>
  <c r="N66" i="43"/>
  <c r="N65" i="43"/>
  <c r="N63" i="43"/>
  <c r="N62" i="43"/>
  <c r="N61" i="43"/>
  <c r="N60" i="43"/>
  <c r="N59" i="43"/>
  <c r="N57" i="43"/>
  <c r="N56" i="43"/>
  <c r="N55" i="43"/>
  <c r="N54" i="43"/>
  <c r="N53" i="43"/>
  <c r="N51" i="43"/>
  <c r="N50" i="43"/>
  <c r="N49" i="43"/>
  <c r="N48" i="43"/>
  <c r="N47" i="43"/>
  <c r="N46" i="43"/>
  <c r="N45" i="43"/>
  <c r="N44" i="43"/>
  <c r="N43" i="43"/>
  <c r="N42" i="43"/>
  <c r="N41" i="43"/>
  <c r="N39" i="43"/>
  <c r="N37" i="43"/>
  <c r="N36" i="43"/>
  <c r="N35" i="43"/>
  <c r="N34" i="43"/>
  <c r="N33" i="43"/>
  <c r="N32" i="43"/>
  <c r="N31" i="43"/>
  <c r="N30" i="43"/>
  <c r="N28" i="43"/>
  <c r="N27" i="43"/>
  <c r="N25" i="43"/>
  <c r="N24" i="43"/>
  <c r="N23" i="43"/>
  <c r="N22" i="43"/>
  <c r="N21" i="43"/>
  <c r="N19" i="43"/>
  <c r="N18" i="43"/>
  <c r="N17" i="43"/>
  <c r="N16" i="43"/>
  <c r="N15" i="43"/>
  <c r="N13" i="43"/>
  <c r="N12" i="43"/>
  <c r="N11" i="43"/>
  <c r="N10" i="43"/>
  <c r="N9" i="43"/>
  <c r="N8" i="43"/>
  <c r="G28" i="29" l="1"/>
  <c r="G30" i="29" s="1"/>
  <c r="G32" i="29" s="1"/>
  <c r="G17" i="29"/>
  <c r="G19" i="29" s="1"/>
  <c r="M40" i="43"/>
  <c r="M71" i="43" s="1"/>
  <c r="J231" i="44"/>
  <c r="K199" i="44"/>
  <c r="N58" i="43"/>
  <c r="N64" i="43"/>
  <c r="N70" i="43"/>
  <c r="K228" i="44"/>
  <c r="H30" i="29"/>
  <c r="H32" i="29" s="1"/>
  <c r="N195" i="43"/>
  <c r="N83" i="43"/>
  <c r="K101" i="44"/>
  <c r="H17" i="29"/>
  <c r="H19" i="29" s="1"/>
  <c r="N29" i="43"/>
  <c r="N26" i="43"/>
  <c r="N52" i="43"/>
  <c r="N185" i="43"/>
  <c r="E102" i="44"/>
  <c r="K102" i="44" s="1"/>
  <c r="M216" i="43"/>
  <c r="M225" i="43" s="1"/>
  <c r="I216" i="43"/>
  <c r="I225" i="43" s="1"/>
  <c r="I40" i="43"/>
  <c r="I71" i="43" s="1"/>
  <c r="N14" i="43"/>
  <c r="K216" i="43"/>
  <c r="K225" i="43" s="1"/>
  <c r="H216" i="43"/>
  <c r="H225" i="43" s="1"/>
  <c r="J216" i="43"/>
  <c r="J225" i="43" s="1"/>
  <c r="L216" i="43"/>
  <c r="L225" i="43" s="1"/>
  <c r="K71" i="43"/>
  <c r="H71" i="43"/>
  <c r="K92" i="43"/>
  <c r="K101" i="43" s="1"/>
  <c r="H92" i="43"/>
  <c r="H101" i="43" s="1"/>
  <c r="M92" i="43"/>
  <c r="M101" i="43" s="1"/>
  <c r="I92" i="43"/>
  <c r="I101" i="43" s="1"/>
  <c r="N180" i="43"/>
  <c r="N146" i="43"/>
  <c r="N140" i="43"/>
  <c r="N137" i="43"/>
  <c r="N120" i="43"/>
  <c r="D102" i="44"/>
  <c r="J228" i="45"/>
  <c r="E229" i="44"/>
  <c r="K229" i="44" s="1"/>
  <c r="K121" i="43"/>
  <c r="H121" i="43"/>
  <c r="L121" i="43"/>
  <c r="H147" i="43"/>
  <c r="K147" i="43"/>
  <c r="J121" i="43"/>
  <c r="L147" i="43"/>
  <c r="N40" i="43"/>
  <c r="I121" i="43"/>
  <c r="M121" i="43"/>
  <c r="J147" i="43"/>
  <c r="N126" i="43"/>
  <c r="I147" i="43"/>
  <c r="M147" i="43"/>
  <c r="N116" i="43"/>
  <c r="N200" i="43"/>
  <c r="K252" i="25"/>
  <c r="K248" i="25"/>
  <c r="K243" i="25"/>
  <c r="K242" i="25"/>
  <c r="K241" i="25"/>
  <c r="K229" i="25"/>
  <c r="K218" i="25"/>
  <c r="K194" i="25"/>
  <c r="K184" i="25"/>
  <c r="K185" i="25"/>
  <c r="K124" i="25"/>
  <c r="J116" i="25"/>
  <c r="H116" i="25"/>
  <c r="E116" i="25"/>
  <c r="K116" i="25" s="1"/>
  <c r="F116" i="25"/>
  <c r="D116" i="25"/>
  <c r="K122" i="25"/>
  <c r="K115" i="25"/>
  <c r="K114" i="25"/>
  <c r="K91" i="25"/>
  <c r="K90" i="25"/>
  <c r="K85" i="25"/>
  <c r="K84" i="25"/>
  <c r="K74" i="25"/>
  <c r="N225" i="43" l="1"/>
  <c r="N216" i="43"/>
  <c r="F15" i="29"/>
  <c r="F17" i="29" s="1"/>
  <c r="F19" i="29" s="1"/>
  <c r="K102" i="43"/>
  <c r="N92" i="43"/>
  <c r="M102" i="43"/>
  <c r="H102" i="43"/>
  <c r="I102" i="43"/>
  <c r="N147" i="43"/>
  <c r="N121" i="43"/>
  <c r="F28" i="29"/>
  <c r="F30" i="29" s="1"/>
  <c r="F32" i="29" s="1"/>
  <c r="D231" i="44"/>
  <c r="E231" i="44"/>
  <c r="L196" i="43"/>
  <c r="L226" i="43" s="1"/>
  <c r="K196" i="43"/>
  <c r="K226" i="43" s="1"/>
  <c r="H196" i="43"/>
  <c r="H226" i="43" s="1"/>
  <c r="J196" i="43"/>
  <c r="J226" i="43" s="1"/>
  <c r="N101" i="43"/>
  <c r="M196" i="43"/>
  <c r="M226" i="43" s="1"/>
  <c r="I196" i="43"/>
  <c r="I226" i="43" s="1"/>
  <c r="N20" i="43"/>
  <c r="D8" i="25"/>
  <c r="D8" i="45" s="1"/>
  <c r="D14" i="25"/>
  <c r="D9" i="45" s="1"/>
  <c r="D17" i="25"/>
  <c r="D10" i="45" s="1"/>
  <c r="D14" i="45" l="1"/>
  <c r="D20" i="45" s="1"/>
  <c r="D8" i="24" s="1"/>
  <c r="D234" i="25"/>
  <c r="M228" i="43"/>
  <c r="D26" i="45"/>
  <c r="E24" i="24" s="1"/>
  <c r="D38" i="45"/>
  <c r="D228" i="43"/>
  <c r="N196" i="43"/>
  <c r="N226" i="43"/>
  <c r="N102" i="43"/>
  <c r="N71" i="43"/>
  <c r="E31" i="29" l="1"/>
  <c r="D209" i="45"/>
  <c r="D216" i="45" s="1"/>
  <c r="D225" i="45" s="1"/>
  <c r="J14" i="24" s="1"/>
  <c r="E29" i="24"/>
  <c r="E31" i="24" s="1"/>
  <c r="G24" i="24"/>
  <c r="H228" i="43"/>
  <c r="G12" i="28"/>
  <c r="C12" i="28"/>
  <c r="E32" i="24" l="1"/>
  <c r="K32" i="24"/>
  <c r="J42" i="25"/>
  <c r="H42" i="25"/>
  <c r="F42" i="25"/>
  <c r="F76" i="25"/>
  <c r="M43" i="41"/>
  <c r="G43" i="41"/>
  <c r="M21" i="41"/>
  <c r="M20" i="41"/>
  <c r="G21" i="41"/>
  <c r="G20" i="41"/>
  <c r="K44" i="41"/>
  <c r="E44" i="41"/>
  <c r="K22" i="41"/>
  <c r="L22" i="41"/>
  <c r="E22" i="41"/>
  <c r="F22" i="41"/>
  <c r="M30" i="24"/>
  <c r="G30" i="24"/>
  <c r="K14" i="25"/>
  <c r="K17" i="25"/>
  <c r="K25" i="25"/>
  <c r="K27" i="25"/>
  <c r="K28" i="25"/>
  <c r="K30" i="25"/>
  <c r="K31" i="25"/>
  <c r="K32" i="25"/>
  <c r="K33" i="25"/>
  <c r="K34" i="25"/>
  <c r="K36" i="25"/>
  <c r="K38" i="25"/>
  <c r="K39" i="25"/>
  <c r="K40" i="25"/>
  <c r="K41" i="25"/>
  <c r="K43" i="25"/>
  <c r="K44" i="25"/>
  <c r="K46" i="25"/>
  <c r="K47" i="25"/>
  <c r="K48" i="25"/>
  <c r="K50" i="25"/>
  <c r="K52" i="25"/>
  <c r="K53" i="25"/>
  <c r="K54" i="25"/>
  <c r="K55" i="25"/>
  <c r="K62" i="25"/>
  <c r="K63" i="25"/>
  <c r="K67" i="25"/>
  <c r="K68" i="25"/>
  <c r="K69" i="25"/>
  <c r="K70" i="25"/>
  <c r="K71" i="25"/>
  <c r="K72" i="25"/>
  <c r="K73" i="25"/>
  <c r="K75" i="25"/>
  <c r="K77" i="25"/>
  <c r="K78" i="25"/>
  <c r="K79" i="25"/>
  <c r="K80" i="25"/>
  <c r="K81" i="25"/>
  <c r="K83" i="25"/>
  <c r="K86" i="25"/>
  <c r="K87" i="25"/>
  <c r="K89" i="25"/>
  <c r="K92" i="25"/>
  <c r="K93" i="25"/>
  <c r="K97" i="25"/>
  <c r="K98" i="25"/>
  <c r="K99" i="25"/>
  <c r="K101" i="25"/>
  <c r="K102" i="25"/>
  <c r="K103" i="25"/>
  <c r="K104" i="25"/>
  <c r="K106" i="25"/>
  <c r="K107" i="25"/>
  <c r="K109" i="25"/>
  <c r="K110" i="25"/>
  <c r="K111" i="25"/>
  <c r="K112" i="25"/>
  <c r="K113" i="25"/>
  <c r="K118" i="25"/>
  <c r="K119" i="25"/>
  <c r="K120" i="25"/>
  <c r="K121" i="25"/>
  <c r="K125" i="25"/>
  <c r="K128" i="25"/>
  <c r="K129" i="25"/>
  <c r="K130" i="25"/>
  <c r="K131" i="25"/>
  <c r="K132" i="25"/>
  <c r="K133" i="25"/>
  <c r="K134" i="25"/>
  <c r="K135" i="25"/>
  <c r="K136" i="25"/>
  <c r="K137" i="25"/>
  <c r="K138" i="25"/>
  <c r="K139" i="25"/>
  <c r="K140" i="25"/>
  <c r="K142" i="25"/>
  <c r="K143" i="25"/>
  <c r="K144" i="25"/>
  <c r="K147" i="25"/>
  <c r="K148" i="25"/>
  <c r="K149" i="25"/>
  <c r="K150" i="25"/>
  <c r="K152" i="25"/>
  <c r="K153" i="25"/>
  <c r="K155" i="25"/>
  <c r="K156" i="25"/>
  <c r="K157" i="25"/>
  <c r="K158" i="25"/>
  <c r="K159" i="25"/>
  <c r="K160" i="25"/>
  <c r="K161" i="25"/>
  <c r="K163" i="25"/>
  <c r="K164" i="25"/>
  <c r="K166" i="25"/>
  <c r="K167" i="25"/>
  <c r="K168" i="25"/>
  <c r="K169" i="25"/>
  <c r="K170" i="25"/>
  <c r="K173" i="25"/>
  <c r="K174" i="25"/>
  <c r="K175" i="25"/>
  <c r="K176" i="25"/>
  <c r="K177" i="25"/>
  <c r="K178" i="25"/>
  <c r="K179" i="25"/>
  <c r="K180" i="25"/>
  <c r="K182" i="25"/>
  <c r="K183" i="25"/>
  <c r="K186" i="25"/>
  <c r="K187" i="25"/>
  <c r="K188" i="25"/>
  <c r="K189" i="25"/>
  <c r="K190" i="25"/>
  <c r="K191" i="25"/>
  <c r="K192" i="25"/>
  <c r="K193" i="25"/>
  <c r="K195" i="25"/>
  <c r="K198" i="25"/>
  <c r="K199" i="25"/>
  <c r="K200" i="25"/>
  <c r="K201" i="25"/>
  <c r="K202" i="25"/>
  <c r="K203" i="25"/>
  <c r="K204" i="25"/>
  <c r="K206" i="25"/>
  <c r="K207" i="25"/>
  <c r="K208" i="25"/>
  <c r="K209" i="25"/>
  <c r="K211" i="25"/>
  <c r="K212" i="25"/>
  <c r="K213" i="25"/>
  <c r="K214" i="25"/>
  <c r="K215" i="25"/>
  <c r="K216" i="25"/>
  <c r="K217" i="25"/>
  <c r="K219" i="25"/>
  <c r="K222" i="25"/>
  <c r="K223" i="25"/>
  <c r="K224" i="25"/>
  <c r="K226" i="25"/>
  <c r="K227" i="25"/>
  <c r="K228" i="25"/>
  <c r="K230" i="25"/>
  <c r="K232" i="25"/>
  <c r="K233" i="25"/>
  <c r="K234" i="25"/>
  <c r="K238" i="25"/>
  <c r="K239" i="25"/>
  <c r="K240" i="25"/>
  <c r="K245" i="25"/>
  <c r="K246" i="25"/>
  <c r="K247" i="25"/>
  <c r="K249" i="25"/>
  <c r="K251" i="25"/>
  <c r="K8" i="25"/>
  <c r="G250" i="25"/>
  <c r="H250" i="25"/>
  <c r="I250" i="25"/>
  <c r="J250" i="25"/>
  <c r="E250" i="25"/>
  <c r="F250" i="25"/>
  <c r="E225" i="25"/>
  <c r="F225" i="25"/>
  <c r="G225" i="25"/>
  <c r="H225" i="25"/>
  <c r="I225" i="25"/>
  <c r="J225" i="25"/>
  <c r="E220" i="25"/>
  <c r="F220" i="25"/>
  <c r="G220" i="25"/>
  <c r="H220" i="25"/>
  <c r="I220" i="25"/>
  <c r="J220" i="25"/>
  <c r="E210" i="25"/>
  <c r="F210" i="25"/>
  <c r="G210" i="25"/>
  <c r="H210" i="25"/>
  <c r="I210" i="25"/>
  <c r="J210" i="25"/>
  <c r="E205" i="25"/>
  <c r="F205" i="25"/>
  <c r="G205" i="25"/>
  <c r="H205" i="25"/>
  <c r="I205" i="25"/>
  <c r="J205" i="25"/>
  <c r="E181" i="25"/>
  <c r="F181" i="25"/>
  <c r="G181" i="25"/>
  <c r="H181" i="25"/>
  <c r="I181" i="25"/>
  <c r="J181" i="25"/>
  <c r="E171" i="25"/>
  <c r="F171" i="25"/>
  <c r="G171" i="25"/>
  <c r="H171" i="25"/>
  <c r="I171" i="25"/>
  <c r="J171" i="25"/>
  <c r="E165" i="25"/>
  <c r="F165" i="25"/>
  <c r="G165" i="25"/>
  <c r="H165" i="25"/>
  <c r="I165" i="25"/>
  <c r="J165" i="25"/>
  <c r="E154" i="25"/>
  <c r="F154" i="25"/>
  <c r="G154" i="25"/>
  <c r="H154" i="25"/>
  <c r="I154" i="25"/>
  <c r="J154" i="25"/>
  <c r="E145" i="25"/>
  <c r="F145" i="25"/>
  <c r="G145" i="25"/>
  <c r="H145" i="25"/>
  <c r="I145" i="25"/>
  <c r="J145" i="25"/>
  <c r="E141" i="25"/>
  <c r="F141" i="25"/>
  <c r="G141" i="25"/>
  <c r="H141" i="25"/>
  <c r="I141" i="25"/>
  <c r="J141" i="25"/>
  <c r="J123" i="25"/>
  <c r="H123" i="25"/>
  <c r="E123" i="25"/>
  <c r="F123" i="25"/>
  <c r="J108" i="25"/>
  <c r="H108" i="25"/>
  <c r="H117" i="25" s="1"/>
  <c r="H126" i="25" s="1"/>
  <c r="E108" i="25"/>
  <c r="F108" i="25"/>
  <c r="F117" i="25" s="1"/>
  <c r="K105" i="25"/>
  <c r="E95" i="25"/>
  <c r="J88" i="25"/>
  <c r="H88" i="25"/>
  <c r="E88" i="25"/>
  <c r="F88" i="25"/>
  <c r="J82" i="25"/>
  <c r="H82" i="25"/>
  <c r="E82" i="25"/>
  <c r="F82" i="25"/>
  <c r="J76" i="25"/>
  <c r="H76" i="25"/>
  <c r="E76" i="25"/>
  <c r="E57" i="25"/>
  <c r="J45" i="25"/>
  <c r="J61" i="25" s="1"/>
  <c r="H45" i="25"/>
  <c r="H61" i="25" s="1"/>
  <c r="E45" i="25"/>
  <c r="E29" i="45" s="1"/>
  <c r="F45" i="25"/>
  <c r="F61" i="25" s="1"/>
  <c r="E42" i="25"/>
  <c r="J29" i="25"/>
  <c r="J35" i="25" s="1"/>
  <c r="H35" i="25"/>
  <c r="E29" i="25"/>
  <c r="F29" i="25"/>
  <c r="F35" i="25" s="1"/>
  <c r="D11" i="38"/>
  <c r="J22" i="41"/>
  <c r="D22" i="41"/>
  <c r="D11" i="41"/>
  <c r="D44" i="41"/>
  <c r="Q9" i="39"/>
  <c r="Q13" i="39"/>
  <c r="Q14" i="39"/>
  <c r="Q16" i="39"/>
  <c r="Q23" i="39"/>
  <c r="Q24" i="39"/>
  <c r="Q27" i="39"/>
  <c r="K57" i="25" l="1"/>
  <c r="K123" i="25"/>
  <c r="K45" i="25"/>
  <c r="K250" i="25"/>
  <c r="J44" i="41"/>
  <c r="J146" i="25"/>
  <c r="F146" i="25"/>
  <c r="F126" i="25"/>
  <c r="G22" i="41"/>
  <c r="M22" i="41"/>
  <c r="I146" i="25"/>
  <c r="K95" i="25"/>
  <c r="K76" i="25"/>
  <c r="K42" i="25"/>
  <c r="E244" i="25"/>
  <c r="E253" i="25" s="1"/>
  <c r="J172" i="25"/>
  <c r="I172" i="25"/>
  <c r="F172" i="25"/>
  <c r="J117" i="25"/>
  <c r="J126" i="25" s="1"/>
  <c r="K100" i="25"/>
  <c r="K88" i="25"/>
  <c r="H146" i="25"/>
  <c r="G8" i="24"/>
  <c r="K231" i="25"/>
  <c r="J96" i="25"/>
  <c r="J244" i="25"/>
  <c r="J253" i="25" s="1"/>
  <c r="I244" i="25"/>
  <c r="I253" i="25" s="1"/>
  <c r="H244" i="25"/>
  <c r="H253" i="25" s="1"/>
  <c r="G244" i="25"/>
  <c r="G253" i="25" s="1"/>
  <c r="F244" i="25"/>
  <c r="F253" i="25" s="1"/>
  <c r="M9" i="41"/>
  <c r="M10" i="41"/>
  <c r="G9" i="41"/>
  <c r="G10" i="41"/>
  <c r="H96" i="25"/>
  <c r="H127" i="25" s="1"/>
  <c r="K141" i="25"/>
  <c r="K151" i="25"/>
  <c r="H172" i="25"/>
  <c r="H221" i="25" s="1"/>
  <c r="K154" i="25"/>
  <c r="K162" i="25"/>
  <c r="K165" i="25"/>
  <c r="K171" i="25"/>
  <c r="K181" i="25"/>
  <c r="K205" i="25"/>
  <c r="K225" i="25"/>
  <c r="M10" i="38"/>
  <c r="F96" i="25"/>
  <c r="G172" i="25"/>
  <c r="G146" i="25"/>
  <c r="K108" i="25"/>
  <c r="K82" i="25"/>
  <c r="K29" i="25"/>
  <c r="K145" i="25"/>
  <c r="K197" i="25"/>
  <c r="K210" i="25"/>
  <c r="K220" i="25"/>
  <c r="E172" i="25"/>
  <c r="E146" i="25"/>
  <c r="E117" i="25"/>
  <c r="E35" i="25"/>
  <c r="D7" i="36"/>
  <c r="C43" i="37"/>
  <c r="B43" i="37"/>
  <c r="D42" i="37"/>
  <c r="D41" i="37"/>
  <c r="D40" i="37"/>
  <c r="D39" i="37"/>
  <c r="D30" i="37"/>
  <c r="D29" i="37"/>
  <c r="D28" i="37"/>
  <c r="C22" i="37"/>
  <c r="B22" i="37"/>
  <c r="D21" i="37"/>
  <c r="D13" i="37"/>
  <c r="D12" i="37"/>
  <c r="D11" i="37"/>
  <c r="D10" i="37"/>
  <c r="D9" i="37"/>
  <c r="D8" i="37"/>
  <c r="D7" i="37"/>
  <c r="D6" i="37"/>
  <c r="D9" i="36"/>
  <c r="D8" i="36"/>
  <c r="D6" i="36"/>
  <c r="C9" i="35"/>
  <c r="G13" i="31"/>
  <c r="C13" i="31"/>
  <c r="H13" i="30"/>
  <c r="G13" i="30"/>
  <c r="D13" i="30"/>
  <c r="C13" i="30"/>
  <c r="D32" i="37" l="1"/>
  <c r="J221" i="25"/>
  <c r="J254" i="25" s="1"/>
  <c r="G41" i="41"/>
  <c r="J127" i="25"/>
  <c r="D15" i="37"/>
  <c r="D11" i="36"/>
  <c r="F127" i="25"/>
  <c r="I221" i="25"/>
  <c r="I254" i="25" s="1"/>
  <c r="K253" i="25"/>
  <c r="K244" i="25"/>
  <c r="D43" i="37"/>
  <c r="H254" i="25"/>
  <c r="G8" i="41"/>
  <c r="M41" i="41"/>
  <c r="L44" i="41"/>
  <c r="M44" i="41" s="1"/>
  <c r="M9" i="38"/>
  <c r="M42" i="41"/>
  <c r="F44" i="41"/>
  <c r="G44" i="41" s="1"/>
  <c r="G42" i="41"/>
  <c r="G25" i="24"/>
  <c r="D22" i="37"/>
  <c r="K172" i="25"/>
  <c r="I13" i="30"/>
  <c r="K146" i="25"/>
  <c r="E221" i="25"/>
  <c r="K117" i="25"/>
  <c r="E126" i="25"/>
  <c r="K35" i="25"/>
  <c r="I18" i="29"/>
  <c r="D21" i="29"/>
  <c r="D19" i="39" s="1"/>
  <c r="D165" i="25"/>
  <c r="D154" i="25"/>
  <c r="D145" i="25"/>
  <c r="D141" i="25"/>
  <c r="D220" i="25"/>
  <c r="E27" i="29" s="1"/>
  <c r="D210" i="25"/>
  <c r="E26" i="29" s="1"/>
  <c r="D205" i="25"/>
  <c r="E25" i="29" s="1"/>
  <c r="D250" i="25"/>
  <c r="D231" i="25"/>
  <c r="D225" i="25"/>
  <c r="J256" i="25" l="1"/>
  <c r="D27" i="29"/>
  <c r="D25" i="39" s="1"/>
  <c r="D26" i="29"/>
  <c r="D24" i="39" s="1"/>
  <c r="D244" i="25"/>
  <c r="D253" i="25" s="1"/>
  <c r="E29" i="29" s="1"/>
  <c r="M11" i="38"/>
  <c r="M8" i="38"/>
  <c r="G8" i="38"/>
  <c r="D181" i="25"/>
  <c r="E23" i="29" s="1"/>
  <c r="M29" i="24"/>
  <c r="K126" i="25"/>
  <c r="M14" i="24"/>
  <c r="D146" i="25"/>
  <c r="E20" i="29" s="1"/>
  <c r="G29" i="24"/>
  <c r="K221" i="25"/>
  <c r="E254" i="25"/>
  <c r="D24" i="29"/>
  <c r="D22" i="39" s="1"/>
  <c r="D25" i="29"/>
  <c r="D23" i="39" s="1"/>
  <c r="I31" i="29"/>
  <c r="D108" i="25"/>
  <c r="D29" i="25"/>
  <c r="D35" i="25" s="1"/>
  <c r="E8" i="29" s="1"/>
  <c r="D105" i="25"/>
  <c r="D100" i="25"/>
  <c r="D88" i="25"/>
  <c r="E13" i="29" s="1"/>
  <c r="D13" i="29" s="1"/>
  <c r="D82" i="25"/>
  <c r="E12" i="29" s="1"/>
  <c r="D12" i="29" s="1"/>
  <c r="D57" i="25"/>
  <c r="D45" i="25"/>
  <c r="D42" i="25"/>
  <c r="E9" i="29" s="1"/>
  <c r="D9" i="29" s="1"/>
  <c r="D20" i="29" l="1"/>
  <c r="D18" i="39" s="1"/>
  <c r="D23" i="29"/>
  <c r="D21" i="39" s="1"/>
  <c r="D12" i="39"/>
  <c r="D9" i="39"/>
  <c r="D14" i="39"/>
  <c r="D13" i="39"/>
  <c r="D171" i="25"/>
  <c r="D172" i="25" s="1"/>
  <c r="E22" i="29" s="1"/>
  <c r="D146" i="45"/>
  <c r="D147" i="45" s="1"/>
  <c r="J10" i="24" s="1"/>
  <c r="D117" i="25"/>
  <c r="D126" i="25" s="1"/>
  <c r="E16" i="29" s="1"/>
  <c r="D29" i="29"/>
  <c r="D27" i="39" s="1"/>
  <c r="M13" i="24"/>
  <c r="L16" i="24"/>
  <c r="K254" i="25"/>
  <c r="M31" i="24"/>
  <c r="G31" i="24"/>
  <c r="D61" i="25"/>
  <c r="E10" i="29" s="1"/>
  <c r="D10" i="29" s="1"/>
  <c r="F197" i="25" l="1"/>
  <c r="D221" i="25"/>
  <c r="D254" i="25" s="1"/>
  <c r="E28" i="29"/>
  <c r="E30" i="29" s="1"/>
  <c r="E32" i="29" s="1"/>
  <c r="D76" i="25"/>
  <c r="D52" i="45"/>
  <c r="D10" i="24" s="1"/>
  <c r="D196" i="45"/>
  <c r="D8" i="29"/>
  <c r="D8" i="39" s="1"/>
  <c r="R27" i="39"/>
  <c r="R9" i="39"/>
  <c r="R13" i="39"/>
  <c r="R14" i="39"/>
  <c r="R23" i="39"/>
  <c r="R24" i="39"/>
  <c r="D96" i="25" l="1"/>
  <c r="D127" i="25" s="1"/>
  <c r="E11" i="29"/>
  <c r="D11" i="29" s="1"/>
  <c r="F221" i="25"/>
  <c r="F254" i="25" s="1"/>
  <c r="D256" i="25"/>
  <c r="G197" i="25"/>
  <c r="G221" i="25" s="1"/>
  <c r="G254" i="25" s="1"/>
  <c r="I8" i="39"/>
  <c r="M8" i="39"/>
  <c r="F8" i="39"/>
  <c r="P8" i="39"/>
  <c r="J8" i="39"/>
  <c r="N8" i="39"/>
  <c r="E8" i="39"/>
  <c r="L8" i="39"/>
  <c r="G8" i="39"/>
  <c r="K8" i="39"/>
  <c r="O8" i="39"/>
  <c r="H8" i="39"/>
  <c r="M15" i="24"/>
  <c r="D226" i="45"/>
  <c r="J29" i="24"/>
  <c r="J31" i="24" s="1"/>
  <c r="D29" i="24"/>
  <c r="D31" i="24" s="1"/>
  <c r="D22" i="29"/>
  <c r="D20" i="39" s="1"/>
  <c r="D26" i="39" s="1"/>
  <c r="D28" i="39" s="1"/>
  <c r="J13" i="24" l="1"/>
  <c r="J15" i="24" s="1"/>
  <c r="J35" i="24" s="1"/>
  <c r="Q8" i="39"/>
  <c r="R8" i="39" s="1"/>
  <c r="D32" i="24"/>
  <c r="J32" i="24"/>
  <c r="D11" i="39" l="1"/>
  <c r="D28" i="29"/>
  <c r="D16" i="29"/>
  <c r="D16" i="39" s="1"/>
  <c r="R16" i="39" s="1"/>
  <c r="D30" i="29" l="1"/>
  <c r="J11" i="41" l="1"/>
  <c r="L11" i="41" l="1"/>
  <c r="M11" i="41" s="1"/>
  <c r="M8" i="41"/>
  <c r="J11" i="38"/>
  <c r="Q11" i="39" l="1"/>
  <c r="R11" i="39" l="1"/>
  <c r="L15" i="39"/>
  <c r="L17" i="39" s="1"/>
  <c r="I15" i="39"/>
  <c r="I17" i="39" s="1"/>
  <c r="Q10" i="39"/>
  <c r="J15" i="39" s="1"/>
  <c r="J17" i="39" s="1"/>
  <c r="F15" i="39" l="1"/>
  <c r="F17" i="39" s="1"/>
  <c r="H15" i="39"/>
  <c r="H17" i="39" s="1"/>
  <c r="M15" i="39"/>
  <c r="M17" i="39" s="1"/>
  <c r="K15" i="39"/>
  <c r="K17" i="39" s="1"/>
  <c r="O15" i="39"/>
  <c r="O17" i="39" s="1"/>
  <c r="N15" i="39"/>
  <c r="N17" i="39" s="1"/>
  <c r="G15" i="39"/>
  <c r="G17" i="39" s="1"/>
  <c r="P15" i="39"/>
  <c r="P17" i="39" s="1"/>
  <c r="Q12" i="39" l="1"/>
  <c r="R12" i="39" s="1"/>
  <c r="E15" i="39"/>
  <c r="Q15" i="39" l="1"/>
  <c r="E17" i="39"/>
  <c r="Q17" i="39" l="1"/>
  <c r="Q18" i="39" l="1"/>
  <c r="R18" i="39" l="1"/>
  <c r="Q19" i="39"/>
  <c r="R19" i="39" l="1"/>
  <c r="Q20" i="39"/>
  <c r="R20" i="39" l="1"/>
  <c r="Q21" i="39"/>
  <c r="R21" i="39" l="1"/>
  <c r="Q22" i="39"/>
  <c r="M26" i="39" s="1"/>
  <c r="M28" i="39" s="1"/>
  <c r="M29" i="39" s="1"/>
  <c r="F26" i="39" l="1"/>
  <c r="F28" i="39" s="1"/>
  <c r="F29" i="39" s="1"/>
  <c r="E26" i="39"/>
  <c r="J26" i="39"/>
  <c r="J28" i="39" s="1"/>
  <c r="J29" i="39" s="1"/>
  <c r="I26" i="39"/>
  <c r="I28" i="39" s="1"/>
  <c r="I29" i="39" s="1"/>
  <c r="H26" i="39"/>
  <c r="H28" i="39" s="1"/>
  <c r="H29" i="39" s="1"/>
  <c r="G26" i="39"/>
  <c r="G28" i="39" s="1"/>
  <c r="G29" i="39" s="1"/>
  <c r="E28" i="39"/>
  <c r="O26" i="39"/>
  <c r="O28" i="39" s="1"/>
  <c r="O29" i="39" s="1"/>
  <c r="K26" i="39"/>
  <c r="K28" i="39" s="1"/>
  <c r="K29" i="39" s="1"/>
  <c r="N26" i="39"/>
  <c r="N28" i="39" s="1"/>
  <c r="N29" i="39" s="1"/>
  <c r="R22" i="39"/>
  <c r="L26" i="39"/>
  <c r="L28" i="39" s="1"/>
  <c r="L29" i="39" s="1"/>
  <c r="P26" i="39"/>
  <c r="P28" i="39" s="1"/>
  <c r="P29" i="39" s="1"/>
  <c r="Q28" i="39" l="1"/>
  <c r="E29" i="39"/>
  <c r="Q26" i="39"/>
  <c r="R26" i="39" s="1"/>
  <c r="Q25" i="39"/>
  <c r="R25" i="39" s="1"/>
  <c r="Q29" i="39" l="1"/>
  <c r="R28" i="39"/>
  <c r="Q30" i="39" l="1"/>
  <c r="E58" i="25"/>
  <c r="D40" i="45" l="1"/>
  <c r="E39" i="45"/>
  <c r="E40" i="45" s="1"/>
  <c r="D71" i="45"/>
  <c r="D102" i="45" s="1"/>
  <c r="D228" i="45" s="1"/>
  <c r="D9" i="24"/>
  <c r="K58" i="25"/>
  <c r="E61" i="25"/>
  <c r="E9" i="24" l="1"/>
  <c r="E71" i="45"/>
  <c r="E102" i="45" s="1"/>
  <c r="D13" i="24"/>
  <c r="D15" i="24" s="1"/>
  <c r="D35" i="24" s="1"/>
  <c r="E96" i="25"/>
  <c r="E228" i="45" s="1"/>
  <c r="K61" i="25"/>
  <c r="E13" i="24" l="1"/>
  <c r="G9" i="24"/>
  <c r="D16" i="24"/>
  <c r="J16" i="24"/>
  <c r="E15" i="29"/>
  <c r="E17" i="29" s="1"/>
  <c r="K96" i="25"/>
  <c r="E127" i="25"/>
  <c r="E15" i="24" l="1"/>
  <c r="G13" i="24"/>
  <c r="E19" i="29"/>
  <c r="D17" i="29"/>
  <c r="D10" i="39"/>
  <c r="D15" i="29"/>
  <c r="E256" i="25"/>
  <c r="K127" i="25"/>
  <c r="E16" i="24" l="1"/>
  <c r="K16" i="24"/>
  <c r="G15" i="24"/>
  <c r="D15" i="39"/>
  <c r="R10" i="39"/>
  <c r="D17" i="39" l="1"/>
  <c r="R15" i="39"/>
  <c r="D29" i="39" l="1"/>
  <c r="R17" i="39"/>
  <c r="D30" i="39" l="1"/>
  <c r="R29" i="39"/>
  <c r="E30" i="39" l="1"/>
  <c r="F30" i="39" s="1"/>
  <c r="G30" i="39" s="1"/>
  <c r="H30" i="39" s="1"/>
  <c r="I30" i="39" s="1"/>
  <c r="J30" i="39" s="1"/>
  <c r="K30" i="39" s="1"/>
  <c r="L30" i="39" s="1"/>
  <c r="M30" i="39" s="1"/>
  <c r="N30" i="39" s="1"/>
  <c r="O30" i="39" s="1"/>
  <c r="P30" i="39" s="1"/>
  <c r="R30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Windows-felhasználó</author>
  </authors>
  <commentList>
    <comment ref="D6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Windows-felhasználó:</t>
        </r>
        <r>
          <rPr>
            <sz val="9"/>
            <color indexed="81"/>
            <rFont val="Tahoma"/>
            <family val="2"/>
            <charset val="238"/>
          </rPr>
          <t xml:space="preserve">
posta 33367*8+33367*0,25*4=
300303
papp és társa 37000*12=444000
vodafone 221415
máv 4*52500=210000
dohánysor 15240
???
Lakásbérlet 828368
</t>
        </r>
      </text>
    </comment>
    <comment ref="E14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Windows-felhasználó:</t>
        </r>
        <r>
          <rPr>
            <sz val="9"/>
            <color indexed="81"/>
            <rFont val="Tahoma"/>
            <family val="2"/>
            <charset val="238"/>
          </rPr>
          <t xml:space="preserve">
maszk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Windows-felhasználó</author>
  </authors>
  <commentList>
    <comment ref="D43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Windows-felhasználó:</t>
        </r>
        <r>
          <rPr>
            <sz val="9"/>
            <color indexed="81"/>
            <rFont val="Tahoma"/>
            <charset val="1"/>
          </rPr>
          <t xml:space="preserve">
eddigi bevétel 5572eft várható 16716eFt</t>
        </r>
      </text>
    </comment>
    <comment ref="E87" authorId="0" shapeId="0" xr:uid="{00000000-0006-0000-0600-000002000000}">
      <text>
        <r>
          <rPr>
            <b/>
            <sz val="9"/>
            <color indexed="81"/>
            <rFont val="Tahoma"/>
            <charset val="1"/>
          </rPr>
          <t>Windows-felhasználó:</t>
        </r>
        <r>
          <rPr>
            <sz val="9"/>
            <color indexed="81"/>
            <rFont val="Tahoma"/>
            <charset val="1"/>
          </rPr>
          <t xml:space="preserve">
2019. évi maradványra előírányzat képezve, s ezzel az összeggel csökken az intézményfinanszírozás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Windows-felhasználó</author>
  </authors>
  <commentList>
    <comment ref="D7" authorId="0" shapeId="0" xr:uid="{00000000-0006-0000-0800-000001000000}">
      <text>
        <r>
          <rPr>
            <b/>
            <sz val="9"/>
            <color indexed="81"/>
            <rFont val="Tahoma"/>
            <charset val="1"/>
          </rPr>
          <t>Windows-felhasználó:</t>
        </r>
        <r>
          <rPr>
            <sz val="9"/>
            <color indexed="81"/>
            <rFont val="Tahoma"/>
            <charset val="1"/>
          </rPr>
          <t xml:space="preserve">
Teljes kivitelezés 33319628 Ft, 
ebből 2019-ig kifizetve főszámláról 472186+4496488
</t>
        </r>
      </text>
    </comment>
    <comment ref="E7" authorId="0" shapeId="0" xr:uid="{00000000-0006-0000-0800-000002000000}">
      <text>
        <r>
          <rPr>
            <b/>
            <sz val="9"/>
            <color indexed="81"/>
            <rFont val="Tahoma"/>
            <charset val="1"/>
          </rPr>
          <t>Windows-felhasználó:</t>
        </r>
        <r>
          <rPr>
            <sz val="9"/>
            <color indexed="81"/>
            <rFont val="Tahoma"/>
            <charset val="1"/>
          </rPr>
          <t xml:space="preserve">
8000000Ft pénzmaradványből (előleg), 11 930 329 Ft, amikor elszámolunk
</t>
        </r>
      </text>
    </comment>
    <comment ref="D8" authorId="0" shapeId="0" xr:uid="{00000000-0006-0000-0800-000003000000}">
      <text>
        <r>
          <rPr>
            <b/>
            <sz val="9"/>
            <color indexed="81"/>
            <rFont val="Tahoma"/>
            <charset val="1"/>
          </rPr>
          <t>Windows-felhasználó:</t>
        </r>
        <r>
          <rPr>
            <sz val="9"/>
            <color indexed="81"/>
            <rFont val="Tahoma"/>
            <charset val="1"/>
          </rPr>
          <t xml:space="preserve">
Teljes ktg: 43799498 Ft, ebből kifizetve 2019-ig
2936240+431800</t>
        </r>
      </text>
    </comment>
    <comment ref="E8" authorId="0" shapeId="0" xr:uid="{00000000-0006-0000-0800-000004000000}">
      <text>
        <r>
          <rPr>
            <b/>
            <sz val="9"/>
            <color indexed="81"/>
            <rFont val="Tahoma"/>
            <charset val="1"/>
          </rPr>
          <t>Windows-felhasználó:</t>
        </r>
        <r>
          <rPr>
            <sz val="9"/>
            <color indexed="81"/>
            <rFont val="Tahoma"/>
            <charset val="1"/>
          </rPr>
          <t xml:space="preserve">
teljes összeg pénzmaradványból</t>
        </r>
      </text>
    </comment>
  </commentList>
</comments>
</file>

<file path=xl/sharedStrings.xml><?xml version="1.0" encoding="utf-8"?>
<sst xmlns="http://schemas.openxmlformats.org/spreadsheetml/2006/main" count="5415" uniqueCount="957">
  <si>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</si>
  <si>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</si>
  <si>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</si>
  <si>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</si>
  <si>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</si>
  <si>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</si>
  <si>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</si>
  <si>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</si>
  <si>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</si>
  <si>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</si>
  <si>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</si>
  <si>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</si>
  <si>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</si>
  <si>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</si>
  <si>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</si>
  <si>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</si>
  <si>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</si>
  <si>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</si>
  <si>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</si>
  <si>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</si>
  <si>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</si>
  <si>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</si>
  <si>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</si>
  <si>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</si>
  <si>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</si>
  <si>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</si>
  <si>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</si>
  <si>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</si>
  <si>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</si>
  <si>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</si>
  <si>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</si>
  <si>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</si>
  <si>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</si>
  <si>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</si>
  <si>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</si>
  <si>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</si>
  <si>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</si>
  <si>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</si>
  <si>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</si>
  <si>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</si>
  <si>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</si>
  <si>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</si>
  <si>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</si>
  <si>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</si>
  <si>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</si>
  <si>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</si>
  <si>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</si>
  <si>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</si>
  <si>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</si>
  <si>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</si>
  <si>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</si>
  <si>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</si>
  <si>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</si>
  <si>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</si>
  <si>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</si>
  <si>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</si>
  <si>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</si>
  <si>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</si>
  <si>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</si>
  <si>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</si>
  <si>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</si>
  <si>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</si>
  <si>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</si>
  <si>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</si>
  <si>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</si>
  <si>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</si>
  <si>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</si>
  <si>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</si>
  <si>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</si>
  <si>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</si>
  <si>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</si>
  <si>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</si>
  <si>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</si>
  <si>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</si>
  <si>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</si>
  <si>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</si>
  <si>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</si>
  <si>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</si>
  <si>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</si>
  <si>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</si>
  <si>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</si>
  <si>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</si>
  <si>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</si>
  <si>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</si>
  <si>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</si>
  <si>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</si>
  <si>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</si>
  <si>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</si>
  <si>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</si>
  <si>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</si>
  <si>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</si>
  <si>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</si>
  <si>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</si>
  <si>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</si>
  <si>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</si>
  <si>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</si>
  <si>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</si>
  <si>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</si>
  <si>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</si>
  <si>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</si>
  <si>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</si>
  <si>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</si>
  <si>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</si>
  <si>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</si>
  <si>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</si>
  <si>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</si>
  <si>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</si>
  <si>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</si>
  <si>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</si>
  <si>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</si>
  <si>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</si>
  <si>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</si>
  <si>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</si>
  <si>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</si>
  <si>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</si>
  <si>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</si>
  <si>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</si>
  <si>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</si>
  <si>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</si>
  <si>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</si>
  <si>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</si>
  <si>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</si>
  <si>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</si>
  <si>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</si>
  <si>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</si>
  <si>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</si>
  <si>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</si>
  <si>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</si>
  <si>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</si>
  <si>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</si>
  <si>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</si>
  <si>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</si>
  <si>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</si>
  <si>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</si>
  <si>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</si>
  <si>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</si>
  <si>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</si>
  <si>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</si>
  <si>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</si>
  <si>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</si>
  <si>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</si>
  <si>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</si>
  <si>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</si>
  <si>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</si>
  <si>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</si>
  <si>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</si>
  <si>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</si>
  <si>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</si>
  <si>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</si>
  <si>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</si>
  <si>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</si>
  <si>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</si>
  <si>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</si>
  <si>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</si>
  <si>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</si>
  <si>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</si>
  <si>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</si>
  <si>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</si>
  <si>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</si>
  <si>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</si>
  <si>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</si>
  <si>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</si>
  <si>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</si>
  <si>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</si>
  <si>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</si>
  <si>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</si>
  <si>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</si>
  <si>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</si>
  <si>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</si>
  <si>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</si>
  <si>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</si>
  <si>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</si>
  <si>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</si>
  <si>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</si>
  <si>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</si>
  <si>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</si>
  <si>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</si>
  <si>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</si>
  <si>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</si>
  <si>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</si>
  <si>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</si>
  <si>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</si>
  <si>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</si>
  <si>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</si>
  <si>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</si>
  <si>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</si>
  <si>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</si>
  <si>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</si>
  <si>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</si>
  <si>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</si>
  <si>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</si>
  <si>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</si>
  <si>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</si>
  <si>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</si>
  <si>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</si>
  <si>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</si>
  <si>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</si>
  <si>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</si>
  <si>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</si>
  <si>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</si>
  <si>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</si>
  <si>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</si>
  <si>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</si>
  <si>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</si>
  <si>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</si>
  <si>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</si>
  <si>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</si>
  <si>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</si>
  <si>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</si>
  <si>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</si>
  <si>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</si>
  <si>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</si>
  <si>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</si>
  <si>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</si>
  <si>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</si>
  <si>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</si>
  <si>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</si>
  <si>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</si>
  <si>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</si>
  <si>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</si>
  <si>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</si>
  <si>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</si>
  <si>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</si>
  <si>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</si>
  <si>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</si>
  <si>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</si>
  <si>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</si>
  <si>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</si>
  <si>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</si>
  <si>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</si>
  <si>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</si>
  <si>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</si>
  <si>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</si>
  <si>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</si>
  <si>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</si>
  <si>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</si>
  <si>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</si>
  <si>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</si>
  <si>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</si>
  <si>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</si>
  <si>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</si>
  <si>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Eredeti
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</si>
  <si>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</si>
  <si>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</si>
  <si>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</si>
  <si>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</si>
  <si>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</si>
  <si>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</si>
  <si>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</si>
  <si>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</si>
  <si>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</si>
  <si>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</si>
  <si>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</si>
  <si>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</si>
  <si>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</si>
  <si>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</si>
  <si>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</si>
  <si>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</si>
  <si>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</si>
  <si>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</si>
  <si>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</si>
  <si>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</si>
  <si>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</si>
  <si>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</si>
  <si>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</si>
  <si>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</si>
  <si>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</si>
  <si>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</si>
  <si>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</si>
  <si>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</si>
  <si>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</si>
  <si>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</si>
  <si>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</si>
  <si>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</si>
  <si>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</si>
  <si>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</si>
  <si>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</si>
  <si>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</si>
  <si>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</si>
  <si>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</si>
  <si>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</si>
  <si>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</si>
  <si>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</si>
  <si>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</si>
  <si>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</si>
  <si>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</si>
  <si>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</si>
  <si>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</si>
  <si>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</si>
  <si>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</si>
  <si>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</si>
  <si>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</si>
  <si>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</si>
  <si>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</si>
  <si>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</si>
  <si>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</si>
  <si>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</si>
  <si>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</si>
  <si>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</si>
  <si>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</si>
  <si>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</si>
  <si>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</si>
  <si>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</si>
  <si>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</si>
  <si>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</si>
  <si>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</si>
  <si>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</si>
  <si>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</si>
  <si>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</si>
  <si>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</si>
  <si>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</si>
  <si>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</si>
  <si>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</si>
  <si>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</si>
  <si>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</si>
  <si>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</si>
  <si>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</si>
  <si>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</si>
  <si>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</si>
  <si>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</si>
  <si>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</si>
  <si>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</si>
  <si>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</si>
  <si>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</si>
  <si>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</si>
  <si>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</si>
  <si>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</si>
  <si>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</si>
  <si>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</si>
  <si>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</si>
  <si>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</si>
  <si>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</si>
  <si>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B61</t>
  </si>
  <si>
    <t>B62</t>
  </si>
  <si>
    <t>Egyéb működési célú átvett pénzeszközök</t>
  </si>
  <si>
    <t>B63</t>
  </si>
  <si>
    <t>B6</t>
  </si>
  <si>
    <t>B71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</si>
  <si>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</si>
  <si>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</si>
  <si>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</si>
  <si>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</si>
  <si>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</si>
  <si>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</si>
  <si>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</si>
  <si>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</si>
  <si>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</si>
  <si>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</si>
  <si>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</si>
  <si>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</si>
  <si>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</si>
  <si>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</si>
  <si>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</si>
  <si>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</si>
  <si>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</si>
  <si>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</si>
  <si>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</si>
  <si>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</si>
  <si>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</si>
  <si>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</si>
  <si>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</si>
  <si>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</si>
  <si>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</si>
  <si>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</si>
  <si>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</si>
  <si>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</si>
  <si>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</si>
  <si>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</si>
  <si>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</si>
  <si>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</si>
  <si>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</si>
  <si>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</si>
  <si>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</si>
  <si>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</si>
  <si>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</si>
  <si>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</si>
  <si>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</si>
  <si>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</si>
  <si>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</si>
  <si>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</si>
  <si>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</si>
  <si>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K9111</t>
  </si>
  <si>
    <t>Likviditási célú hitelek, kölcsönök törlesztése pénzügyi vállalkozásnak</t>
  </si>
  <si>
    <t>K9112</t>
  </si>
  <si>
    <t>K9113</t>
  </si>
  <si>
    <t>K911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</si>
  <si>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</si>
  <si>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</si>
  <si>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</si>
  <si>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</si>
  <si>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</si>
  <si>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</si>
  <si>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</si>
  <si>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</si>
  <si>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</si>
  <si>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</si>
  <si>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</si>
  <si>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</si>
  <si>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</si>
  <si>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</si>
  <si>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</si>
  <si>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</si>
  <si>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</si>
  <si>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</si>
  <si>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</si>
  <si>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</si>
  <si>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</si>
  <si>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</si>
  <si>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</si>
  <si>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</si>
  <si>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</si>
  <si>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</si>
  <si>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</si>
  <si>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</si>
  <si>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</si>
  <si>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K9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</si>
  <si>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</si>
  <si>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</si>
  <si>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</si>
  <si>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</si>
  <si>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</si>
  <si>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Működési célú visszatérítendő támogatások, kölcsönök nyújtása áht. kívülre</t>
  </si>
  <si>
    <t>Működési célú garancia- és kezességvállalásból származó kifizetés áht. kívülre</t>
  </si>
  <si>
    <t>Működési célú visszatérítendő támogatások, kölcsönök törlesztése áht. belülre</t>
  </si>
  <si>
    <t>Működési célú visszatérítendő támogatások, kölcsönök nyújtása áht. belülre</t>
  </si>
  <si>
    <t>Működési célú garancia- és kezességvállalásból származó kifizetés áht. belülre</t>
  </si>
  <si>
    <t>Munkavégzésre irányuló egyéb jogviszonyban nem saját foglalk.fizetett juttatások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</si>
  <si>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</si>
  <si>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</si>
  <si>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</si>
  <si>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</si>
  <si>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</si>
  <si>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</si>
  <si>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Működési célú garancia- és kezességv. származó megtérülések áht. kívülről</t>
  </si>
  <si>
    <t>Működési célú visszatérítendő támogatások, kölcsönök visszatérülése áht. kívülről</t>
  </si>
  <si>
    <t>Felhalmozási célú garancia- és kezességv. származó megtérülések áht. kívülről</t>
  </si>
  <si>
    <t>Felhalmozási célú visszatérítendő támog., kölcsönök visszatérülése áht. kívülről</t>
  </si>
  <si>
    <t>Módosított
előirányzat</t>
  </si>
  <si>
    <t>Teljesítés</t>
  </si>
  <si>
    <t>Telj. %</t>
  </si>
  <si>
    <t>5.</t>
  </si>
  <si>
    <t>Ssz.</t>
  </si>
  <si>
    <t>Rov.</t>
  </si>
  <si>
    <t>Őcsény Község Önkormányzata</t>
  </si>
  <si>
    <t>Bevétel</t>
  </si>
  <si>
    <t>Kiadás</t>
  </si>
  <si>
    <t>(önkormányzati szinten összevont működési célú bevételek és kiadások mérlege)</t>
  </si>
  <si>
    <t>Közhatalmi bevételek</t>
  </si>
  <si>
    <t>Működési bevételek</t>
  </si>
  <si>
    <t>Működési célú átvett pénzeszközök</t>
  </si>
  <si>
    <t>Műk. c. támogatások államháztartáson belülről</t>
  </si>
  <si>
    <t>Finanszírozási bevételek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</si>
  <si>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</si>
  <si>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</si>
  <si>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</si>
  <si>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</si>
  <si>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</si>
  <si>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Munkaa. terhelő járulékok és szociális hozz.adó</t>
  </si>
  <si>
    <t>Költségvetési hiány</t>
  </si>
  <si>
    <t>Költségvetési többlet</t>
  </si>
  <si>
    <t>(önkormányzati szinten összevont felhalmozási célú bevételek és kiadások mérlege)</t>
  </si>
  <si>
    <t>Felh. c. támogatások államháztartáson belülről</t>
  </si>
  <si>
    <t>Felhalmozási bevételek</t>
  </si>
  <si>
    <t>Felhalmozási célú átvett pénzeszközök</t>
  </si>
  <si>
    <t>Beruházások</t>
  </si>
  <si>
    <t>Felújítások</t>
  </si>
  <si>
    <t>Egyéb felhalmozási célú kiadások</t>
  </si>
  <si>
    <t>Eredeti</t>
  </si>
  <si>
    <t>Módosított</t>
  </si>
  <si>
    <t>Előirányzat</t>
  </si>
  <si>
    <t>ktgv.évben esedékes</t>
  </si>
  <si>
    <t>ktgv. évet követően esedékes</t>
  </si>
  <si>
    <t>ktgv.évet köv. esed. végleges</t>
  </si>
  <si>
    <t>ktgv. évben esedékes végleges</t>
  </si>
  <si>
    <t>(intézményi szintű bevételek és kiadások)</t>
  </si>
  <si>
    <t>Őcsény Község Önkormányzata (733348)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</si>
  <si>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</si>
  <si>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</si>
  <si>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</si>
  <si>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</si>
  <si>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Óvodapedagógusok, és az óvodap. nevelő munk. közv. s. bértámogatása</t>
  </si>
  <si>
    <t>ebből Óvodaműködtetési támogatás</t>
  </si>
  <si>
    <t>ebből Szociális étkeztetés</t>
  </si>
  <si>
    <t>ebből Gyermekétkeztetés támogatása</t>
  </si>
  <si>
    <t>ebből Könyvtári, közmûvelõdési és múzeumi feladatok támogatása</t>
  </si>
  <si>
    <t>ebből Magánszemélyek kommunális adója</t>
  </si>
  <si>
    <t>ebből Iparűzési adó</t>
  </si>
  <si>
    <t>ebből Talajterhelési díj</t>
  </si>
  <si>
    <t>ebből Óvodai intézményi étkkeztetésből származó bevétel</t>
  </si>
  <si>
    <t>ebből Iskolai intézményi étkeztetésből származó bevétel</t>
  </si>
  <si>
    <t>ebből Lakossági közműfejlesztés támogatása</t>
  </si>
  <si>
    <t>ebből Lakossági közműfejlesztésből eredő bevétel</t>
  </si>
  <si>
    <t>ebből Élelmiszer-beszerzés</t>
  </si>
  <si>
    <t>ebből Nyomtatvány- és irodaszer-beszerzés</t>
  </si>
  <si>
    <t>ebből Üzemanyag-beszerzés</t>
  </si>
  <si>
    <t>ebből Gázenergia-szolgáltatás díja</t>
  </si>
  <si>
    <t>ebből Villamosenergia-szolgáltatás díja</t>
  </si>
  <si>
    <t>ebből Víz- és csatornadíjak</t>
  </si>
  <si>
    <t>ebből Óvodának juttatott intézményfinanszírozás</t>
  </si>
  <si>
    <t>ebből Közös hivatalnak juttatott intézményfinanszírozás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</si>
  <si>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</si>
  <si>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</si>
  <si>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</si>
  <si>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</si>
  <si>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</si>
  <si>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</si>
  <si>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</si>
  <si>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</si>
  <si>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</si>
  <si>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</si>
  <si>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</si>
  <si>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</si>
  <si>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</si>
  <si>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</si>
  <si>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Őcsényi Közös Önkormányzati Hivatal (802035)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</si>
  <si>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</si>
  <si>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</si>
  <si>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</si>
  <si>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</si>
  <si>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</si>
  <si>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</si>
  <si>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</si>
  <si>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</si>
  <si>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</si>
  <si>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</si>
  <si>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</si>
  <si>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</si>
  <si>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</si>
  <si>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</si>
  <si>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</si>
  <si>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</si>
  <si>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</si>
  <si>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</si>
  <si>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</si>
  <si>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</si>
  <si>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</si>
  <si>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</si>
  <si>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</si>
  <si>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</si>
  <si>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</si>
  <si>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ebből Teleház bevétele</t>
  </si>
  <si>
    <t>ebből Közterülethasználat, temetőhöz kapcsolódó bevételek</t>
  </si>
  <si>
    <t>Megnevezés</t>
  </si>
  <si>
    <t>Költségvetési bevételek (=01+…+05)</t>
  </si>
  <si>
    <t>Bevételek összesen (=06+07)</t>
  </si>
  <si>
    <t>Költségvetési kiadások (=01+…+05)</t>
  </si>
  <si>
    <t>Kiadások összesen (=06+07)</t>
  </si>
  <si>
    <t>Beruházások összesen (=01+…+05)</t>
  </si>
  <si>
    <t>(intézményi szinten tervezett beruházások, felújítások, beruházáshoz kapcsolódó kezességvállalások)</t>
  </si>
  <si>
    <t>Felújítások összesen (=01+…+05)</t>
  </si>
  <si>
    <t>Önkormányzat</t>
  </si>
  <si>
    <t>Összesen</t>
  </si>
  <si>
    <t>6.</t>
  </si>
  <si>
    <t>7.</t>
  </si>
  <si>
    <t>(kiemelt előirányzatok és irányító szervi támogatás intézményi bontásban és összesítve)</t>
  </si>
  <si>
    <t>Közös Hivatal</t>
  </si>
  <si>
    <t>Óvoda</t>
  </si>
  <si>
    <t>Működési célú támogatások államháztartáson belülről</t>
  </si>
  <si>
    <t>Felhalmozási célú támogatások államháztartáson belülről</t>
  </si>
  <si>
    <t>Költségvetési bevételek (01+…+07)</t>
  </si>
  <si>
    <t>Bevételek összesen (=08+09)</t>
  </si>
  <si>
    <t>Adott irányító szervi támogatás</t>
  </si>
  <si>
    <t>Kapott irányító szervi támogatás</t>
  </si>
  <si>
    <t>Költségvetési kiadások (13+…+20)</t>
  </si>
  <si>
    <t>Kiadások összesen (=21+22)</t>
  </si>
  <si>
    <t>Bevételek összesen irányító szervi támogatással (=10+11)</t>
  </si>
  <si>
    <t>Kiadások összesen irányító szervi támogatással (=23+24)</t>
  </si>
  <si>
    <t>8.</t>
  </si>
  <si>
    <t>9.</t>
  </si>
  <si>
    <t>10.</t>
  </si>
  <si>
    <t>11.</t>
  </si>
  <si>
    <t>12.</t>
  </si>
  <si>
    <t>13.</t>
  </si>
  <si>
    <t>(intézményi szinten tervezett beruházások, felújítások)</t>
  </si>
  <si>
    <t>Adatszolgáltatás az elismert tartozásállományról</t>
  </si>
  <si>
    <t>Tartozás állomány megnevezése</t>
  </si>
  <si>
    <t>15-30 nap közötti állomány</t>
  </si>
  <si>
    <t>30-60 nap közötti állomány</t>
  </si>
  <si>
    <t>60 napon túli állomány</t>
  </si>
  <si>
    <t>Állammal szembeni tartozások</t>
  </si>
  <si>
    <t>Központi költségvetéssel szemben fennálló tartozások</t>
  </si>
  <si>
    <t>Elkülönített állami pénzalapokkal szembeni tartozások</t>
  </si>
  <si>
    <t>TB alapokkal szembeni tartozások</t>
  </si>
  <si>
    <t>Tartozásállomány önkormányzatok és intézmények felé</t>
  </si>
  <si>
    <t>Egyéb tartozásállomány</t>
  </si>
  <si>
    <t>Összesen:</t>
  </si>
  <si>
    <t>Költségvetési szerv neve: ……………………………………………..</t>
  </si>
  <si>
    <t>Költségvetési szerv számlaszáma: ………………………………..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</si>
  <si>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</si>
  <si>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</si>
  <si>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</si>
  <si>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</si>
  <si>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</si>
  <si>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</si>
  <si>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</si>
  <si>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Az önkormányzat által nyújtott hitel és kölcsön 
alakulása lejárat és eszköz szerinti bontásban</t>
  </si>
  <si>
    <t>Bevételi jogcím</t>
  </si>
  <si>
    <t>Kedvezmény nélkül elérhető bevétel</t>
  </si>
  <si>
    <t>Fogorvos bérleti díja</t>
  </si>
  <si>
    <t>Az önkormányzat által adott közvetett támogatás</t>
  </si>
  <si>
    <t>Átlaglétszám</t>
  </si>
  <si>
    <t>Őcsényi Közös Önkormányzati Hivatal</t>
  </si>
  <si>
    <t>Közfoglalkoztatás</t>
  </si>
  <si>
    <t>Polgármester</t>
  </si>
  <si>
    <t>Hivatalsegéd</t>
  </si>
  <si>
    <t>Művelődésszervező</t>
  </si>
  <si>
    <t>Konyha</t>
  </si>
  <si>
    <t>Takarító</t>
  </si>
  <si>
    <t>Teljes munkaidőben foglalkoztatott</t>
  </si>
  <si>
    <t>Őcsény</t>
  </si>
  <si>
    <t>Várdomb</t>
  </si>
  <si>
    <t>Pörböly</t>
  </si>
  <si>
    <t xml:space="preserve">  </t>
  </si>
  <si>
    <t>Óvónő</t>
  </si>
  <si>
    <t>Dajka</t>
  </si>
  <si>
    <t>Pedagógiai asszisztens</t>
  </si>
  <si>
    <t>(önkormányzati szinten összevont létszámadatok)</t>
  </si>
  <si>
    <t>Őcsény Község Önkormányzata összevont engedélyezett létszámkerete</t>
  </si>
  <si>
    <t>(intézményi szintű létszámadatok)</t>
  </si>
  <si>
    <t>Őcsény Község Önkormányzata engedélyezett létszámkerete</t>
  </si>
  <si>
    <t>Őcsény Község Önkormányzata közfoglalkoztatási engedélyezett létszámkerete</t>
  </si>
  <si>
    <t>Őcsényi Közös Önkormányzati Hivatal engedélyezett létszámkerete</t>
  </si>
  <si>
    <t>Kiadások összesen (=01+…+03)</t>
  </si>
  <si>
    <t>Bevételek összesen (=01+…+03)</t>
  </si>
  <si>
    <t>Állami (államigazgatási) feladatok kiadásai</t>
  </si>
  <si>
    <t>Állami (államigazgatási) feladatok bevételei</t>
  </si>
  <si>
    <t>Önként vállalt feladatok kiadásai</t>
  </si>
  <si>
    <t>Önként vállalt feladatok bevételei</t>
  </si>
  <si>
    <t>Kötelező feladatok kiadásai</t>
  </si>
  <si>
    <t>Kötelező feladatok bevételei</t>
  </si>
  <si>
    <t>Megnevezése</t>
  </si>
  <si>
    <t>(önkormányzati szintű bevételek és kiadások kötelező feladatok, önként vállalt feladatok, állami (államigazgatási) feladatok szerinti bontásban)</t>
  </si>
  <si>
    <t>Halmozott finanszírozás</t>
  </si>
  <si>
    <t>Finanszírozási hiány / többlet</t>
  </si>
  <si>
    <t>Kiadások összesen (=19+20)</t>
  </si>
  <si>
    <t>Költségvetési kiadások (=11+…+18)</t>
  </si>
  <si>
    <t>Költségvetési bevételek (=01+…+07)</t>
  </si>
  <si>
    <t>18.</t>
  </si>
  <si>
    <t>17.</t>
  </si>
  <si>
    <t>16.</t>
  </si>
  <si>
    <t>15.</t>
  </si>
  <si>
    <t>14.</t>
  </si>
  <si>
    <t>dec.</t>
  </si>
  <si>
    <t>nov.</t>
  </si>
  <si>
    <t>okt.</t>
  </si>
  <si>
    <t>szep.</t>
  </si>
  <si>
    <t>aug.</t>
  </si>
  <si>
    <t>júl.</t>
  </si>
  <si>
    <t>jún.</t>
  </si>
  <si>
    <t>máj.</t>
  </si>
  <si>
    <t>ápr.</t>
  </si>
  <si>
    <t>márc.</t>
  </si>
  <si>
    <t>febr.</t>
  </si>
  <si>
    <t>jan.</t>
  </si>
  <si>
    <t>Diff.</t>
  </si>
  <si>
    <t>össz.</t>
  </si>
  <si>
    <t>EI.</t>
  </si>
  <si>
    <t>(finanszírozási ütemterv és likviditási terv)</t>
  </si>
  <si>
    <t>(intézményi szintű bevételek és kiadások kötelező feladatok, önként vállalt feladatok, állami (államigazgatási) feladatok szerinti bontásban)</t>
  </si>
  <si>
    <t>Forintban</t>
  </si>
  <si>
    <t xml:space="preserve"> -----</t>
  </si>
  <si>
    <t>Követelés ill. Kötelezettségvállalás, mfk.</t>
  </si>
  <si>
    <t>----</t>
  </si>
  <si>
    <t>(önkormányzati szinten összevont - konszolidált - bevételek és kiadások)</t>
  </si>
  <si>
    <t>ebből Lakott külterülettel kapcsolatos feladatok támogatása</t>
  </si>
  <si>
    <t>ebből A települési önkormányzatok szociális feladatainak egyéb támogatása</t>
  </si>
  <si>
    <t>Működési célú költségvetési támogatások és kiegészítő támogatások</t>
  </si>
  <si>
    <t>Elszámolásból származó bevételek</t>
  </si>
  <si>
    <t>ebből Szociális ágazati pótlék</t>
  </si>
  <si>
    <t>B411</t>
  </si>
  <si>
    <t>Biztosító által fizetett kártérítés</t>
  </si>
  <si>
    <t>Működési bevételek (=34+…+44)</t>
  </si>
  <si>
    <t>Felhalmozási bevételek (=46+…+50)</t>
  </si>
  <si>
    <t xml:space="preserve">Működési célú visszat. tám., kölcsönök visszatérülése az Európai Uniótól </t>
  </si>
  <si>
    <t>B64</t>
  </si>
  <si>
    <t>B65</t>
  </si>
  <si>
    <t>Működési célú visszat. tám., kölcsönök visszat. korm. és más nemzetközi sz.</t>
  </si>
  <si>
    <t>B74</t>
  </si>
  <si>
    <t>B75</t>
  </si>
  <si>
    <t xml:space="preserve">Felhalmozási célú visszat. tám., kölcsönök visszatérülése az Európai Uniótól </t>
  </si>
  <si>
    <t>Felhalmozási célú visszat. tám., kölcsönök visszat. korm. és más nemzetközi sz.</t>
  </si>
  <si>
    <t>Működési célú átvett pénzeszközök (=52+…+56)</t>
  </si>
  <si>
    <t>Felhalmozási célú átvett pénzeszközök (=58+…+62)</t>
  </si>
  <si>
    <t>Költségvetési bevételek (=13+19+33+45+51+57+63)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</si>
  <si>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</si>
  <si>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</si>
  <si>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</si>
  <si>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 túli lejáratú belföldi értékpapírok kibocsátása</t>
  </si>
  <si>
    <t>Hitel-, kölcsönfelvétel pénzügyi vállalkozástól (=65+66+67)</t>
  </si>
  <si>
    <t>Belföldi értékpapírok bevételei (=69+..+72)</t>
  </si>
  <si>
    <t>Lekötött bankbetétek megszüntetése</t>
  </si>
  <si>
    <t>Maradvány igénybevétele (=74+75)</t>
  </si>
  <si>
    <t>B819</t>
  </si>
  <si>
    <t>B8191</t>
  </si>
  <si>
    <t>B8192</t>
  </si>
  <si>
    <t>Hosszú lejáratú tulajdonosi kölcsönök bevételei</t>
  </si>
  <si>
    <t>Rövid lejáratú tulajdonosi kölcsönök bevételei</t>
  </si>
  <si>
    <t>Belföldi finanszírozás bevételei (=68+73+76+…+81+84)</t>
  </si>
  <si>
    <t>Tulajdonosi kölcsönök bevételei (=82+83)</t>
  </si>
  <si>
    <t>Külföldi finanszírozás bevételei (=86+…+90)</t>
  </si>
  <si>
    <t>Hitelek, kölcsönök felvétele külföldi pénzintézetektől</t>
  </si>
  <si>
    <t>Hitelek, kölcsönök felvétele külföldi kormányoktól és nemzetk. szerv.</t>
  </si>
  <si>
    <t>B825</t>
  </si>
  <si>
    <t>Bevételek összesen (=64+94)</t>
  </si>
  <si>
    <t>B84</t>
  </si>
  <si>
    <t>Finanszírozási bevételek (=85+91+92+93)</t>
  </si>
  <si>
    <t>Váltóbevételek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</si>
  <si>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</si>
  <si>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</si>
  <si>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</si>
  <si>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</si>
  <si>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</si>
  <si>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</si>
  <si>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</si>
  <si>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</si>
  <si>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</si>
  <si>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</si>
  <si>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</si>
  <si>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</si>
  <si>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</si>
  <si>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</si>
  <si>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</si>
  <si>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</si>
  <si>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</si>
  <si>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</si>
  <si>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</si>
  <si>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</si>
  <si>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</si>
  <si>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</si>
  <si>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</si>
  <si>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</si>
  <si>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</si>
  <si>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</si>
  <si>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K5021</t>
  </si>
  <si>
    <t>Helyi önkormányzatok előző évi elszámolásából származó kiadások</t>
  </si>
  <si>
    <t>Helyi önkormányzatok törvényi előíráson alapuló befizetései</t>
  </si>
  <si>
    <t>K5022</t>
  </si>
  <si>
    <t>Egyéb elvonások és befizetések</t>
  </si>
  <si>
    <t>K5023</t>
  </si>
  <si>
    <t>Működési célú támogatások Európai Uniónak</t>
  </si>
  <si>
    <t>K513</t>
  </si>
  <si>
    <t>Felhalmozási célú támogatások az Európai Uniónak</t>
  </si>
  <si>
    <t>K89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</si>
  <si>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</si>
  <si>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</si>
  <si>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</si>
  <si>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</si>
  <si>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Belföldi kötvények beváltása</t>
  </si>
  <si>
    <t>K9125</t>
  </si>
  <si>
    <t>Pénzeszközök lekötött bankbetétként elhelyezése</t>
  </si>
  <si>
    <t>K919</t>
  </si>
  <si>
    <t>Rövid lejáratú tulajdonosi kölcsönök kiadásai</t>
  </si>
  <si>
    <t>Hosszú lejáratú tulajdonosi kölcsönök kiadásai</t>
  </si>
  <si>
    <t>K9191</t>
  </si>
  <si>
    <t>K9192</t>
  </si>
  <si>
    <t>Hitelek, kölcsönök törlesztése külföldi pénzintézeteknek</t>
  </si>
  <si>
    <t>K925</t>
  </si>
  <si>
    <t>Hitelek, kölcsönök törlesztése külföldi kormányoknak és nemz. szerv.</t>
  </si>
  <si>
    <t>Váltókiadások</t>
  </si>
  <si>
    <t>K94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</si>
  <si>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</si>
  <si>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</si>
  <si>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</si>
  <si>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</si>
  <si>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</si>
  <si>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</si>
  <si>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</si>
  <si>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</si>
  <si>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</si>
  <si>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</si>
  <si>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</si>
  <si>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</si>
  <si>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</si>
  <si>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</si>
  <si>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</si>
  <si>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</si>
  <si>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</si>
  <si>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</si>
  <si>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</si>
  <si>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</si>
  <si>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</si>
  <si>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</si>
  <si>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</si>
  <si>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</si>
  <si>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</si>
  <si>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</si>
  <si>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</si>
  <si>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</si>
  <si>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</si>
  <si>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</si>
  <si>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</si>
  <si>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</si>
  <si>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</si>
  <si>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</si>
  <si>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</si>
  <si>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</si>
  <si>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</si>
  <si>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</si>
  <si>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</si>
  <si>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</si>
  <si>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</si>
  <si>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</si>
  <si>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</si>
  <si>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</si>
  <si>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</si>
  <si>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</si>
  <si>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</si>
  <si>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</si>
  <si>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</si>
  <si>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</si>
  <si>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</si>
  <si>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</si>
  <si>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</si>
  <si>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</si>
  <si>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</si>
  <si>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</si>
  <si>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</si>
  <si>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</si>
  <si>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</si>
  <si>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</si>
  <si>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</si>
  <si>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</si>
  <si>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</si>
  <si>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</si>
  <si>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</si>
  <si>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</si>
  <si>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</si>
  <si>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</si>
  <si>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</si>
  <si>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</si>
  <si>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Beruházások (=166+…+172)</t>
  </si>
  <si>
    <t>Felújítások (=174+...+177)</t>
  </si>
  <si>
    <t>Egyéb felhalmozási célú kiadások (=179+…+187)</t>
  </si>
  <si>
    <t>Költségvetési kiadások (=114+115+140+149+165+173+178+188)</t>
  </si>
  <si>
    <t>Hitel-, kölcsöntörlesztés államháztartáson kívülre (=190+191+192)</t>
  </si>
  <si>
    <t>Belföldi értékpapírok kiadásai (=194+…+198)</t>
  </si>
  <si>
    <t>Tulajdonosi kölcsönök kiadásain (=206+207)</t>
  </si>
  <si>
    <t>Belföldi finanszírozás kiadásai (=193+199+…+205+208)</t>
  </si>
  <si>
    <t>Külföldi finanszírozás kiadásai (=210+…+214)</t>
  </si>
  <si>
    <t>Finanszírozási kiadások (=209+215+216+217)</t>
  </si>
  <si>
    <t>Kiadások összesen (=189+218)</t>
  </si>
  <si>
    <t>Forgatási célú külföldi értékpapírok beváltása, értékesítése</t>
  </si>
  <si>
    <t>Foglalkoztatottak személyi juttatásai (=96+…+108)</t>
  </si>
  <si>
    <t>Külső személyi juttatások (=110+111+112)</t>
  </si>
  <si>
    <t>Személyi juttatások (=109+113)</t>
  </si>
  <si>
    <t>Készletbeszerzés (=116+117+118)</t>
  </si>
  <si>
    <t>Kommunikációs szolgáltatások (=120+121)</t>
  </si>
  <si>
    <t>Szolgáltatási kiadások (=123+…+129)</t>
  </si>
  <si>
    <t>Kiküldetések, reklám- és propagandakiadások (=131+132)</t>
  </si>
  <si>
    <t>Különféle befizetések és egyéb dologi kiadások (=134+…+138)</t>
  </si>
  <si>
    <t>Dologi kiadások (=119+122+130+133+139)</t>
  </si>
  <si>
    <t>Ellátottak pénzbeli juttatásai (=141+...+148)</t>
  </si>
  <si>
    <t>Egyéb működési célú kiadások (=150+…+164)</t>
  </si>
  <si>
    <t>-----</t>
  </si>
  <si>
    <t>Eredeti EI</t>
  </si>
  <si>
    <t>Mód. EI.</t>
  </si>
  <si>
    <t>Eredeti előirányzat</t>
  </si>
  <si>
    <t>Lakásfenntartási tám. részesülők talajterh.kedvezm.</t>
  </si>
  <si>
    <t>70 évnél idősebbek talajterhelési díj kedvezménye</t>
  </si>
  <si>
    <t>70 évnél idősebbek kommunális adó kedvezménye</t>
  </si>
  <si>
    <t>Eredeti
ŐCSÉNY</t>
  </si>
  <si>
    <t>Eredeti
VÁRDOMB-PÖRBÖLY</t>
  </si>
  <si>
    <t>Céltartalék részletezése</t>
  </si>
  <si>
    <t>Összeg</t>
  </si>
  <si>
    <t>Megvalósítandó cél</t>
  </si>
  <si>
    <t>ebből Bölcsődei ellátás</t>
  </si>
  <si>
    <t>ebből Szünidei étkeztetés</t>
  </si>
  <si>
    <t>ebből Bérleti díj bevételek (TAM)</t>
  </si>
  <si>
    <t>ebből Bölcsődei intézményi étkkeztetésből származó bevétel</t>
  </si>
  <si>
    <t>ebből Szociális étkeztetésből származó bevétel</t>
  </si>
  <si>
    <t>ebből Munkaruha-védőruha</t>
  </si>
  <si>
    <t>ebből Tisztítószer-beszerzés</t>
  </si>
  <si>
    <t>ebből Egyéb üzemeltetési anyag</t>
  </si>
  <si>
    <t>Tulajdonosi kölcsönök kiadásai (=206+207)</t>
  </si>
  <si>
    <t>ebből Konyhának juttatott intézményfinanszírozás</t>
  </si>
  <si>
    <t>Őcsényi Konyha (835606)</t>
  </si>
  <si>
    <t>Irodai kisegítő</t>
  </si>
  <si>
    <t>Asszisztens</t>
  </si>
  <si>
    <t>Karbantartó</t>
  </si>
  <si>
    <t>Segédmunkás</t>
  </si>
  <si>
    <t>Őcsényi Konyha</t>
  </si>
  <si>
    <t>Őcsényi Tarkabarka Óvoda és Családi Bölcsőde (798033)</t>
  </si>
  <si>
    <t>Őcsényi Tarkabarka Óvoda és CSB engedélyezett létszámkerete</t>
  </si>
  <si>
    <t>Élelmezésvezető</t>
  </si>
  <si>
    <t>Szakács</t>
  </si>
  <si>
    <t>Konyhalány</t>
  </si>
  <si>
    <t>Családi bölcsőde</t>
  </si>
  <si>
    <t>Őcsényi Tarkabarka Óvoda és Családi B.</t>
  </si>
  <si>
    <t>Őcsényi Tarkabarka Óvoda és Családi Bölcsőde</t>
  </si>
  <si>
    <t>ebből Polgármesteri illetmény támogatása</t>
  </si>
  <si>
    <t>ebből Bérleti díj bevételek és egyéb</t>
  </si>
  <si>
    <t>ebből Vendég étkezés és ebédszállítás bevétele</t>
  </si>
  <si>
    <t>ebből Pótlék és bírság</t>
  </si>
  <si>
    <t>Könyvtáros és könyvtári dolgozó</t>
  </si>
  <si>
    <t>Eredeti
SIÓAGÁRD</t>
  </si>
  <si>
    <t>Pályázatokhoz kapcsolódó beruházások</t>
  </si>
  <si>
    <t>Pályázatokhoz kapcsolódó felújítások</t>
  </si>
  <si>
    <t>2020. jan. 1.</t>
  </si>
  <si>
    <t>2020. dec. 31.</t>
  </si>
  <si>
    <t>Sióagárd</t>
  </si>
  <si>
    <t>Pályázat megnevezése</t>
  </si>
  <si>
    <t>Pályázat kódszáma</t>
  </si>
  <si>
    <t>Projekt állása</t>
  </si>
  <si>
    <t>Tervezett összes költség</t>
  </si>
  <si>
    <t>Támogatás összege</t>
  </si>
  <si>
    <t>Szükséges Önerő 2020</t>
  </si>
  <si>
    <t>Projekt fizikai  befejezésének tervezett időpontja</t>
  </si>
  <si>
    <t>Helyi termékértékesítést szolgáló piacok infrastrukturális fejlesztése, közétkeztetés fejlesztése</t>
  </si>
  <si>
    <t>VP6-7.2.1-7.4.1.3-17</t>
  </si>
  <si>
    <t>megnyert/ vége 2020 nyár</t>
  </si>
  <si>
    <t>Polgármesteri Hivatal épületének energetikai korszerűsítése</t>
  </si>
  <si>
    <t>TOP-3.2.1-16-TL1-2018-00004</t>
  </si>
  <si>
    <t>megnyert/vége 2020 nyár</t>
  </si>
  <si>
    <t>"Sárköz belvízrendezése-Őcsény I.ütem" Őcsény Árpád sor csapadékvíz elvezetése</t>
  </si>
  <si>
    <t>TOP-2.1.3-16-TL1-2019-00002</t>
  </si>
  <si>
    <t>Közművelődési érdekeltségnövelő támogatás -Közösségi Tér fejlesztése</t>
  </si>
  <si>
    <t>megnyert</t>
  </si>
  <si>
    <t>NKA Közgyűjtemények Kollégiuma-Őcsényi Könyvtári Információs Közösségi Hely Eszközbeszerzése</t>
  </si>
  <si>
    <t>Magyar Falu Program-Kistelepülések járda építésének felújításának anyagtámogatása</t>
  </si>
  <si>
    <t>MFP-BJA/2019</t>
  </si>
  <si>
    <t>Magyar Falu Program-Falu-és tanyagondnoki szolgálat támogatása</t>
  </si>
  <si>
    <t>MFP-TFB/2019</t>
  </si>
  <si>
    <t>Teleki László Alapítvány Nép Építészeti Program</t>
  </si>
  <si>
    <t>TLA/NEPI2019/100254</t>
  </si>
  <si>
    <t xml:space="preserve">Innovációs és Technológiai  Minisztérium </t>
  </si>
  <si>
    <t>2020-2021 év</t>
  </si>
  <si>
    <t>Innovációs és Hálózati Projektek Végrehajtó Ügynökség (INEA) WIFI4EU</t>
  </si>
  <si>
    <t>A tervezés során figyelembe vett projektek</t>
  </si>
  <si>
    <t>Korábbi TOP pályázat kiegészítő munkái (szerződés szerint)</t>
  </si>
  <si>
    <t>ebből Tanyagondnoki szolgáltatás</t>
  </si>
  <si>
    <t xml:space="preserve">Laptopvásárlás </t>
  </si>
  <si>
    <t>Ingatlanvásárlás</t>
  </si>
  <si>
    <t xml:space="preserve">Porszívó </t>
  </si>
  <si>
    <t>Beruházások összesen 
(=01+…+05)</t>
  </si>
  <si>
    <t>Hűtőszekrény</t>
  </si>
  <si>
    <t>megnyert/ vége 2021 ősz</t>
  </si>
  <si>
    <t>1. melléklet a 11/2020/ (XI.27.) önkormányzati rendelethez</t>
  </si>
  <si>
    <t>2. melléklet a 11/2020/ (XI.27.) önkormányzati rendelethez</t>
  </si>
  <si>
    <t>3. melléklet a 11/2020/ (XI.27.) önkormányzati rendelethez</t>
  </si>
  <si>
    <t>4. melléklet a 11/2020/ (XI.27.) önkormányzati rendelethez</t>
  </si>
  <si>
    <t>5. melléklet a 11/2020/ (XI.27.) önkormányzati rendelethez</t>
  </si>
  <si>
    <t>6. melléklet a 11/2020/ (XI.27.) önkormányzati rendelethez</t>
  </si>
  <si>
    <t>7. melléklet a 11/2020/ (XI.27.) önkormányzati rendelethez</t>
  </si>
  <si>
    <t>8a. melléklet a 11/2020/ (XI.27.) önkormányzati rendelethez</t>
  </si>
  <si>
    <t>8b. melléklet a 11/2020/ (XI.27.) önkormányzati rendelethez</t>
  </si>
  <si>
    <t>9. melléklet a 11/2020/ (XI.27.) önkormányzati rendelethez</t>
  </si>
  <si>
    <t>10. melléklet a 11/2020/ (XI.27.) önkormányzati rendelethez</t>
  </si>
  <si>
    <t>11. melléklet a 11/2020/ (XI.27.) önkormányzati rendelethez</t>
  </si>
  <si>
    <t>12. melléklet a 11/2020/ (XI.27.) önkormányzati rendelethez</t>
  </si>
  <si>
    <t>13. melléklet a 11/2020/ (XI.27.) önkormányzati rendelethez</t>
  </si>
  <si>
    <t>14. melléklet a 11/2020/ (XI.27.) önkormányzati rendelethez</t>
  </si>
  <si>
    <t>15. melléklet a 11/2020/ (XI.27.) önkormányzati rendelethez</t>
  </si>
  <si>
    <t>16. melléklet a 11/2020/ (XI.27.) önkormányzati rendelethez</t>
  </si>
  <si>
    <t>17. melléklet a 11/2020/ (XI.27.) önkormányzati rendelethez</t>
  </si>
  <si>
    <t>18. melléklet a 11/2020/ (XI.27.) önkormányzati rendelethez</t>
  </si>
  <si>
    <t>19. melléklet a 11/2020/ (XI.27.) önkormányzati rendelethez</t>
  </si>
  <si>
    <t>20. melléklet a 11/2020/ (XI.27.)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</si>
</sst>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Ft&quot;;[Red]\-#,##0\ &quot;Ft&quot;"/>
    <numFmt numFmtId="42" formatCode="_-* #,##0\ &quot;Ft&quot;_-;\-* #,##0\ &quot;Ft&quot;_-;_-* &quot;-&quot;\ &quot;Ft&quot;_-;_-@_-"/>
    <numFmt numFmtId="164" formatCode="_-* #,##0\ _F_t_-;\-* #,##0\ _F_t_-;_-* &quot;-&quot;\ _F_t_-;_-@_-"/>
    <numFmt numFmtId="165" formatCode="0__"/>
    <numFmt numFmtId="166" formatCode="00"/>
    <numFmt numFmtId="167" formatCode="\ ##########"/>
    <numFmt numFmtId="168" formatCode="General\ \f\ő"/>
  </numFmts>
  <fonts count="5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charset val="1"/>
    </font>
    <font>
      <sz val="10"/>
      <color rgb="FF00B05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theme="1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4" fillId="0" borderId="0"/>
    <xf numFmtId="0" fontId="23" fillId="0" borderId="0"/>
    <xf numFmtId="0" fontId="1" fillId="0" borderId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6" borderId="0" applyNumberFormat="0" applyBorder="0" applyAlignment="0" applyProtection="0"/>
    <xf numFmtId="0" fontId="36" fillId="10" borderId="0" applyNumberFormat="0" applyBorder="0" applyAlignment="0" applyProtection="0"/>
    <xf numFmtId="0" fontId="37" fillId="27" borderId="11" applyNumberFormat="0" applyAlignment="0" applyProtection="0"/>
    <xf numFmtId="0" fontId="38" fillId="28" borderId="12" applyNumberFormat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11" applyNumberFormat="0" applyAlignment="0" applyProtection="0"/>
    <xf numFmtId="0" fontId="45" fillId="0" borderId="16" applyNumberFormat="0" applyFill="0" applyAlignment="0" applyProtection="0"/>
    <xf numFmtId="0" fontId="46" fillId="29" borderId="0" applyNumberFormat="0" applyBorder="0" applyAlignment="0" applyProtection="0"/>
    <xf numFmtId="0" fontId="47" fillId="0" borderId="0"/>
    <xf numFmtId="0" fontId="34" fillId="30" borderId="17" applyNumberFormat="0" applyFont="0" applyAlignment="0" applyProtection="0"/>
    <xf numFmtId="0" fontId="48" fillId="27" borderId="18" applyNumberFormat="0" applyAlignment="0" applyProtection="0"/>
    <xf numFmtId="0" fontId="49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51" fillId="0" borderId="0" applyNumberFormat="0" applyFill="0" applyBorder="0" applyAlignment="0" applyProtection="0"/>
  </cellStyleXfs>
  <cellXfs count="48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/>
    <xf numFmtId="166" fontId="10" fillId="0" borderId="0" xfId="0" applyNumberFormat="1" applyFont="1" applyFill="1"/>
    <xf numFmtId="0" fontId="9" fillId="6" borderId="4" xfId="0" applyFont="1" applyFill="1" applyBorder="1" applyAlignment="1">
      <alignment horizontal="left" vertical="center" wrapText="1"/>
    </xf>
    <xf numFmtId="0" fontId="12" fillId="0" borderId="0" xfId="0" applyFont="1" applyFill="1"/>
    <xf numFmtId="0" fontId="2" fillId="0" borderId="0" xfId="0" applyFont="1" applyFill="1" applyAlignment="1">
      <alignment vertical="center"/>
    </xf>
    <xf numFmtId="0" fontId="3" fillId="5" borderId="0" xfId="0" applyFont="1" applyFill="1"/>
    <xf numFmtId="0" fontId="3" fillId="6" borderId="0" xfId="0" applyFont="1" applyFill="1"/>
    <xf numFmtId="0" fontId="10" fillId="0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/>
    <xf numFmtId="3" fontId="10" fillId="0" borderId="1" xfId="0" applyNumberFormat="1" applyFont="1" applyFill="1" applyBorder="1" applyAlignment="1" applyProtection="1">
      <alignment horizontal="left" vertical="center" wrapText="1"/>
    </xf>
    <xf numFmtId="3" fontId="8" fillId="3" borderId="1" xfId="0" applyNumberFormat="1" applyFont="1" applyFill="1" applyBorder="1" applyAlignment="1" applyProtection="1">
      <alignment horizontal="left" vertical="center" wrapText="1"/>
    </xf>
    <xf numFmtId="3" fontId="8" fillId="4" borderId="2" xfId="0" applyNumberFormat="1" applyFont="1" applyFill="1" applyBorder="1" applyAlignment="1" applyProtection="1">
      <alignment horizontal="left" vertical="center" wrapText="1"/>
    </xf>
    <xf numFmtId="3" fontId="10" fillId="0" borderId="2" xfId="0" applyNumberFormat="1" applyFont="1" applyFill="1" applyBorder="1" applyAlignment="1" applyProtection="1">
      <alignment horizontal="left" vertical="center" wrapText="1"/>
    </xf>
    <xf numFmtId="0" fontId="2" fillId="5" borderId="0" xfId="0" applyFont="1" applyFill="1"/>
    <xf numFmtId="0" fontId="5" fillId="6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top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0" fontId="4" fillId="0" borderId="0" xfId="0" applyFont="1" applyBorder="1"/>
    <xf numFmtId="0" fontId="5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7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right" vertical="center"/>
    </xf>
    <xf numFmtId="164" fontId="18" fillId="5" borderId="1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0" fillId="0" borderId="0" xfId="0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164" fontId="5" fillId="8" borderId="1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10" fontId="20" fillId="8" borderId="1" xfId="0" applyNumberFormat="1" applyFont="1" applyFill="1" applyBorder="1" applyAlignment="1">
      <alignment horizontal="justify" vertical="center"/>
    </xf>
    <xf numFmtId="10" fontId="17" fillId="8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justify" vertical="center"/>
    </xf>
    <xf numFmtId="168" fontId="0" fillId="0" borderId="1" xfId="0" applyNumberFormat="1" applyFont="1" applyBorder="1" applyAlignment="1">
      <alignment horizontal="center" vertical="center"/>
    </xf>
    <xf numFmtId="168" fontId="0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168" fontId="21" fillId="0" borderId="1" xfId="0" applyNumberFormat="1" applyFont="1" applyBorder="1" applyAlignment="1">
      <alignment horizontal="center" vertical="center"/>
    </xf>
    <xf numFmtId="0" fontId="20" fillId="8" borderId="1" xfId="0" applyFont="1" applyFill="1" applyBorder="1" applyAlignment="1">
      <alignment horizontal="justify" vertical="center"/>
    </xf>
    <xf numFmtId="168" fontId="17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8" fontId="5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4" fillId="5" borderId="1" xfId="0" applyNumberFormat="1" applyFont="1" applyFill="1" applyBorder="1" applyAlignment="1">
      <alignment horizontal="center" vertical="center"/>
    </xf>
    <xf numFmtId="168" fontId="21" fillId="5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justify" vertical="center"/>
    </xf>
    <xf numFmtId="0" fontId="5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5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 applyProtection="1">
      <alignment horizontal="left" vertical="center"/>
    </xf>
    <xf numFmtId="0" fontId="9" fillId="6" borderId="4" xfId="0" applyFont="1" applyFill="1" applyBorder="1" applyAlignment="1" applyProtection="1">
      <alignment horizontal="left" vertical="center" wrapText="1"/>
    </xf>
    <xf numFmtId="164" fontId="16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vertical="center" wrapText="1"/>
    </xf>
    <xf numFmtId="164" fontId="17" fillId="5" borderId="1" xfId="0" applyNumberFormat="1" applyFont="1" applyFill="1" applyBorder="1" applyAlignment="1">
      <alignment horizontal="right" vertical="center"/>
    </xf>
    <xf numFmtId="164" fontId="17" fillId="6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3" fontId="3" fillId="6" borderId="0" xfId="0" applyNumberFormat="1" applyFont="1" applyFill="1" applyBorder="1" applyAlignment="1">
      <alignment vertical="center"/>
    </xf>
    <xf numFmtId="0" fontId="5" fillId="6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9" fontId="3" fillId="0" borderId="0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 wrapText="1"/>
    </xf>
    <xf numFmtId="3" fontId="3" fillId="0" borderId="6" xfId="0" applyNumberFormat="1" applyFont="1" applyFill="1" applyBorder="1" applyAlignment="1" applyProtection="1">
      <alignment horizontal="right" vertical="center"/>
    </xf>
    <xf numFmtId="9" fontId="3" fillId="0" borderId="6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1" fillId="0" borderId="0" xfId="3" applyAlignment="1">
      <alignment vertical="top"/>
    </xf>
    <xf numFmtId="0" fontId="26" fillId="0" borderId="0" xfId="3" applyFont="1" applyAlignment="1">
      <alignment vertical="top"/>
    </xf>
    <xf numFmtId="0" fontId="29" fillId="0" borderId="1" xfId="3" applyFont="1" applyBorder="1" applyAlignment="1">
      <alignment vertical="center" wrapText="1"/>
    </xf>
    <xf numFmtId="42" fontId="29" fillId="0" borderId="1" xfId="3" applyNumberFormat="1" applyFont="1" applyBorder="1" applyAlignment="1">
      <alignment vertical="center" wrapText="1"/>
    </xf>
    <xf numFmtId="14" fontId="29" fillId="0" borderId="1" xfId="3" applyNumberFormat="1" applyFont="1" applyBorder="1" applyAlignment="1">
      <alignment vertical="center" wrapText="1"/>
    </xf>
    <xf numFmtId="0" fontId="29" fillId="0" borderId="1" xfId="3" applyFont="1" applyBorder="1" applyAlignment="1">
      <alignment horizontal="left" vertical="center" wrapText="1"/>
    </xf>
    <xf numFmtId="6" fontId="29" fillId="0" borderId="1" xfId="3" applyNumberFormat="1" applyFont="1" applyBorder="1" applyAlignment="1">
      <alignment vertical="center" wrapText="1"/>
    </xf>
    <xf numFmtId="42" fontId="29" fillId="0" borderId="1" xfId="3" applyNumberFormat="1" applyFont="1" applyBorder="1" applyAlignment="1">
      <alignment vertical="center"/>
    </xf>
    <xf numFmtId="0" fontId="29" fillId="0" borderId="1" xfId="3" applyFont="1" applyBorder="1" applyAlignment="1">
      <alignment vertical="center"/>
    </xf>
    <xf numFmtId="3" fontId="29" fillId="0" borderId="1" xfId="3" applyNumberFormat="1" applyFont="1" applyBorder="1" applyAlignment="1">
      <alignment vertical="center"/>
    </xf>
    <xf numFmtId="42" fontId="29" fillId="0" borderId="1" xfId="3" applyNumberFormat="1" applyFont="1" applyFill="1" applyBorder="1" applyAlignment="1">
      <alignment vertical="center" wrapText="1"/>
    </xf>
    <xf numFmtId="14" fontId="29" fillId="0" borderId="1" xfId="3" applyNumberFormat="1" applyFont="1" applyFill="1" applyBorder="1" applyAlignment="1">
      <alignment vertical="center" wrapText="1"/>
    </xf>
    <xf numFmtId="42" fontId="4" fillId="0" borderId="1" xfId="3" applyNumberFormat="1" applyFont="1" applyFill="1" applyBorder="1" applyAlignment="1">
      <alignment vertical="center" wrapText="1"/>
    </xf>
    <xf numFmtId="166" fontId="11" fillId="0" borderId="0" xfId="0" applyNumberFormat="1" applyFont="1" applyFill="1" applyBorder="1" applyAlignment="1">
      <alignment horizontal="center" vertical="center"/>
    </xf>
    <xf numFmtId="0" fontId="28" fillId="0" borderId="1" xfId="3" applyFont="1" applyBorder="1" applyAlignment="1">
      <alignment horizontal="center" vertical="center" wrapText="1"/>
    </xf>
    <xf numFmtId="0" fontId="29" fillId="0" borderId="1" xfId="3" applyFont="1" applyBorder="1" applyAlignment="1">
      <alignment horizontal="right" vertical="center" wrapText="1"/>
    </xf>
    <xf numFmtId="42" fontId="1" fillId="0" borderId="0" xfId="3" applyNumberFormat="1" applyAlignment="1">
      <alignment vertical="top"/>
    </xf>
    <xf numFmtId="9" fontId="12" fillId="7" borderId="4" xfId="0" quotePrefix="1" applyNumberFormat="1" applyFont="1" applyFill="1" applyBorder="1" applyAlignment="1">
      <alignment horizontal="center" vertical="center"/>
    </xf>
    <xf numFmtId="3" fontId="12" fillId="7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horizontal="lef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3" fontId="3" fillId="5" borderId="4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 wrapText="1"/>
    </xf>
    <xf numFmtId="49" fontId="8" fillId="5" borderId="4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/>
    </xf>
    <xf numFmtId="49" fontId="8" fillId="6" borderId="4" xfId="0" applyNumberFormat="1" applyFont="1" applyFill="1" applyBorder="1" applyAlignment="1" applyProtection="1">
      <alignment horizontal="center" vertical="center"/>
    </xf>
    <xf numFmtId="3" fontId="5" fillId="6" borderId="4" xfId="0" applyNumberFormat="1" applyFont="1" applyFill="1" applyBorder="1" applyAlignment="1" applyProtection="1">
      <alignment horizontal="right" vertical="center"/>
    </xf>
    <xf numFmtId="0" fontId="5" fillId="5" borderId="4" xfId="0" applyFont="1" applyFill="1" applyBorder="1" applyAlignment="1" applyProtection="1">
      <alignment horizontal="left" vertical="center"/>
    </xf>
    <xf numFmtId="0" fontId="8" fillId="5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vertical="center"/>
    </xf>
    <xf numFmtId="167" fontId="10" fillId="0" borderId="4" xfId="0" applyNumberFormat="1" applyFont="1" applyFill="1" applyBorder="1" applyAlignment="1" applyProtection="1">
      <alignment vertical="center"/>
    </xf>
    <xf numFmtId="0" fontId="10" fillId="0" borderId="4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167" fontId="8" fillId="0" borderId="4" xfId="0" applyNumberFormat="1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left" vertical="center" wrapText="1"/>
    </xf>
    <xf numFmtId="49" fontId="10" fillId="0" borderId="4" xfId="0" quotePrefix="1" applyNumberFormat="1" applyFont="1" applyFill="1" applyBorder="1" applyAlignment="1" applyProtection="1">
      <alignment horizontal="center" vertical="center"/>
    </xf>
    <xf numFmtId="49" fontId="8" fillId="0" borderId="4" xfId="0" quotePrefix="1" applyNumberFormat="1" applyFont="1" applyFill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left" vertical="center"/>
    </xf>
    <xf numFmtId="49" fontId="8" fillId="5" borderId="4" xfId="0" quotePrefix="1" applyNumberFormat="1" applyFont="1" applyFill="1" applyBorder="1" applyAlignment="1" applyProtection="1">
      <alignment horizontal="center" vertical="center"/>
    </xf>
    <xf numFmtId="167" fontId="8" fillId="5" borderId="4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3" fontId="22" fillId="6" borderId="1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0" fontId="8" fillId="6" borderId="0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 vertical="center" wrapText="1"/>
    </xf>
    <xf numFmtId="3" fontId="3" fillId="6" borderId="0" xfId="0" applyNumberFormat="1" applyFont="1" applyFill="1" applyBorder="1" applyAlignment="1">
      <alignment horizontal="right" vertical="center"/>
    </xf>
    <xf numFmtId="3" fontId="22" fillId="6" borderId="1" xfId="0" applyNumberFormat="1" applyFont="1" applyFill="1" applyBorder="1" applyAlignment="1">
      <alignment horizontal="right" vertical="center"/>
    </xf>
    <xf numFmtId="9" fontId="3" fillId="6" borderId="0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9" fontId="3" fillId="6" borderId="4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 applyProtection="1">
      <alignment horizontal="right" vertical="center"/>
    </xf>
    <xf numFmtId="9" fontId="3" fillId="5" borderId="4" xfId="0" applyNumberFormat="1" applyFont="1" applyFill="1" applyBorder="1" applyAlignment="1" applyProtection="1">
      <alignment horizontal="center" vertical="center"/>
    </xf>
    <xf numFmtId="3" fontId="6" fillId="0" borderId="4" xfId="0" applyNumberFormat="1" applyFont="1" applyFill="1" applyBorder="1" applyAlignment="1" applyProtection="1">
      <alignment horizontal="right" vertical="center"/>
    </xf>
    <xf numFmtId="9" fontId="2" fillId="0" borderId="4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9" fontId="3" fillId="0" borderId="4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3" fillId="5" borderId="4" xfId="0" applyNumberFormat="1" applyFont="1" applyFill="1" applyBorder="1" applyAlignment="1" applyProtection="1">
      <alignment horizontal="righ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9" fontId="6" fillId="0" borderId="4" xfId="0" applyNumberFormat="1" applyFont="1" applyFill="1" applyBorder="1" applyAlignment="1" applyProtection="1">
      <alignment horizontal="center" vertical="center"/>
    </xf>
    <xf numFmtId="3" fontId="12" fillId="7" borderId="4" xfId="0" applyNumberFormat="1" applyFont="1" applyFill="1" applyBorder="1" applyAlignment="1" applyProtection="1">
      <alignment horizontal="center" vertical="center"/>
    </xf>
    <xf numFmtId="9" fontId="12" fillId="7" borderId="4" xfId="0" quotePrefix="1" applyNumberFormat="1" applyFont="1" applyFill="1" applyBorder="1" applyAlignment="1" applyProtection="1">
      <alignment horizontal="center" vertical="center"/>
    </xf>
    <xf numFmtId="3" fontId="5" fillId="6" borderId="4" xfId="0" applyNumberFormat="1" applyFont="1" applyFill="1" applyBorder="1" applyAlignment="1" applyProtection="1">
      <alignment horizontal="right" vertical="center"/>
    </xf>
    <xf numFmtId="3" fontId="5" fillId="6" borderId="4" xfId="0" applyNumberFormat="1" applyFont="1" applyFill="1" applyBorder="1" applyAlignment="1" applyProtection="1">
      <alignment horizontal="center" vertical="center"/>
    </xf>
    <xf numFmtId="9" fontId="5" fillId="6" borderId="4" xfId="0" applyNumberFormat="1" applyFont="1" applyFill="1" applyBorder="1" applyAlignment="1" applyProtection="1">
      <alignment horizontal="center" vertical="center"/>
    </xf>
    <xf numFmtId="3" fontId="3" fillId="5" borderId="4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3" fillId="0" borderId="4" xfId="0" applyNumberFormat="1" applyFont="1" applyFill="1" applyBorder="1" applyAlignment="1" applyProtection="1">
      <alignment horizontal="center" vertical="center"/>
    </xf>
    <xf numFmtId="3" fontId="2" fillId="7" borderId="4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9" fontId="3" fillId="7" borderId="4" xfId="0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 wrapText="1"/>
    </xf>
    <xf numFmtId="3" fontId="2" fillId="7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9" fontId="3" fillId="4" borderId="4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3" fontId="3" fillId="4" borderId="1" xfId="0" applyNumberFormat="1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 vertical="center"/>
    </xf>
    <xf numFmtId="9" fontId="3" fillId="3" borderId="4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vertical="center" wrapText="1"/>
    </xf>
    <xf numFmtId="3" fontId="3" fillId="3" borderId="4" xfId="0" applyNumberFormat="1" applyFont="1" applyFill="1" applyBorder="1" applyAlignment="1" applyProtection="1">
      <alignment vertical="center" wrapText="1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vertical="center" wrapText="1"/>
    </xf>
    <xf numFmtId="3" fontId="2" fillId="0" borderId="4" xfId="0" applyNumberFormat="1" applyFont="1" applyFill="1" applyBorder="1" applyAlignment="1" applyProtection="1">
      <alignment vertical="center" wrapText="1"/>
    </xf>
    <xf numFmtId="9" fontId="2" fillId="7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" fontId="3" fillId="3" borderId="4" xfId="0" applyNumberFormat="1" applyFont="1" applyFill="1" applyBorder="1" applyAlignment="1" applyProtection="1">
      <alignment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3" fillId="4" borderId="4" xfId="0" applyNumberFormat="1" applyFont="1" applyFill="1" applyBorder="1" applyAlignment="1" applyProtection="1">
      <alignment horizontal="right" vertical="center" wrapText="1"/>
    </xf>
    <xf numFmtId="3" fontId="3" fillId="4" borderId="1" xfId="0" applyNumberFormat="1" applyFont="1" applyFill="1" applyBorder="1" applyAlignment="1" applyProtection="1">
      <alignment horizontal="right" vertical="center" wrapText="1"/>
    </xf>
    <xf numFmtId="3" fontId="3" fillId="3" borderId="1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horizontal="right" vertical="center" wrapText="1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4" xfId="0" applyNumberFormat="1" applyFont="1" applyFill="1" applyBorder="1" applyAlignment="1">
      <alignment vertical="center"/>
    </xf>
    <xf numFmtId="3" fontId="5" fillId="6" borderId="4" xfId="0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3" fontId="3" fillId="6" borderId="0" xfId="0" applyNumberFormat="1" applyFont="1" applyFill="1" applyBorder="1" applyAlignment="1">
      <alignment vertical="center"/>
    </xf>
    <xf numFmtId="49" fontId="8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167" fontId="10" fillId="0" borderId="4" xfId="0" applyNumberFormat="1" applyFont="1" applyFill="1" applyBorder="1" applyAlignment="1">
      <alignment vertical="center"/>
    </xf>
    <xf numFmtId="49" fontId="8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167" fontId="8" fillId="5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49" fontId="10" fillId="0" borderId="4" xfId="0" quotePrefix="1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9" fontId="2" fillId="0" borderId="4" xfId="0" applyNumberFormat="1" applyFont="1" applyFill="1" applyBorder="1" applyAlignment="1">
      <alignment horizontal="center" vertical="center"/>
    </xf>
    <xf numFmtId="49" fontId="8" fillId="0" borderId="4" xfId="0" quotePrefix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49" fontId="15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 applyProtection="1">
      <alignment horizontal="right" vertical="center"/>
      <protection locked="0"/>
    </xf>
    <xf numFmtId="3" fontId="12" fillId="7" borderId="4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9" fontId="6" fillId="0" borderId="4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9" fontId="12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9" fontId="12" fillId="7" borderId="4" xfId="0" quotePrefix="1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>
      <alignment horizontal="left" vertical="center" wrapText="1"/>
    </xf>
    <xf numFmtId="9" fontId="3" fillId="7" borderId="4" xfId="0" applyNumberFormat="1" applyFont="1" applyFill="1" applyBorder="1" applyAlignment="1">
      <alignment horizontal="center" vertical="center"/>
    </xf>
    <xf numFmtId="3" fontId="3" fillId="7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167" fontId="8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 wrapText="1"/>
    </xf>
    <xf numFmtId="3" fontId="3" fillId="6" borderId="1" xfId="0" applyNumberFormat="1" applyFont="1" applyFill="1" applyBorder="1" applyAlignment="1">
      <alignment horizontal="right" vertical="center"/>
    </xf>
    <xf numFmtId="9" fontId="3" fillId="6" borderId="4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right" vertical="center"/>
    </xf>
    <xf numFmtId="9" fontId="3" fillId="5" borderId="4" xfId="0" applyNumberFormat="1" applyFont="1" applyFill="1" applyBorder="1" applyAlignment="1">
      <alignment horizontal="center" vertical="center"/>
    </xf>
    <xf numFmtId="49" fontId="8" fillId="5" borderId="4" xfId="0" quotePrefix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vertical="center"/>
    </xf>
    <xf numFmtId="3" fontId="5" fillId="6" borderId="4" xfId="0" applyNumberFormat="1" applyFont="1" applyFill="1" applyBorder="1" applyAlignment="1">
      <alignment horizontal="right" vertical="center"/>
    </xf>
    <xf numFmtId="3" fontId="5" fillId="6" borderId="4" xfId="0" applyNumberFormat="1" applyFont="1" applyFill="1" applyBorder="1" applyAlignment="1">
      <alignment horizontal="center" vertical="center"/>
    </xf>
    <xf numFmtId="9" fontId="5" fillId="6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horizontal="center" vertical="center"/>
      <protection locked="0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0" fontId="24" fillId="0" borderId="4" xfId="0" quotePrefix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3" fontId="2" fillId="7" borderId="4" xfId="0" quotePrefix="1" applyNumberFormat="1" applyFont="1" applyFill="1" applyBorder="1" applyAlignment="1" applyProtection="1">
      <alignment horizontal="center" vertical="center"/>
      <protection locked="0"/>
    </xf>
    <xf numFmtId="3" fontId="3" fillId="6" borderId="4" xfId="0" applyNumberFormat="1" applyFont="1" applyFill="1" applyBorder="1" applyAlignment="1">
      <alignment horizontal="right" vertical="center"/>
    </xf>
    <xf numFmtId="3" fontId="12" fillId="7" borderId="4" xfId="0" applyNumberFormat="1" applyFont="1" applyFill="1" applyBorder="1" applyAlignment="1" applyProtection="1">
      <alignment horizontal="right" vertical="center"/>
      <protection locked="0"/>
    </xf>
    <xf numFmtId="49" fontId="1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3" fontId="31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10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10" fillId="0" borderId="4" xfId="0" quotePrefix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5" borderId="4" xfId="0" quotePrefix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 applyProtection="1">
      <alignment horizontal="center" vertical="center"/>
    </xf>
    <xf numFmtId="49" fontId="8" fillId="4" borderId="4" xfId="0" applyNumberFormat="1" applyFont="1" applyFill="1" applyBorder="1" applyAlignment="1" applyProtection="1">
      <alignment horizontal="center" vertical="center"/>
    </xf>
    <xf numFmtId="0" fontId="10" fillId="0" borderId="3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 wrapText="1"/>
    </xf>
    <xf numFmtId="0" fontId="4" fillId="0" borderId="0" xfId="1"/>
    <xf numFmtId="0" fontId="2" fillId="0" borderId="1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/>
    </xf>
    <xf numFmtId="3" fontId="29" fillId="0" borderId="4" xfId="0" applyNumberFormat="1" applyFont="1" applyFill="1" applyBorder="1" applyAlignment="1" applyProtection="1">
      <alignment horizontal="right" vertical="center"/>
      <protection locked="0"/>
    </xf>
    <xf numFmtId="3" fontId="52" fillId="0" borderId="4" xfId="0" applyNumberFormat="1" applyFont="1" applyFill="1" applyBorder="1" applyAlignment="1" applyProtection="1">
      <alignment horizontal="right" vertical="center"/>
      <protection locked="0"/>
    </xf>
    <xf numFmtId="3" fontId="28" fillId="0" borderId="4" xfId="0" applyNumberFormat="1" applyFont="1" applyFill="1" applyBorder="1" applyAlignment="1">
      <alignment horizontal="right" vertical="center"/>
    </xf>
    <xf numFmtId="3" fontId="28" fillId="5" borderId="4" xfId="0" applyNumberFormat="1" applyFont="1" applyFill="1" applyBorder="1" applyAlignment="1">
      <alignment horizontal="right" vertical="center"/>
    </xf>
    <xf numFmtId="3" fontId="28" fillId="0" borderId="4" xfId="0" applyNumberFormat="1" applyFont="1" applyFill="1" applyBorder="1" applyAlignment="1" applyProtection="1">
      <alignment horizontal="right" vertical="center"/>
    </xf>
    <xf numFmtId="3" fontId="28" fillId="0" borderId="4" xfId="0" applyNumberFormat="1" applyFont="1" applyFill="1" applyBorder="1" applyAlignment="1" applyProtection="1">
      <alignment horizontal="right" vertical="center"/>
      <protection locked="0"/>
    </xf>
    <xf numFmtId="3" fontId="28" fillId="6" borderId="4" xfId="0" applyNumberFormat="1" applyFont="1" applyFill="1" applyBorder="1" applyAlignment="1">
      <alignment horizontal="right" vertical="center"/>
    </xf>
    <xf numFmtId="3" fontId="29" fillId="31" borderId="4" xfId="0" applyNumberFormat="1" applyFont="1" applyFill="1" applyBorder="1" applyAlignment="1" applyProtection="1">
      <alignment horizontal="right" vertical="center"/>
      <protection locked="0"/>
    </xf>
    <xf numFmtId="3" fontId="29" fillId="0" borderId="1" xfId="0" applyNumberFormat="1" applyFont="1" applyFill="1" applyBorder="1" applyAlignment="1" applyProtection="1">
      <alignment horizontal="right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28" fillId="0" borderId="1" xfId="0" applyNumberFormat="1" applyFont="1" applyFill="1" applyBorder="1" applyAlignment="1" applyProtection="1">
      <alignment horizontal="right" vertical="center"/>
      <protection locked="0"/>
    </xf>
    <xf numFmtId="3" fontId="28" fillId="5" borderId="1" xfId="0" applyNumberFormat="1" applyFont="1" applyFill="1" applyBorder="1" applyAlignment="1">
      <alignment horizontal="right" vertical="center"/>
    </xf>
    <xf numFmtId="3" fontId="28" fillId="6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right" vertical="top"/>
      <protection locked="0"/>
    </xf>
    <xf numFmtId="166" fontId="11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/>
    <xf numFmtId="166" fontId="2" fillId="0" borderId="9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/>
    <xf numFmtId="0" fontId="3" fillId="0" borderId="3" xfId="0" applyFont="1" applyFill="1" applyBorder="1" applyAlignment="1" applyProtection="1">
      <alignment horizontal="right"/>
    </xf>
    <xf numFmtId="0" fontId="4" fillId="0" borderId="3" xfId="0" applyFont="1" applyBorder="1" applyAlignment="1" applyProtection="1"/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166" fontId="11" fillId="0" borderId="6" xfId="0" applyNumberFormat="1" applyFont="1" applyFill="1" applyBorder="1" applyAlignment="1" applyProtection="1">
      <alignment horizontal="center" vertical="center"/>
    </xf>
    <xf numFmtId="166" fontId="2" fillId="0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2" fillId="0" borderId="4" xfId="0" applyNumberFormat="1" applyFont="1" applyFill="1" applyBorder="1" applyAlignment="1">
      <alignment horizontal="center"/>
    </xf>
    <xf numFmtId="3" fontId="22" fillId="0" borderId="3" xfId="0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/>
    <xf numFmtId="166" fontId="2" fillId="0" borderId="9" xfId="0" applyNumberFormat="1" applyFont="1" applyFill="1" applyBorder="1" applyAlignment="1">
      <alignment horizontal="center" vertical="center"/>
    </xf>
    <xf numFmtId="0" fontId="0" fillId="0" borderId="8" xfId="0" applyFont="1" applyBorder="1" applyAlignment="1"/>
    <xf numFmtId="0" fontId="3" fillId="0" borderId="3" xfId="0" applyFont="1" applyFill="1" applyBorder="1" applyAlignment="1">
      <alignment horizontal="right"/>
    </xf>
    <xf numFmtId="0" fontId="4" fillId="0" borderId="3" xfId="0" applyFont="1" applyBorder="1" applyAlignment="1"/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/>
    </xf>
    <xf numFmtId="166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/>
    </xf>
    <xf numFmtId="166" fontId="11" fillId="0" borderId="7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quotePrefix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/>
    </xf>
    <xf numFmtId="0" fontId="10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166" fontId="19" fillId="0" borderId="4" xfId="0" applyNumberFormat="1" applyFont="1" applyFill="1" applyBorder="1" applyAlignment="1">
      <alignment horizontal="center" vertical="center"/>
    </xf>
    <xf numFmtId="166" fontId="19" fillId="0" borderId="3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top"/>
    </xf>
    <xf numFmtId="0" fontId="17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/>
    </xf>
    <xf numFmtId="166" fontId="19" fillId="0" borderId="4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166" fontId="19" fillId="0" borderId="5" xfId="0" applyNumberFormat="1" applyFont="1" applyFill="1" applyBorder="1" applyAlignment="1">
      <alignment horizontal="center" vertical="center"/>
    </xf>
    <xf numFmtId="166" fontId="19" fillId="0" borderId="6" xfId="0" applyNumberFormat="1" applyFont="1" applyFill="1" applyBorder="1" applyAlignment="1">
      <alignment horizontal="center" vertical="center"/>
    </xf>
    <xf numFmtId="166" fontId="19" fillId="0" borderId="7" xfId="0" applyNumberFormat="1" applyFont="1" applyFill="1" applyBorder="1" applyAlignment="1">
      <alignment horizontal="center" vertical="center"/>
    </xf>
    <xf numFmtId="0" fontId="0" fillId="0" borderId="10" xfId="0" applyFont="1" applyBorder="1" applyAlignment="1"/>
    <xf numFmtId="0" fontId="3" fillId="0" borderId="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 vertical="top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</cellXfs>
  <cellStyles count="46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ál" xfId="0" builtinId="0"/>
    <cellStyle name="Normál 2" xfId="1" xr:uid="{00000000-0005-0000-0000-000025000000}"/>
    <cellStyle name="Normál 2 2" xfId="40" xr:uid="{00000000-0005-0000-0000-000026000000}"/>
    <cellStyle name="Normál 3" xfId="2" xr:uid="{00000000-0005-0000-0000-000027000000}"/>
    <cellStyle name="Normál 4" xfId="3" xr:uid="{00000000-0005-0000-0000-000028000000}"/>
    <cellStyle name="Note" xfId="41" xr:uid="{00000000-0005-0000-0000-000029000000}"/>
    <cellStyle name="Output" xfId="42" xr:uid="{00000000-0005-0000-0000-00002A000000}"/>
    <cellStyle name="Title" xfId="43" xr:uid="{00000000-0005-0000-0000-00002B000000}"/>
    <cellStyle name="Total" xfId="44" xr:uid="{00000000-0005-0000-0000-00002C000000}"/>
    <cellStyle name="Warning Text" xfId="45" xr:uid="{00000000-0005-0000-0000-00002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228"/>
  <sheetViews>
    <sheetView showGridLines="0" tabSelected="1" view="pageBreakPreview" zoomScaleNormal="100" zoomScaleSheetLayoutView="100" workbookViewId="0">
      <pane xSplit="2" ySplit="7" topLeftCell="C107" activePane="bottomRight" state="frozen"/>
      <selection activeCell="AT12" sqref="AT12:AW12"/>
      <selection pane="topRight" activeCell="AT12" sqref="AT12:AW12"/>
      <selection pane="bottomLeft" activeCell="AT12" sqref="AT12:AW12"/>
      <selection pane="bottomRight" sqref="A1:K1"/>
    </sheetView>
  </sheetViews>
  <sheetFormatPr defaultColWidth="9.140625" defaultRowHeight="12.75" x14ac:dyDescent="0.2"/>
  <cols>
    <col min="1" max="1" width="4.42578125" style="4" customWidth="1"/>
    <col min="2" max="2" width="73.7109375" style="1" customWidth="1"/>
    <col min="3" max="3" width="6" style="1" customWidth="1"/>
    <col min="4" max="4" width="16.140625" style="1" customWidth="1"/>
    <col min="5" max="5" width="13.140625" style="1" customWidth="1"/>
    <col min="6" max="6" width="9.7109375" style="1" customWidth="1"/>
    <col min="7" max="7" width="8.85546875" style="1" customWidth="1"/>
    <col min="8" max="8" width="10.85546875" style="1" customWidth="1"/>
    <col min="9" max="9" width="12.140625" style="1" customWidth="1"/>
    <col min="10" max="10" width="10.28515625" style="1" customWidth="1"/>
    <col min="11" max="11" width="9" style="1" customWidth="1"/>
    <col min="12" max="12" width="8.85546875" style="1" customWidth="1"/>
    <col min="13" max="20" width="2.7109375" style="1" customWidth="1"/>
    <col min="21" max="16384" width="9.140625" style="1"/>
  </cols>
  <sheetData>
    <row r="1" spans="1:12" ht="28.5" customHeight="1" x14ac:dyDescent="0.2">
      <c r="A1" s="389" t="s">
        <v>936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2" ht="28.5" customHeight="1" x14ac:dyDescent="0.2">
      <c r="A2" s="390" t="s">
        <v>443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2" ht="15" customHeight="1" x14ac:dyDescent="0.2">
      <c r="A3" s="392" t="s">
        <v>663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2" ht="15.95" customHeight="1" x14ac:dyDescent="0.2">
      <c r="A4" s="394" t="s">
        <v>659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2"/>
    </row>
    <row r="5" spans="1:12" ht="15.95" customHeight="1" x14ac:dyDescent="0.2">
      <c r="A5" s="396" t="s">
        <v>441</v>
      </c>
      <c r="B5" s="397" t="s">
        <v>26</v>
      </c>
      <c r="C5" s="398" t="s">
        <v>442</v>
      </c>
      <c r="D5" s="399" t="s">
        <v>469</v>
      </c>
      <c r="E5" s="399"/>
      <c r="F5" s="400" t="s">
        <v>661</v>
      </c>
      <c r="G5" s="401"/>
      <c r="H5" s="401"/>
      <c r="I5" s="401"/>
      <c r="J5" s="402" t="s">
        <v>438</v>
      </c>
      <c r="K5" s="402" t="s">
        <v>439</v>
      </c>
      <c r="L5" s="2"/>
    </row>
    <row r="6" spans="1:12" ht="39.75" customHeight="1" x14ac:dyDescent="0.2">
      <c r="A6" s="396"/>
      <c r="B6" s="397"/>
      <c r="C6" s="398"/>
      <c r="D6" s="146" t="s">
        <v>467</v>
      </c>
      <c r="E6" s="146" t="s">
        <v>468</v>
      </c>
      <c r="F6" s="210" t="s">
        <v>470</v>
      </c>
      <c r="G6" s="210" t="s">
        <v>473</v>
      </c>
      <c r="H6" s="210" t="s">
        <v>471</v>
      </c>
      <c r="I6" s="210" t="s">
        <v>472</v>
      </c>
      <c r="J6" s="402"/>
      <c r="K6" s="402"/>
    </row>
    <row r="7" spans="1:12" x14ac:dyDescent="0.2">
      <c r="A7" s="145" t="s">
        <v>176</v>
      </c>
      <c r="B7" s="140" t="s">
        <v>177</v>
      </c>
      <c r="C7" s="140" t="s">
        <v>178</v>
      </c>
      <c r="D7" s="140" t="s">
        <v>175</v>
      </c>
      <c r="E7" s="140" t="s">
        <v>440</v>
      </c>
      <c r="F7" s="216" t="s">
        <v>552</v>
      </c>
      <c r="G7" s="216" t="s">
        <v>553</v>
      </c>
      <c r="H7" s="216" t="s">
        <v>567</v>
      </c>
      <c r="I7" s="216" t="s">
        <v>568</v>
      </c>
      <c r="J7" s="216" t="s">
        <v>569</v>
      </c>
      <c r="K7" s="216" t="s">
        <v>570</v>
      </c>
    </row>
    <row r="8" spans="1:12" ht="20.100000000000001" customHeight="1" x14ac:dyDescent="0.2">
      <c r="A8" s="141" t="s">
        <v>0</v>
      </c>
      <c r="B8" s="142" t="s">
        <v>242</v>
      </c>
      <c r="C8" s="143" t="s">
        <v>243</v>
      </c>
      <c r="D8" s="144">
        <f>VLOOKUP($C8,'04'!$C$8:$K$254,2,FALSE)+VLOOKUP($C8,'05'!$C$8:$N$226,2,FALSE)+VLOOKUP($C8,'06'!$C$8:$K$229,2,FALSE)+VLOOKUP($C8,'07'!$C$8:$K$241,2,FALSE)</f>
        <v>70655669</v>
      </c>
      <c r="E8" s="192">
        <f>VLOOKUP($C8,'04'!$C$8:$K$254,3,FALSE)+VLOOKUP($C8,'05'!$C$8:$N$226,6,FALSE)+VLOOKUP($C8,'06'!$C$8:$K$229,3,FALSE)+VLOOKUP($C8,'07'!$C$8:$K$241,3,FALSE)</f>
        <v>70655669</v>
      </c>
      <c r="F8" s="190"/>
      <c r="G8" s="211"/>
      <c r="H8" s="190"/>
      <c r="I8" s="211"/>
      <c r="J8" s="190"/>
      <c r="K8" s="208"/>
    </row>
    <row r="9" spans="1:12" ht="20.100000000000001" customHeight="1" x14ac:dyDescent="0.2">
      <c r="A9" s="141" t="s">
        <v>1</v>
      </c>
      <c r="B9" s="147" t="s">
        <v>244</v>
      </c>
      <c r="C9" s="143" t="s">
        <v>245</v>
      </c>
      <c r="D9" s="192">
        <f>VLOOKUP($C9,'04'!$C$8:$K$254,2,FALSE)+VLOOKUP($C9,'05'!$C$8:$N$226,2,FALSE)+VLOOKUP($C9,'06'!$C$8:$K$229,2,FALSE)+VLOOKUP($C9,'07'!$C$8:$K$241,2,FALSE)</f>
        <v>50845400</v>
      </c>
      <c r="E9" s="192">
        <f>VLOOKUP($C9,'04'!$C$8:$K$254,3,FALSE)+VLOOKUP($C9,'05'!$C$8:$N$226,6,FALSE)+VLOOKUP($C9,'06'!$C$8:$K$229,3,FALSE)+VLOOKUP($C9,'07'!$C$8:$K$241,3,FALSE)</f>
        <v>51982680</v>
      </c>
      <c r="F9" s="190"/>
      <c r="G9" s="207"/>
      <c r="H9" s="190"/>
      <c r="I9" s="207"/>
      <c r="J9" s="190"/>
      <c r="K9" s="208"/>
    </row>
    <row r="10" spans="1:12" ht="20.100000000000001" customHeight="1" x14ac:dyDescent="0.2">
      <c r="A10" s="141" t="s">
        <v>2</v>
      </c>
      <c r="B10" s="147" t="s">
        <v>246</v>
      </c>
      <c r="C10" s="143" t="s">
        <v>247</v>
      </c>
      <c r="D10" s="192">
        <f>VLOOKUP($C10,'04'!$C$8:$K$254,2,FALSE)+VLOOKUP($C10,'05'!$C$8:$N$226,2,FALSE)+VLOOKUP($C10,'06'!$C$8:$K$229,2,FALSE)+VLOOKUP($C10,'07'!$C$8:$K$241,2,FALSE)</f>
        <v>45305545</v>
      </c>
      <c r="E10" s="192">
        <f>VLOOKUP($C10,'04'!$C$8:$K$254,3,FALSE)+VLOOKUP($C10,'05'!$C$8:$N$226,6,FALSE)+VLOOKUP($C10,'06'!$C$8:$K$229,3,FALSE)+VLOOKUP($C10,'07'!$C$8:$K$241,3,FALSE)</f>
        <v>47090122</v>
      </c>
      <c r="F10" s="190"/>
      <c r="G10" s="207"/>
      <c r="H10" s="190"/>
      <c r="I10" s="207"/>
      <c r="J10" s="190"/>
      <c r="K10" s="208"/>
    </row>
    <row r="11" spans="1:12" ht="20.100000000000001" customHeight="1" x14ac:dyDescent="0.2">
      <c r="A11" s="141" t="s">
        <v>3</v>
      </c>
      <c r="B11" s="147" t="s">
        <v>248</v>
      </c>
      <c r="C11" s="143" t="s">
        <v>249</v>
      </c>
      <c r="D11" s="192">
        <f>VLOOKUP($C11,'04'!$C$8:$K$254,2,FALSE)+VLOOKUP($C11,'05'!$C$8:$N$226,2,FALSE)+VLOOKUP($C11,'06'!$C$8:$K$229,2,FALSE)+VLOOKUP($C11,'07'!$C$8:$K$241,2,FALSE)</f>
        <v>3041181</v>
      </c>
      <c r="E11" s="192">
        <f>VLOOKUP($C11,'04'!$C$8:$K$254,3,FALSE)+VLOOKUP($C11,'05'!$C$8:$N$226,6,FALSE)+VLOOKUP($C11,'06'!$C$8:$K$229,3,FALSE)+VLOOKUP($C11,'07'!$C$8:$K$241,3,FALSE)</f>
        <v>3041181</v>
      </c>
      <c r="F11" s="190"/>
      <c r="G11" s="207"/>
      <c r="H11" s="190"/>
      <c r="I11" s="207"/>
      <c r="J11" s="190"/>
      <c r="K11" s="208"/>
    </row>
    <row r="12" spans="1:12" ht="20.100000000000001" customHeight="1" x14ac:dyDescent="0.2">
      <c r="A12" s="141" t="s">
        <v>4</v>
      </c>
      <c r="B12" s="147" t="s">
        <v>666</v>
      </c>
      <c r="C12" s="143" t="s">
        <v>250</v>
      </c>
      <c r="D12" s="192">
        <f>VLOOKUP($C12,'04'!$C$8:$K$254,2,FALSE)+VLOOKUP($C12,'05'!$C$8:$N$226,2,FALSE)+VLOOKUP($C12,'06'!$C$8:$K$229,2,FALSE)+VLOOKUP($C12,'07'!$C$8:$K$241,2,FALSE)</f>
        <v>0</v>
      </c>
      <c r="E12" s="192">
        <f>VLOOKUP($C12,'04'!$C$8:$K$254,3,FALSE)+VLOOKUP($C12,'05'!$C$8:$N$226,6,FALSE)+VLOOKUP($C12,'06'!$C$8:$K$229,3,FALSE)+VLOOKUP($C12,'07'!$C$8:$K$241,3,FALSE)</f>
        <v>0</v>
      </c>
      <c r="F12" s="190"/>
      <c r="G12" s="207"/>
      <c r="H12" s="190"/>
      <c r="I12" s="207"/>
      <c r="J12" s="190"/>
      <c r="K12" s="208"/>
    </row>
    <row r="13" spans="1:12" ht="20.100000000000001" customHeight="1" x14ac:dyDescent="0.2">
      <c r="A13" s="141" t="s">
        <v>5</v>
      </c>
      <c r="B13" s="147" t="s">
        <v>667</v>
      </c>
      <c r="C13" s="143" t="s">
        <v>251</v>
      </c>
      <c r="D13" s="192">
        <f>VLOOKUP($C13,'04'!$C$8:$K$254,2,FALSE)+VLOOKUP($C13,'05'!$C$8:$N$226,2,FALSE)+VLOOKUP($C13,'06'!$C$8:$K$229,2,FALSE)+VLOOKUP($C13,'07'!$C$8:$K$241,2,FALSE)</f>
        <v>0</v>
      </c>
      <c r="E13" s="192">
        <f>VLOOKUP($C13,'04'!$C$8:$K$254,3,FALSE)+VLOOKUP($C13,'05'!$C$8:$N$226,6,FALSE)+VLOOKUP($C13,'06'!$C$8:$K$229,3,FALSE)+VLOOKUP($C13,'07'!$C$8:$K$241,3,FALSE)</f>
        <v>0</v>
      </c>
      <c r="F13" s="190"/>
      <c r="G13" s="207"/>
      <c r="H13" s="190"/>
      <c r="I13" s="207"/>
      <c r="J13" s="190"/>
      <c r="K13" s="208"/>
    </row>
    <row r="14" spans="1:12" s="3" customFormat="1" ht="20.100000000000001" customHeight="1" x14ac:dyDescent="0.2">
      <c r="A14" s="148" t="s">
        <v>6</v>
      </c>
      <c r="B14" s="149" t="s">
        <v>252</v>
      </c>
      <c r="C14" s="150" t="s">
        <v>253</v>
      </c>
      <c r="D14" s="151">
        <f>SUM(D8:D13)</f>
        <v>169847795</v>
      </c>
      <c r="E14" s="197">
        <f>SUM(E8:E13)</f>
        <v>172769652</v>
      </c>
      <c r="F14" s="197"/>
      <c r="G14" s="206"/>
      <c r="H14" s="197"/>
      <c r="I14" s="206"/>
      <c r="J14" s="197"/>
      <c r="K14" s="209"/>
    </row>
    <row r="15" spans="1:12" ht="20.100000000000001" customHeight="1" x14ac:dyDescent="0.2">
      <c r="A15" s="141" t="s">
        <v>7</v>
      </c>
      <c r="B15" s="147" t="s">
        <v>254</v>
      </c>
      <c r="C15" s="143" t="s">
        <v>255</v>
      </c>
      <c r="D15" s="192">
        <f>VLOOKUP($C15,'04'!$C$8:$K$254,2,FALSE)+VLOOKUP($C15,'05'!$C$8:$N$226,2,FALSE)+VLOOKUP($C15,'06'!$C$8:$K$229,2,FALSE)+VLOOKUP($C15,'07'!$C$8:$K$241,2,FALSE)</f>
        <v>0</v>
      </c>
      <c r="E15" s="192">
        <f>VLOOKUP($C15,'04'!$C$8:$K$254,3,FALSE)+VLOOKUP($C15,'05'!$C$8:$N$226,6,FALSE)+VLOOKUP($C15,'06'!$C$8:$K$229,3,FALSE)+VLOOKUP($C15,'07'!$C$8:$K$241,3,FALSE)</f>
        <v>0</v>
      </c>
      <c r="F15" s="190"/>
      <c r="G15" s="207"/>
      <c r="H15" s="190"/>
      <c r="I15" s="207"/>
      <c r="J15" s="190"/>
      <c r="K15" s="208"/>
    </row>
    <row r="16" spans="1:12" ht="20.100000000000001" customHeight="1" x14ac:dyDescent="0.2">
      <c r="A16" s="141" t="s">
        <v>8</v>
      </c>
      <c r="B16" s="147" t="s">
        <v>427</v>
      </c>
      <c r="C16" s="143" t="s">
        <v>256</v>
      </c>
      <c r="D16" s="192">
        <f>VLOOKUP($C16,'04'!$C$8:$K$254,2,FALSE)+VLOOKUP($C16,'05'!$C$8:$N$226,2,FALSE)+VLOOKUP($C16,'06'!$C$8:$K$229,2,FALSE)+VLOOKUP($C16,'07'!$C$8:$K$241,2,FALSE)</f>
        <v>0</v>
      </c>
      <c r="E16" s="192">
        <f>VLOOKUP($C16,'04'!$C$8:$K$254,3,FALSE)+VLOOKUP($C16,'05'!$C$8:$N$226,6,FALSE)+VLOOKUP($C16,'06'!$C$8:$K$229,3,FALSE)+VLOOKUP($C16,'07'!$C$8:$K$241,3,FALSE)</f>
        <v>0</v>
      </c>
      <c r="F16" s="190"/>
      <c r="G16" s="207"/>
      <c r="H16" s="190"/>
      <c r="I16" s="207"/>
      <c r="J16" s="190"/>
      <c r="K16" s="208"/>
    </row>
    <row r="17" spans="1:11" ht="20.100000000000001" customHeight="1" x14ac:dyDescent="0.2">
      <c r="A17" s="141" t="s">
        <v>9</v>
      </c>
      <c r="B17" s="147" t="s">
        <v>428</v>
      </c>
      <c r="C17" s="143" t="s">
        <v>257</v>
      </c>
      <c r="D17" s="192">
        <f>VLOOKUP($C17,'04'!$C$8:$K$254,2,FALSE)+VLOOKUP($C17,'05'!$C$8:$N$226,2,FALSE)+VLOOKUP($C17,'06'!$C$8:$K$229,2,FALSE)+VLOOKUP($C17,'07'!$C$8:$K$241,2,FALSE)</f>
        <v>0</v>
      </c>
      <c r="E17" s="192">
        <f>VLOOKUP($C17,'04'!$C$8:$K$254,3,FALSE)+VLOOKUP($C17,'05'!$C$8:$N$226,6,FALSE)+VLOOKUP($C17,'06'!$C$8:$K$229,3,FALSE)+VLOOKUP($C17,'07'!$C$8:$K$241,3,FALSE)</f>
        <v>0</v>
      </c>
      <c r="F17" s="190"/>
      <c r="G17" s="207"/>
      <c r="H17" s="190"/>
      <c r="I17" s="207"/>
      <c r="J17" s="190"/>
      <c r="K17" s="208"/>
    </row>
    <row r="18" spans="1:11" ht="20.100000000000001" customHeight="1" x14ac:dyDescent="0.2">
      <c r="A18" s="141" t="s">
        <v>10</v>
      </c>
      <c r="B18" s="147" t="s">
        <v>429</v>
      </c>
      <c r="C18" s="143" t="s">
        <v>258</v>
      </c>
      <c r="D18" s="192">
        <f>VLOOKUP($C18,'04'!$C$8:$K$254,2,FALSE)+VLOOKUP($C18,'05'!$C$8:$N$226,2,FALSE)+VLOOKUP($C18,'06'!$C$8:$K$229,2,FALSE)+VLOOKUP($C18,'07'!$C$8:$K$241,2,FALSE)</f>
        <v>0</v>
      </c>
      <c r="E18" s="192">
        <f>VLOOKUP($C18,'04'!$C$8:$K$254,3,FALSE)+VLOOKUP($C18,'05'!$C$8:$N$226,6,FALSE)+VLOOKUP($C18,'06'!$C$8:$K$229,3,FALSE)+VLOOKUP($C18,'07'!$C$8:$K$241,3,FALSE)</f>
        <v>0</v>
      </c>
      <c r="F18" s="190"/>
      <c r="G18" s="207"/>
      <c r="H18" s="190"/>
      <c r="I18" s="207"/>
      <c r="J18" s="190"/>
      <c r="K18" s="208"/>
    </row>
    <row r="19" spans="1:11" ht="20.100000000000001" customHeight="1" x14ac:dyDescent="0.2">
      <c r="A19" s="141" t="s">
        <v>11</v>
      </c>
      <c r="B19" s="147" t="s">
        <v>259</v>
      </c>
      <c r="C19" s="143" t="s">
        <v>260</v>
      </c>
      <c r="D19" s="192">
        <f>VLOOKUP($C19,'04'!$C$8:$K$254,2,FALSE)+VLOOKUP($C19,'05'!$C$8:$N$226,2,FALSE)+VLOOKUP($C19,'06'!$C$8:$K$229,2,FALSE)+VLOOKUP($C19,'07'!$C$8:$K$241,2,FALSE)</f>
        <v>77500711</v>
      </c>
      <c r="E19" s="192">
        <f>VLOOKUP($C19,'04'!$C$8:$K$254,3,FALSE)+VLOOKUP($C19,'05'!$C$8:$N$226,6,FALSE)+VLOOKUP($C19,'06'!$C$8:$K$229,3,FALSE)+VLOOKUP($C19,'07'!$C$8:$K$241,3,FALSE)</f>
        <v>86524817</v>
      </c>
      <c r="F19" s="190"/>
      <c r="G19" s="207"/>
      <c r="H19" s="190"/>
      <c r="I19" s="207"/>
      <c r="J19" s="190"/>
      <c r="K19" s="208"/>
    </row>
    <row r="20" spans="1:11" s="3" customFormat="1" ht="20.100000000000001" customHeight="1" x14ac:dyDescent="0.2">
      <c r="A20" s="148" t="s">
        <v>12</v>
      </c>
      <c r="B20" s="149" t="s">
        <v>261</v>
      </c>
      <c r="C20" s="150" t="s">
        <v>262</v>
      </c>
      <c r="D20" s="151">
        <f>SUM(D14:D19)</f>
        <v>247348506</v>
      </c>
      <c r="E20" s="197">
        <f>SUM(E14:E19)</f>
        <v>259294469</v>
      </c>
      <c r="F20" s="197"/>
      <c r="G20" s="206"/>
      <c r="H20" s="197"/>
      <c r="I20" s="206"/>
      <c r="J20" s="197"/>
      <c r="K20" s="209"/>
    </row>
    <row r="21" spans="1:11" ht="20.100000000000001" customHeight="1" x14ac:dyDescent="0.2">
      <c r="A21" s="141" t="s">
        <v>13</v>
      </c>
      <c r="B21" s="147" t="s">
        <v>263</v>
      </c>
      <c r="C21" s="143" t="s">
        <v>264</v>
      </c>
      <c r="D21" s="192">
        <f>VLOOKUP($C21,'04'!$C$8:$K$254,2,FALSE)+VLOOKUP($C21,'05'!$C$8:$N$226,2,FALSE)+VLOOKUP($C21,'06'!$C$8:$K$229,2,FALSE)+VLOOKUP($C21,'07'!$C$8:$K$241,2,FALSE)</f>
        <v>0</v>
      </c>
      <c r="E21" s="192">
        <f>VLOOKUP($C21,'04'!$C$8:$K$254,3,FALSE)+VLOOKUP($C21,'05'!$C$8:$N$226,6,FALSE)+VLOOKUP($C21,'06'!$C$8:$K$229,3,FALSE)+VLOOKUP($C21,'07'!$C$8:$K$241,3,FALSE)</f>
        <v>0</v>
      </c>
      <c r="F21" s="190"/>
      <c r="G21" s="207"/>
      <c r="H21" s="190"/>
      <c r="I21" s="207"/>
      <c r="J21" s="190"/>
      <c r="K21" s="208"/>
    </row>
    <row r="22" spans="1:11" ht="20.100000000000001" customHeight="1" x14ac:dyDescent="0.2">
      <c r="A22" s="141" t="s">
        <v>14</v>
      </c>
      <c r="B22" s="147" t="s">
        <v>430</v>
      </c>
      <c r="C22" s="143" t="s">
        <v>265</v>
      </c>
      <c r="D22" s="192">
        <f>VLOOKUP($C22,'04'!$C$8:$K$254,2,FALSE)+VLOOKUP($C22,'05'!$C$8:$N$226,2,FALSE)+VLOOKUP($C22,'06'!$C$8:$K$229,2,FALSE)+VLOOKUP($C22,'07'!$C$8:$K$241,2,FALSE)</f>
        <v>0</v>
      </c>
      <c r="E22" s="192">
        <f>VLOOKUP($C22,'04'!$C$8:$K$254,3,FALSE)+VLOOKUP($C22,'05'!$C$8:$N$226,6,FALSE)+VLOOKUP($C22,'06'!$C$8:$K$229,3,FALSE)+VLOOKUP($C22,'07'!$C$8:$K$241,3,FALSE)</f>
        <v>0</v>
      </c>
      <c r="F22" s="190"/>
      <c r="G22" s="207"/>
      <c r="H22" s="190"/>
      <c r="I22" s="207"/>
      <c r="J22" s="190"/>
      <c r="K22" s="208"/>
    </row>
    <row r="23" spans="1:11" ht="20.100000000000001" customHeight="1" x14ac:dyDescent="0.2">
      <c r="A23" s="141" t="s">
        <v>15</v>
      </c>
      <c r="B23" s="147" t="s">
        <v>431</v>
      </c>
      <c r="C23" s="143" t="s">
        <v>266</v>
      </c>
      <c r="D23" s="192">
        <f>VLOOKUP($C23,'04'!$C$8:$K$254,2,FALSE)+VLOOKUP($C23,'05'!$C$8:$N$226,2,FALSE)+VLOOKUP($C23,'06'!$C$8:$K$229,2,FALSE)+VLOOKUP($C23,'07'!$C$8:$K$241,2,FALSE)</f>
        <v>0</v>
      </c>
      <c r="E23" s="192">
        <f>VLOOKUP($C23,'04'!$C$8:$K$254,3,FALSE)+VLOOKUP($C23,'05'!$C$8:$N$226,6,FALSE)+VLOOKUP($C23,'06'!$C$8:$K$229,3,FALSE)+VLOOKUP($C23,'07'!$C$8:$K$241,3,FALSE)</f>
        <v>0</v>
      </c>
      <c r="F23" s="190"/>
      <c r="G23" s="207"/>
      <c r="H23" s="190"/>
      <c r="I23" s="207"/>
      <c r="J23" s="190"/>
      <c r="K23" s="208"/>
    </row>
    <row r="24" spans="1:11" ht="20.100000000000001" customHeight="1" x14ac:dyDescent="0.2">
      <c r="A24" s="141" t="s">
        <v>53</v>
      </c>
      <c r="B24" s="147" t="s">
        <v>432</v>
      </c>
      <c r="C24" s="143" t="s">
        <v>267</v>
      </c>
      <c r="D24" s="192">
        <f>VLOOKUP($C24,'04'!$C$8:$K$254,2,FALSE)+VLOOKUP($C24,'05'!$C$8:$N$226,2,FALSE)+VLOOKUP($C24,'06'!$C$8:$K$229,2,FALSE)+VLOOKUP($C24,'07'!$C$8:$K$241,2,FALSE)</f>
        <v>0</v>
      </c>
      <c r="E24" s="192">
        <f>VLOOKUP($C24,'04'!$C$8:$K$254,3,FALSE)+VLOOKUP($C24,'05'!$C$8:$N$226,6,FALSE)+VLOOKUP($C24,'06'!$C$8:$K$229,3,FALSE)+VLOOKUP($C24,'07'!$C$8:$K$241,3,FALSE)</f>
        <v>0</v>
      </c>
      <c r="F24" s="190"/>
      <c r="G24" s="207"/>
      <c r="H24" s="190"/>
      <c r="I24" s="207"/>
      <c r="J24" s="190"/>
      <c r="K24" s="208"/>
    </row>
    <row r="25" spans="1:11" ht="20.100000000000001" customHeight="1" x14ac:dyDescent="0.2">
      <c r="A25" s="141" t="s">
        <v>54</v>
      </c>
      <c r="B25" s="147" t="s">
        <v>268</v>
      </c>
      <c r="C25" s="143" t="s">
        <v>269</v>
      </c>
      <c r="D25" s="192">
        <f>VLOOKUP($C25,'04'!$C$8:$K$254,2,FALSE)+VLOOKUP($C25,'05'!$C$8:$N$226,2,FALSE)+VLOOKUP($C25,'06'!$C$8:$K$229,2,FALSE)+VLOOKUP($C25,'07'!$C$8:$K$241,2,FALSE)</f>
        <v>234479639</v>
      </c>
      <c r="E25" s="192">
        <f>VLOOKUP($C25,'04'!$C$8:$K$254,3,FALSE)+VLOOKUP($C25,'05'!$C$8:$N$226,6,FALSE)+VLOOKUP($C25,'06'!$C$8:$K$229,3,FALSE)+VLOOKUP($C25,'07'!$C$8:$K$241,3,FALSE)</f>
        <v>234479639</v>
      </c>
      <c r="F25" s="190"/>
      <c r="G25" s="207"/>
      <c r="H25" s="190"/>
      <c r="I25" s="207"/>
      <c r="J25" s="190"/>
      <c r="K25" s="208"/>
    </row>
    <row r="26" spans="1:11" s="3" customFormat="1" ht="20.100000000000001" customHeight="1" x14ac:dyDescent="0.2">
      <c r="A26" s="148" t="s">
        <v>55</v>
      </c>
      <c r="B26" s="149" t="s">
        <v>270</v>
      </c>
      <c r="C26" s="150" t="s">
        <v>271</v>
      </c>
      <c r="D26" s="151">
        <f>SUM(D21:D25)</f>
        <v>234479639</v>
      </c>
      <c r="E26" s="197">
        <f>SUM(E21:E25)</f>
        <v>234479639</v>
      </c>
      <c r="F26" s="197"/>
      <c r="G26" s="206"/>
      <c r="H26" s="197"/>
      <c r="I26" s="206"/>
      <c r="J26" s="197"/>
      <c r="K26" s="209"/>
    </row>
    <row r="27" spans="1:11" ht="20.100000000000001" customHeight="1" x14ac:dyDescent="0.2">
      <c r="A27" s="141" t="s">
        <v>56</v>
      </c>
      <c r="B27" s="147" t="s">
        <v>272</v>
      </c>
      <c r="C27" s="143" t="s">
        <v>273</v>
      </c>
      <c r="D27" s="192">
        <f>VLOOKUP($C27,'04'!$C$8:$K$254,2,FALSE)+VLOOKUP($C27,'05'!$C$8:$N$226,2,FALSE)+VLOOKUP($C27,'06'!$C$8:$K$229,2,FALSE)+VLOOKUP($C27,'07'!$C$8:$K$241,2,FALSE)</f>
        <v>0</v>
      </c>
      <c r="E27" s="192">
        <f>VLOOKUP($C27,'04'!$C$8:$K$254,3,FALSE)+VLOOKUP($C27,'05'!$C$8:$N$226,6,FALSE)+VLOOKUP($C27,'06'!$C$8:$K$229,3,FALSE)+VLOOKUP($C27,'07'!$C$8:$K$241,3,FALSE)</f>
        <v>0</v>
      </c>
      <c r="F27" s="190"/>
      <c r="G27" s="207"/>
      <c r="H27" s="190"/>
      <c r="I27" s="207"/>
      <c r="J27" s="190"/>
      <c r="K27" s="208"/>
    </row>
    <row r="28" spans="1:11" ht="20.100000000000001" customHeight="1" x14ac:dyDescent="0.2">
      <c r="A28" s="141" t="s">
        <v>106</v>
      </c>
      <c r="B28" s="147" t="s">
        <v>274</v>
      </c>
      <c r="C28" s="143" t="s">
        <v>275</v>
      </c>
      <c r="D28" s="192">
        <f>VLOOKUP($C28,'04'!$C$8:$K$254,2,FALSE)+VLOOKUP($C28,'05'!$C$8:$N$226,2,FALSE)+VLOOKUP($C28,'06'!$C$8:$K$229,2,FALSE)+VLOOKUP($C28,'07'!$C$8:$K$241,2,FALSE)</f>
        <v>0</v>
      </c>
      <c r="E28" s="192">
        <f>VLOOKUP($C28,'04'!$C$8:$K$254,3,FALSE)+VLOOKUP($C28,'05'!$C$8:$N$226,6,FALSE)+VLOOKUP($C28,'06'!$C$8:$K$229,3,FALSE)+VLOOKUP($C28,'07'!$C$8:$K$241,3,FALSE)</f>
        <v>0</v>
      </c>
      <c r="F28" s="190"/>
      <c r="G28" s="207"/>
      <c r="H28" s="190"/>
      <c r="I28" s="207"/>
      <c r="J28" s="190"/>
      <c r="K28" s="208"/>
    </row>
    <row r="29" spans="1:11" s="3" customFormat="1" ht="20.100000000000001" customHeight="1" x14ac:dyDescent="0.2">
      <c r="A29" s="148" t="s">
        <v>107</v>
      </c>
      <c r="B29" s="149" t="s">
        <v>276</v>
      </c>
      <c r="C29" s="150" t="s">
        <v>277</v>
      </c>
      <c r="D29" s="151">
        <f>SUM(D27:D28)</f>
        <v>0</v>
      </c>
      <c r="E29" s="192">
        <f>VLOOKUP($C29,'04'!$C$8:$K$254,3,FALSE)+VLOOKUP($C29,'05'!$C$8:$N$226,6,FALSE)+VLOOKUP($C29,'06'!$C$8:$K$229,3,FALSE)+VLOOKUP($C29,'07'!$C$8:$K$241,3,FALSE)</f>
        <v>0</v>
      </c>
      <c r="F29" s="197"/>
      <c r="G29" s="206"/>
      <c r="H29" s="197"/>
      <c r="I29" s="206"/>
      <c r="J29" s="197"/>
      <c r="K29" s="209"/>
    </row>
    <row r="30" spans="1:11" ht="20.100000000000001" customHeight="1" x14ac:dyDescent="0.2">
      <c r="A30" s="141" t="s">
        <v>179</v>
      </c>
      <c r="B30" s="147" t="s">
        <v>278</v>
      </c>
      <c r="C30" s="143" t="s">
        <v>279</v>
      </c>
      <c r="D30" s="192">
        <f>VLOOKUP($C30,'04'!$C$8:$K$254,2,FALSE)+VLOOKUP($C30,'05'!$C$8:$N$226,2,FALSE)+VLOOKUP($C30,'06'!$C$8:$K$229,2,FALSE)+VLOOKUP($C30,'07'!$C$8:$K$241,2,FALSE)</f>
        <v>0</v>
      </c>
      <c r="E30" s="192">
        <f>VLOOKUP($C30,'04'!$C$8:$K$254,3,FALSE)+VLOOKUP($C30,'05'!$C$8:$N$226,6,FALSE)+VLOOKUP($C30,'06'!$C$8:$K$229,3,FALSE)+VLOOKUP($C30,'07'!$C$8:$K$241,3,FALSE)</f>
        <v>0</v>
      </c>
      <c r="F30" s="190"/>
      <c r="G30" s="207"/>
      <c r="H30" s="190"/>
      <c r="I30" s="207"/>
      <c r="J30" s="190"/>
      <c r="K30" s="208"/>
    </row>
    <row r="31" spans="1:11" ht="20.100000000000001" customHeight="1" x14ac:dyDescent="0.2">
      <c r="A31" s="141" t="s">
        <v>180</v>
      </c>
      <c r="B31" s="147" t="s">
        <v>280</v>
      </c>
      <c r="C31" s="143" t="s">
        <v>281</v>
      </c>
      <c r="D31" s="192">
        <f>VLOOKUP($C31,'04'!$C$8:$K$254,2,FALSE)+VLOOKUP($C31,'05'!$C$8:$N$226,2,FALSE)+VLOOKUP($C31,'06'!$C$8:$K$229,2,FALSE)+VLOOKUP($C31,'07'!$C$8:$K$241,2,FALSE)</f>
        <v>0</v>
      </c>
      <c r="E31" s="192">
        <f>VLOOKUP($C31,'04'!$C$8:$K$254,3,FALSE)+VLOOKUP($C31,'05'!$C$8:$N$226,6,FALSE)+VLOOKUP($C31,'06'!$C$8:$K$229,3,FALSE)+VLOOKUP($C31,'07'!$C$8:$K$241,3,FALSE)</f>
        <v>0</v>
      </c>
      <c r="F31" s="190"/>
      <c r="G31" s="207"/>
      <c r="H31" s="190"/>
      <c r="I31" s="207"/>
      <c r="J31" s="190"/>
      <c r="K31" s="208"/>
    </row>
    <row r="32" spans="1:11" ht="20.100000000000001" customHeight="1" x14ac:dyDescent="0.2">
      <c r="A32" s="141" t="s">
        <v>181</v>
      </c>
      <c r="B32" s="147" t="s">
        <v>282</v>
      </c>
      <c r="C32" s="143" t="s">
        <v>283</v>
      </c>
      <c r="D32" s="192">
        <f>VLOOKUP($C32,'04'!$C$8:$K$254,2,FALSE)+VLOOKUP($C32,'05'!$C$8:$N$226,2,FALSE)+VLOOKUP($C32,'06'!$C$8:$K$229,2,FALSE)+VLOOKUP($C32,'07'!$C$8:$K$241,2,FALSE)</f>
        <v>3500000</v>
      </c>
      <c r="E32" s="192">
        <f>VLOOKUP($C32,'04'!$C$8:$K$254,3,FALSE)+VLOOKUP($C32,'05'!$C$8:$N$226,6,FALSE)+VLOOKUP($C32,'06'!$C$8:$K$229,3,FALSE)+VLOOKUP($C32,'07'!$C$8:$K$241,3,FALSE)</f>
        <v>3500000</v>
      </c>
      <c r="F32" s="190"/>
      <c r="G32" s="207"/>
      <c r="H32" s="190"/>
      <c r="I32" s="207"/>
      <c r="J32" s="190"/>
      <c r="K32" s="208"/>
    </row>
    <row r="33" spans="1:11" ht="20.100000000000001" customHeight="1" x14ac:dyDescent="0.2">
      <c r="A33" s="141" t="s">
        <v>182</v>
      </c>
      <c r="B33" s="147" t="s">
        <v>284</v>
      </c>
      <c r="C33" s="143" t="s">
        <v>285</v>
      </c>
      <c r="D33" s="192">
        <f>VLOOKUP($C33,'04'!$C$8:$K$254,2,FALSE)+VLOOKUP($C33,'05'!$C$8:$N$226,2,FALSE)+VLOOKUP($C33,'06'!$C$8:$K$229,2,FALSE)+VLOOKUP($C33,'07'!$C$8:$K$241,2,FALSE)</f>
        <v>98500000</v>
      </c>
      <c r="E33" s="192">
        <f>VLOOKUP($C33,'04'!$C$8:$K$254,3,FALSE)+VLOOKUP($C33,'05'!$C$8:$N$226,6,FALSE)+VLOOKUP($C33,'06'!$C$8:$K$229,3,FALSE)+VLOOKUP($C33,'07'!$C$8:$K$241,3,FALSE)</f>
        <v>100329527</v>
      </c>
      <c r="F33" s="190"/>
      <c r="G33" s="207"/>
      <c r="H33" s="190"/>
      <c r="I33" s="207"/>
      <c r="J33" s="190"/>
      <c r="K33" s="208"/>
    </row>
    <row r="34" spans="1:11" ht="20.100000000000001" customHeight="1" x14ac:dyDescent="0.2">
      <c r="A34" s="141" t="s">
        <v>183</v>
      </c>
      <c r="B34" s="147" t="s">
        <v>286</v>
      </c>
      <c r="C34" s="143" t="s">
        <v>287</v>
      </c>
      <c r="D34" s="192">
        <f>VLOOKUP($C34,'04'!$C$8:$K$254,2,FALSE)+VLOOKUP($C34,'05'!$C$8:$N$226,2,FALSE)+VLOOKUP($C34,'06'!$C$8:$K$229,2,FALSE)+VLOOKUP($C34,'07'!$C$8:$K$241,2,FALSE)</f>
        <v>0</v>
      </c>
      <c r="E34" s="192">
        <f>VLOOKUP($C34,'04'!$C$8:$K$254,3,FALSE)+VLOOKUP($C34,'05'!$C$8:$N$226,6,FALSE)+VLOOKUP($C34,'06'!$C$8:$K$229,3,FALSE)+VLOOKUP($C34,'07'!$C$8:$K$241,3,FALSE)</f>
        <v>0</v>
      </c>
      <c r="F34" s="190"/>
      <c r="G34" s="207"/>
      <c r="H34" s="190"/>
      <c r="I34" s="207"/>
      <c r="J34" s="190"/>
      <c r="K34" s="208"/>
    </row>
    <row r="35" spans="1:11" ht="20.100000000000001" customHeight="1" x14ac:dyDescent="0.2">
      <c r="A35" s="141" t="s">
        <v>184</v>
      </c>
      <c r="B35" s="147" t="s">
        <v>288</v>
      </c>
      <c r="C35" s="143" t="s">
        <v>289</v>
      </c>
      <c r="D35" s="192">
        <f>VLOOKUP($C35,'04'!$C$8:$K$254,2,FALSE)+VLOOKUP($C35,'05'!$C$8:$N$226,2,FALSE)+VLOOKUP($C35,'06'!$C$8:$K$229,2,FALSE)+VLOOKUP($C35,'07'!$C$8:$K$241,2,FALSE)</f>
        <v>0</v>
      </c>
      <c r="E35" s="192">
        <f>VLOOKUP($C35,'04'!$C$8:$K$254,3,FALSE)+VLOOKUP($C35,'05'!$C$8:$N$226,6,FALSE)+VLOOKUP($C35,'06'!$C$8:$K$229,3,FALSE)+VLOOKUP($C35,'07'!$C$8:$K$241,3,FALSE)</f>
        <v>0</v>
      </c>
      <c r="F35" s="190"/>
      <c r="G35" s="207"/>
      <c r="H35" s="190"/>
      <c r="I35" s="207"/>
      <c r="J35" s="190"/>
      <c r="K35" s="208"/>
    </row>
    <row r="36" spans="1:11" ht="20.100000000000001" customHeight="1" x14ac:dyDescent="0.2">
      <c r="A36" s="141" t="s">
        <v>185</v>
      </c>
      <c r="B36" s="147" t="s">
        <v>290</v>
      </c>
      <c r="C36" s="143" t="s">
        <v>291</v>
      </c>
      <c r="D36" s="192">
        <f>VLOOKUP($C36,'04'!$C$8:$K$254,2,FALSE)+VLOOKUP($C36,'05'!$C$8:$N$226,2,FALSE)+VLOOKUP($C36,'06'!$C$8:$K$229,2,FALSE)+VLOOKUP($C36,'07'!$C$8:$K$241,2,FALSE)</f>
        <v>7450000</v>
      </c>
      <c r="E36" s="192">
        <f>VLOOKUP($C36,'04'!$C$8:$K$254,3,FALSE)+VLOOKUP($C36,'05'!$C$8:$N$226,6,FALSE)+VLOOKUP($C36,'06'!$C$8:$K$229,3,FALSE)+VLOOKUP($C36,'07'!$C$8:$K$241,3,FALSE)</f>
        <v>0</v>
      </c>
      <c r="F36" s="190"/>
      <c r="G36" s="207"/>
      <c r="H36" s="190"/>
      <c r="I36" s="207"/>
      <c r="J36" s="190"/>
      <c r="K36" s="208"/>
    </row>
    <row r="37" spans="1:11" ht="20.100000000000001" customHeight="1" x14ac:dyDescent="0.2">
      <c r="A37" s="141" t="s">
        <v>186</v>
      </c>
      <c r="B37" s="147" t="s">
        <v>292</v>
      </c>
      <c r="C37" s="143" t="s">
        <v>293</v>
      </c>
      <c r="D37" s="192">
        <f>VLOOKUP($C37,'04'!$C$8:$K$254,2,FALSE)+VLOOKUP($C37,'05'!$C$8:$N$226,2,FALSE)+VLOOKUP($C37,'06'!$C$8:$K$229,2,FALSE)+VLOOKUP($C37,'07'!$C$8:$K$241,2,FALSE)</f>
        <v>0</v>
      </c>
      <c r="E37" s="192">
        <f>VLOOKUP($C37,'04'!$C$8:$K$254,3,FALSE)+VLOOKUP($C37,'05'!$C$8:$N$226,6,FALSE)+VLOOKUP($C37,'06'!$C$8:$K$229,3,FALSE)+VLOOKUP($C37,'07'!$C$8:$K$241,3,FALSE)</f>
        <v>0</v>
      </c>
      <c r="F37" s="190"/>
      <c r="G37" s="207"/>
      <c r="H37" s="190"/>
      <c r="I37" s="207"/>
      <c r="J37" s="190"/>
      <c r="K37" s="208"/>
    </row>
    <row r="38" spans="1:11" s="3" customFormat="1" ht="20.100000000000001" customHeight="1" x14ac:dyDescent="0.2">
      <c r="A38" s="148" t="s">
        <v>187</v>
      </c>
      <c r="B38" s="149" t="s">
        <v>294</v>
      </c>
      <c r="C38" s="150" t="s">
        <v>295</v>
      </c>
      <c r="D38" s="151">
        <f>SUM(D33:D37)</f>
        <v>105950000</v>
      </c>
      <c r="E38" s="197">
        <f>SUM(E33:E37)</f>
        <v>100329527</v>
      </c>
      <c r="F38" s="197"/>
      <c r="G38" s="206"/>
      <c r="H38" s="197"/>
      <c r="I38" s="206"/>
      <c r="J38" s="197"/>
      <c r="K38" s="209"/>
    </row>
    <row r="39" spans="1:11" ht="20.100000000000001" customHeight="1" x14ac:dyDescent="0.2">
      <c r="A39" s="141" t="s">
        <v>188</v>
      </c>
      <c r="B39" s="147" t="s">
        <v>296</v>
      </c>
      <c r="C39" s="143" t="s">
        <v>297</v>
      </c>
      <c r="D39" s="192">
        <f>VLOOKUP($C39,'04'!$C$8:$K$254,2,FALSE)+VLOOKUP($C39,'05'!$C$8:$N$226,2,FALSE)+VLOOKUP($C39,'06'!$C$8:$K$229,2,FALSE)+VLOOKUP($C39,'07'!$C$8:$K$241,2,FALSE)</f>
        <v>550000</v>
      </c>
      <c r="E39" s="192">
        <f>VLOOKUP($C39,'04'!$C$8:$K$254,3,FALSE)+VLOOKUP($C39,'05'!$C$8:$N$226,6,FALSE)+VLOOKUP($C39,'06'!$C$8:$K$229,3,FALSE)+VLOOKUP($C39,'07'!$C$8:$K$241,3,FALSE)</f>
        <v>550000</v>
      </c>
      <c r="F39" s="190"/>
      <c r="G39" s="207"/>
      <c r="H39" s="190"/>
      <c r="I39" s="207"/>
      <c r="J39" s="190"/>
      <c r="K39" s="208"/>
    </row>
    <row r="40" spans="1:11" s="3" customFormat="1" ht="20.100000000000001" customHeight="1" x14ac:dyDescent="0.2">
      <c r="A40" s="148" t="s">
        <v>189</v>
      </c>
      <c r="B40" s="149" t="s">
        <v>298</v>
      </c>
      <c r="C40" s="150" t="s">
        <v>299</v>
      </c>
      <c r="D40" s="151">
        <f>SUM(D29:D32,D38:D39)</f>
        <v>110000000</v>
      </c>
      <c r="E40" s="197">
        <f>SUM(E29:E32,E38:E39)</f>
        <v>104379527</v>
      </c>
      <c r="F40" s="197"/>
      <c r="G40" s="206"/>
      <c r="H40" s="197"/>
      <c r="I40" s="206"/>
      <c r="J40" s="197"/>
      <c r="K40" s="209"/>
    </row>
    <row r="41" spans="1:11" ht="20.100000000000001" customHeight="1" x14ac:dyDescent="0.2">
      <c r="A41" s="141" t="s">
        <v>190</v>
      </c>
      <c r="B41" s="147" t="s">
        <v>300</v>
      </c>
      <c r="C41" s="143" t="s">
        <v>301</v>
      </c>
      <c r="D41" s="192">
        <f>VLOOKUP($C41,'04'!$C$8:$K$254,2,FALSE)+VLOOKUP($C41,'05'!$C$8:$N$226,2,FALSE)+VLOOKUP($C41,'06'!$C$8:$K$229,2,FALSE)+VLOOKUP($C41,'07'!$C$8:$K$241,2,FALSE)</f>
        <v>0</v>
      </c>
      <c r="E41" s="192">
        <f>VLOOKUP($C41,'04'!$C$8:$K$254,3,FALSE)+VLOOKUP($C41,'05'!$C$8:$N$226,6,FALSE)+VLOOKUP($C41,'06'!$C$8:$K$229,3,FALSE)+VLOOKUP($C41,'07'!$C$8:$K$241,3,FALSE)</f>
        <v>0</v>
      </c>
      <c r="F41" s="190"/>
      <c r="G41" s="207"/>
      <c r="H41" s="190"/>
      <c r="I41" s="207"/>
      <c r="J41" s="190"/>
      <c r="K41" s="208"/>
    </row>
    <row r="42" spans="1:11" ht="20.100000000000001" customHeight="1" x14ac:dyDescent="0.2">
      <c r="A42" s="141" t="s">
        <v>191</v>
      </c>
      <c r="B42" s="147" t="s">
        <v>302</v>
      </c>
      <c r="C42" s="143" t="s">
        <v>303</v>
      </c>
      <c r="D42" s="192">
        <f>VLOOKUP($C42,'04'!$C$8:$K$254,2,FALSE)+VLOOKUP($C42,'05'!$C$8:$N$226,2,FALSE)+VLOOKUP($C42,'06'!$C$8:$K$229,2,FALSE)+VLOOKUP($C42,'07'!$C$8:$K$241,2,FALSE)</f>
        <v>22662333</v>
      </c>
      <c r="E42" s="192">
        <f>VLOOKUP($C42,'04'!$C$8:$K$254,3,FALSE)+VLOOKUP($C42,'05'!$C$8:$N$226,6,FALSE)+VLOOKUP($C42,'06'!$C$8:$K$229,3,FALSE)+VLOOKUP($C42,'07'!$C$8:$K$241,3,FALSE)</f>
        <v>35659813</v>
      </c>
      <c r="F42" s="190"/>
      <c r="G42" s="207"/>
      <c r="H42" s="190"/>
      <c r="I42" s="207"/>
      <c r="J42" s="190"/>
      <c r="K42" s="208"/>
    </row>
    <row r="43" spans="1:11" ht="20.100000000000001" customHeight="1" x14ac:dyDescent="0.2">
      <c r="A43" s="141" t="s">
        <v>192</v>
      </c>
      <c r="B43" s="147" t="s">
        <v>304</v>
      </c>
      <c r="C43" s="143" t="s">
        <v>305</v>
      </c>
      <c r="D43" s="192">
        <f>VLOOKUP($C43,'04'!$C$8:$K$254,2,FALSE)+VLOOKUP($C43,'05'!$C$8:$N$226,2,FALSE)+VLOOKUP($C43,'06'!$C$8:$K$229,2,FALSE)+VLOOKUP($C43,'07'!$C$8:$K$241,2,FALSE)</f>
        <v>2000000</v>
      </c>
      <c r="E43" s="192">
        <f>VLOOKUP($C43,'04'!$C$8:$K$254,3,FALSE)+VLOOKUP($C43,'05'!$C$8:$N$226,6,FALSE)+VLOOKUP($C43,'06'!$C$8:$K$229,3,FALSE)+VLOOKUP($C43,'07'!$C$8:$K$241,3,FALSE)</f>
        <v>2000000</v>
      </c>
      <c r="F43" s="190"/>
      <c r="G43" s="205"/>
      <c r="H43" s="190"/>
      <c r="I43" s="205"/>
      <c r="J43" s="190"/>
      <c r="K43" s="191"/>
    </row>
    <row r="44" spans="1:11" ht="20.100000000000001" customHeight="1" x14ac:dyDescent="0.2">
      <c r="A44" s="141" t="s">
        <v>193</v>
      </c>
      <c r="B44" s="147" t="s">
        <v>306</v>
      </c>
      <c r="C44" s="143" t="s">
        <v>307</v>
      </c>
      <c r="D44" s="192">
        <f>VLOOKUP($C44,'04'!$C$8:$K$254,2,FALSE)+VLOOKUP($C44,'05'!$C$8:$N$226,2,FALSE)+VLOOKUP($C44,'06'!$C$8:$K$229,2,FALSE)+VLOOKUP($C44,'07'!$C$8:$K$241,2,FALSE)</f>
        <v>1500000</v>
      </c>
      <c r="E44" s="192">
        <f>VLOOKUP($C44,'04'!$C$8:$K$254,3,FALSE)+VLOOKUP($C44,'05'!$C$8:$N$226,6,FALSE)+VLOOKUP($C44,'06'!$C$8:$K$229,3,FALSE)+VLOOKUP($C44,'07'!$C$8:$K$241,3,FALSE)</f>
        <v>1500000</v>
      </c>
      <c r="F44" s="190"/>
      <c r="G44" s="205"/>
      <c r="H44" s="190"/>
      <c r="I44" s="205"/>
      <c r="J44" s="190"/>
      <c r="K44" s="191"/>
    </row>
    <row r="45" spans="1:11" ht="20.100000000000001" customHeight="1" x14ac:dyDescent="0.2">
      <c r="A45" s="141" t="s">
        <v>194</v>
      </c>
      <c r="B45" s="147" t="s">
        <v>308</v>
      </c>
      <c r="C45" s="143" t="s">
        <v>309</v>
      </c>
      <c r="D45" s="192">
        <f>VLOOKUP($C45,'04'!$C$8:$K$254,2,FALSE)+VLOOKUP($C45,'05'!$C$8:$N$226,2,FALSE)+VLOOKUP($C45,'06'!$C$8:$K$229,2,FALSE)+VLOOKUP($C45,'07'!$C$8:$K$241,2,FALSE)</f>
        <v>6020000</v>
      </c>
      <c r="E45" s="192">
        <f>VLOOKUP($C45,'04'!$C$8:$K$254,3,FALSE)+VLOOKUP($C45,'05'!$C$8:$N$226,6,FALSE)+VLOOKUP($C45,'06'!$C$8:$K$229,3,FALSE)+VLOOKUP($C45,'07'!$C$8:$K$241,3,FALSE)</f>
        <v>6020000</v>
      </c>
      <c r="F45" s="190"/>
      <c r="G45" s="205"/>
      <c r="H45" s="190"/>
      <c r="I45" s="205"/>
      <c r="J45" s="190"/>
      <c r="K45" s="191"/>
    </row>
    <row r="46" spans="1:11" ht="20.100000000000001" customHeight="1" x14ac:dyDescent="0.2">
      <c r="A46" s="141" t="s">
        <v>195</v>
      </c>
      <c r="B46" s="147" t="s">
        <v>310</v>
      </c>
      <c r="C46" s="143" t="s">
        <v>311</v>
      </c>
      <c r="D46" s="192">
        <f>VLOOKUP($C46,'04'!$C$8:$K$254,2,FALSE)+VLOOKUP($C46,'05'!$C$8:$N$226,2,FALSE)+VLOOKUP($C46,'06'!$C$8:$K$229,2,FALSE)+VLOOKUP($C46,'07'!$C$8:$K$241,2,FALSE)</f>
        <v>6766290</v>
      </c>
      <c r="E46" s="192">
        <f>VLOOKUP($C46,'04'!$C$8:$K$254,3,FALSE)+VLOOKUP($C46,'05'!$C$8:$N$226,6,FALSE)+VLOOKUP($C46,'06'!$C$8:$K$229,3,FALSE)+VLOOKUP($C46,'07'!$C$8:$K$241,3,FALSE)</f>
        <v>6766290</v>
      </c>
      <c r="F46" s="190"/>
      <c r="G46" s="205"/>
      <c r="H46" s="190"/>
      <c r="I46" s="205"/>
      <c r="J46" s="190"/>
      <c r="K46" s="191"/>
    </row>
    <row r="47" spans="1:11" ht="20.100000000000001" customHeight="1" x14ac:dyDescent="0.2">
      <c r="A47" s="141" t="s">
        <v>196</v>
      </c>
      <c r="B47" s="147" t="s">
        <v>312</v>
      </c>
      <c r="C47" s="143" t="s">
        <v>313</v>
      </c>
      <c r="D47" s="192">
        <f>VLOOKUP($C47,'04'!$C$8:$K$254,2,FALSE)+VLOOKUP($C47,'05'!$C$8:$N$226,2,FALSE)+VLOOKUP($C47,'06'!$C$8:$K$229,2,FALSE)+VLOOKUP($C47,'07'!$C$8:$K$241,2,FALSE)</f>
        <v>0</v>
      </c>
      <c r="E47" s="192">
        <f>VLOOKUP($C47,'04'!$C$8:$K$254,3,FALSE)+VLOOKUP($C47,'05'!$C$8:$N$226,6,FALSE)+VLOOKUP($C47,'06'!$C$8:$K$229,3,FALSE)+VLOOKUP($C47,'07'!$C$8:$K$241,3,FALSE)</f>
        <v>0</v>
      </c>
      <c r="F47" s="190"/>
      <c r="G47" s="205"/>
      <c r="H47" s="190"/>
      <c r="I47" s="205"/>
      <c r="J47" s="190"/>
      <c r="K47" s="191"/>
    </row>
    <row r="48" spans="1:11" ht="20.100000000000001" customHeight="1" x14ac:dyDescent="0.2">
      <c r="A48" s="141" t="s">
        <v>197</v>
      </c>
      <c r="B48" s="147" t="s">
        <v>314</v>
      </c>
      <c r="C48" s="143" t="s">
        <v>315</v>
      </c>
      <c r="D48" s="192">
        <f>VLOOKUP($C48,'04'!$C$8:$K$254,2,FALSE)+VLOOKUP($C48,'05'!$C$8:$N$226,2,FALSE)+VLOOKUP($C48,'06'!$C$8:$K$229,2,FALSE)+VLOOKUP($C48,'07'!$C$8:$K$241,2,FALSE)</f>
        <v>0</v>
      </c>
      <c r="E48" s="192">
        <f>VLOOKUP($C48,'04'!$C$8:$K$254,3,FALSE)+VLOOKUP($C48,'05'!$C$8:$N$226,6,FALSE)+VLOOKUP($C48,'06'!$C$8:$K$229,3,FALSE)+VLOOKUP($C48,'07'!$C$8:$K$241,3,FALSE)</f>
        <v>0</v>
      </c>
      <c r="F48" s="190"/>
      <c r="G48" s="205"/>
      <c r="H48" s="190"/>
      <c r="I48" s="205"/>
      <c r="J48" s="190"/>
      <c r="K48" s="191"/>
    </row>
    <row r="49" spans="1:11" ht="20.100000000000001" customHeight="1" x14ac:dyDescent="0.2">
      <c r="A49" s="141" t="s">
        <v>198</v>
      </c>
      <c r="B49" s="147" t="s">
        <v>316</v>
      </c>
      <c r="C49" s="143" t="s">
        <v>317</v>
      </c>
      <c r="D49" s="192">
        <f>VLOOKUP($C49,'04'!$C$8:$K$254,2,FALSE)+VLOOKUP($C49,'05'!$C$8:$N$226,2,FALSE)+VLOOKUP($C49,'06'!$C$8:$K$229,2,FALSE)+VLOOKUP($C49,'07'!$C$8:$K$241,2,FALSE)</f>
        <v>0</v>
      </c>
      <c r="E49" s="192">
        <f>VLOOKUP($C49,'04'!$C$8:$K$254,3,FALSE)+VLOOKUP($C49,'05'!$C$8:$N$226,6,FALSE)+VLOOKUP($C49,'06'!$C$8:$K$229,3,FALSE)+VLOOKUP($C49,'07'!$C$8:$K$241,3,FALSE)</f>
        <v>0</v>
      </c>
      <c r="F49" s="190"/>
      <c r="G49" s="205"/>
      <c r="H49" s="190"/>
      <c r="I49" s="205"/>
      <c r="J49" s="190"/>
      <c r="K49" s="191"/>
    </row>
    <row r="50" spans="1:11" ht="20.100000000000001" customHeight="1" x14ac:dyDescent="0.2">
      <c r="A50" s="141" t="s">
        <v>199</v>
      </c>
      <c r="B50" s="147" t="s">
        <v>670</v>
      </c>
      <c r="C50" s="143" t="s">
        <v>319</v>
      </c>
      <c r="D50" s="192">
        <f>VLOOKUP($C50,'04'!$C$8:$K$254,2,FALSE)+VLOOKUP($C50,'05'!$C$8:$N$226,2,FALSE)+VLOOKUP($C50,'06'!$C$8:$K$229,2,FALSE)+VLOOKUP($C50,'07'!$C$8:$K$241,2,FALSE)</f>
        <v>0</v>
      </c>
      <c r="E50" s="192">
        <f>VLOOKUP($C50,'04'!$C$8:$K$254,3,FALSE)+VLOOKUP($C50,'05'!$C$8:$N$226,6,FALSE)+VLOOKUP($C50,'06'!$C$8:$K$229,3,FALSE)+VLOOKUP($C50,'07'!$C$8:$K$241,3,FALSE)</f>
        <v>0</v>
      </c>
      <c r="F50" s="190"/>
      <c r="G50" s="205"/>
      <c r="H50" s="190"/>
      <c r="I50" s="205"/>
      <c r="J50" s="190"/>
      <c r="K50" s="191"/>
    </row>
    <row r="51" spans="1:11" ht="20.100000000000001" customHeight="1" x14ac:dyDescent="0.2">
      <c r="A51" s="141" t="s">
        <v>200</v>
      </c>
      <c r="B51" s="147" t="s">
        <v>318</v>
      </c>
      <c r="C51" s="143" t="s">
        <v>669</v>
      </c>
      <c r="D51" s="192">
        <f>VLOOKUP($C51,'04'!$C$8:$K$254,2,FALSE)+VLOOKUP($C51,'05'!$C$8:$N$226,2,FALSE)+VLOOKUP($C51,'06'!$C$8:$K$229,2,FALSE)+VLOOKUP($C51,'07'!$C$8:$K$241,2,FALSE)</f>
        <v>0</v>
      </c>
      <c r="E51" s="192">
        <f>VLOOKUP($C51,'04'!$C$8:$K$254,3,FALSE)+VLOOKUP($C51,'05'!$C$8:$N$226,6,FALSE)+VLOOKUP($C51,'06'!$C$8:$K$229,3,FALSE)+VLOOKUP($C51,'07'!$C$8:$K$241,3,FALSE)</f>
        <v>0</v>
      </c>
      <c r="F51" s="190"/>
      <c r="G51" s="205"/>
      <c r="H51" s="190"/>
      <c r="I51" s="205"/>
      <c r="J51" s="190"/>
      <c r="K51" s="191"/>
    </row>
    <row r="52" spans="1:11" s="3" customFormat="1" ht="20.100000000000001" customHeight="1" x14ac:dyDescent="0.2">
      <c r="A52" s="148" t="s">
        <v>201</v>
      </c>
      <c r="B52" s="149" t="s">
        <v>671</v>
      </c>
      <c r="C52" s="150" t="s">
        <v>320</v>
      </c>
      <c r="D52" s="151">
        <f>SUM(D41:D51)</f>
        <v>38948623</v>
      </c>
      <c r="E52" s="197">
        <f>SUM(E41:E51)</f>
        <v>51946103</v>
      </c>
      <c r="F52" s="197"/>
      <c r="G52" s="206"/>
      <c r="H52" s="197"/>
      <c r="I52" s="206"/>
      <c r="J52" s="197"/>
      <c r="K52" s="194"/>
    </row>
    <row r="53" spans="1:11" ht="20.100000000000001" customHeight="1" x14ac:dyDescent="0.2">
      <c r="A53" s="141" t="s">
        <v>202</v>
      </c>
      <c r="B53" s="147" t="s">
        <v>321</v>
      </c>
      <c r="C53" s="143" t="s">
        <v>322</v>
      </c>
      <c r="D53" s="192">
        <f>VLOOKUP($C53,'04'!$C$8:$K$254,2,FALSE)+VLOOKUP($C53,'05'!$C$8:$N$226,2,FALSE)+VLOOKUP($C53,'06'!$C$8:$K$229,2,FALSE)+VLOOKUP($C53,'07'!$C$8:$K$241,2,FALSE)</f>
        <v>0</v>
      </c>
      <c r="E53" s="192">
        <f>VLOOKUP($C53,'04'!$C$8:$K$254,3,FALSE)+VLOOKUP($C53,'05'!$C$8:$N$226,6,FALSE)+VLOOKUP($C53,'06'!$C$8:$K$229,3,FALSE)+VLOOKUP($C53,'07'!$C$8:$K$241,3,FALSE)</f>
        <v>0</v>
      </c>
      <c r="F53" s="190"/>
      <c r="G53" s="205"/>
      <c r="H53" s="190"/>
      <c r="I53" s="205"/>
      <c r="J53" s="190"/>
      <c r="K53" s="191"/>
    </row>
    <row r="54" spans="1:11" ht="20.100000000000001" customHeight="1" x14ac:dyDescent="0.2">
      <c r="A54" s="141" t="s">
        <v>203</v>
      </c>
      <c r="B54" s="147" t="s">
        <v>323</v>
      </c>
      <c r="C54" s="143" t="s">
        <v>324</v>
      </c>
      <c r="D54" s="192">
        <f>VLOOKUP($C54,'04'!$C$8:$K$254,2,FALSE)+VLOOKUP($C54,'05'!$C$8:$N$226,2,FALSE)+VLOOKUP($C54,'06'!$C$8:$K$229,2,FALSE)+VLOOKUP($C54,'07'!$C$8:$K$241,2,FALSE)</f>
        <v>0</v>
      </c>
      <c r="E54" s="192">
        <f>VLOOKUP($C54,'04'!$C$8:$K$254,3,FALSE)+VLOOKUP($C54,'05'!$C$8:$N$226,6,FALSE)+VLOOKUP($C54,'06'!$C$8:$K$229,3,FALSE)+VLOOKUP($C54,'07'!$C$8:$K$241,3,FALSE)</f>
        <v>0</v>
      </c>
      <c r="F54" s="190"/>
      <c r="G54" s="205"/>
      <c r="H54" s="190"/>
      <c r="I54" s="205"/>
      <c r="J54" s="190"/>
      <c r="K54" s="191"/>
    </row>
    <row r="55" spans="1:11" ht="20.100000000000001" customHeight="1" x14ac:dyDescent="0.2">
      <c r="A55" s="141" t="s">
        <v>204</v>
      </c>
      <c r="B55" s="147" t="s">
        <v>325</v>
      </c>
      <c r="C55" s="143" t="s">
        <v>326</v>
      </c>
      <c r="D55" s="192">
        <f>VLOOKUP($C55,'04'!$C$8:$K$254,2,FALSE)+VLOOKUP($C55,'05'!$C$8:$N$226,2,FALSE)+VLOOKUP($C55,'06'!$C$8:$K$229,2,FALSE)+VLOOKUP($C55,'07'!$C$8:$K$241,2,FALSE)</f>
        <v>0</v>
      </c>
      <c r="E55" s="192">
        <f>VLOOKUP($C55,'04'!$C$8:$K$254,3,FALSE)+VLOOKUP($C55,'05'!$C$8:$N$226,6,FALSE)+VLOOKUP($C55,'06'!$C$8:$K$229,3,FALSE)+VLOOKUP($C55,'07'!$C$8:$K$241,3,FALSE)</f>
        <v>0</v>
      </c>
      <c r="F55" s="190"/>
      <c r="G55" s="205"/>
      <c r="H55" s="190"/>
      <c r="I55" s="205"/>
      <c r="J55" s="190"/>
      <c r="K55" s="191"/>
    </row>
    <row r="56" spans="1:11" ht="20.100000000000001" customHeight="1" x14ac:dyDescent="0.2">
      <c r="A56" s="141" t="s">
        <v>205</v>
      </c>
      <c r="B56" s="147" t="s">
        <v>327</v>
      </c>
      <c r="C56" s="143" t="s">
        <v>328</v>
      </c>
      <c r="D56" s="192">
        <f>VLOOKUP($C56,'04'!$C$8:$K$254,2,FALSE)+VLOOKUP($C56,'05'!$C$8:$N$226,2,FALSE)+VLOOKUP($C56,'06'!$C$8:$K$229,2,FALSE)+VLOOKUP($C56,'07'!$C$8:$K$241,2,FALSE)</f>
        <v>0</v>
      </c>
      <c r="E56" s="192">
        <f>VLOOKUP($C56,'04'!$C$8:$K$254,3,FALSE)+VLOOKUP($C56,'05'!$C$8:$N$226,6,FALSE)+VLOOKUP($C56,'06'!$C$8:$K$229,3,FALSE)+VLOOKUP($C56,'07'!$C$8:$K$241,3,FALSE)</f>
        <v>0</v>
      </c>
      <c r="F56" s="190"/>
      <c r="G56" s="205"/>
      <c r="H56" s="190"/>
      <c r="I56" s="205"/>
      <c r="J56" s="190"/>
      <c r="K56" s="191"/>
    </row>
    <row r="57" spans="1:11" ht="20.100000000000001" customHeight="1" x14ac:dyDescent="0.2">
      <c r="A57" s="141" t="s">
        <v>206</v>
      </c>
      <c r="B57" s="147" t="s">
        <v>329</v>
      </c>
      <c r="C57" s="143" t="s">
        <v>330</v>
      </c>
      <c r="D57" s="192">
        <f>VLOOKUP($C57,'04'!$C$8:$K$254,2,FALSE)+VLOOKUP($C57,'05'!$C$8:$N$226,2,FALSE)+VLOOKUP($C57,'06'!$C$8:$K$229,2,FALSE)+VLOOKUP($C57,'07'!$C$8:$K$241,2,FALSE)</f>
        <v>0</v>
      </c>
      <c r="E57" s="192">
        <f>VLOOKUP($C57,'04'!$C$8:$K$254,3,FALSE)+VLOOKUP($C57,'05'!$C$8:$N$226,6,FALSE)+VLOOKUP($C57,'06'!$C$8:$K$229,3,FALSE)+VLOOKUP($C57,'07'!$C$8:$K$241,3,FALSE)</f>
        <v>0</v>
      </c>
      <c r="F57" s="190"/>
      <c r="G57" s="205"/>
      <c r="H57" s="190"/>
      <c r="I57" s="205"/>
      <c r="J57" s="190"/>
      <c r="K57" s="191"/>
    </row>
    <row r="58" spans="1:11" s="3" customFormat="1" ht="20.100000000000001" customHeight="1" x14ac:dyDescent="0.2">
      <c r="A58" s="148" t="s">
        <v>207</v>
      </c>
      <c r="B58" s="149" t="s">
        <v>672</v>
      </c>
      <c r="C58" s="150" t="s">
        <v>331</v>
      </c>
      <c r="D58" s="151">
        <f>SUM(D53:D57)</f>
        <v>0</v>
      </c>
      <c r="E58" s="197">
        <f>SUM(E53:E57)</f>
        <v>0</v>
      </c>
      <c r="F58" s="197"/>
      <c r="G58" s="206"/>
      <c r="H58" s="197"/>
      <c r="I58" s="206"/>
      <c r="J58" s="197"/>
      <c r="K58" s="194"/>
    </row>
    <row r="59" spans="1:11" ht="20.100000000000001" customHeight="1" x14ac:dyDescent="0.2">
      <c r="A59" s="141" t="s">
        <v>208</v>
      </c>
      <c r="B59" s="147" t="s">
        <v>433</v>
      </c>
      <c r="C59" s="143" t="s">
        <v>332</v>
      </c>
      <c r="D59" s="192">
        <f>VLOOKUP($C59,'04'!$C$8:$K$254,2,FALSE)+VLOOKUP($C59,'05'!$C$8:$N$226,2,FALSE)+VLOOKUP($C59,'06'!$C$8:$K$229,2,FALSE)+VLOOKUP($C59,'07'!$C$8:$K$241,2,FALSE)</f>
        <v>0</v>
      </c>
      <c r="E59" s="192">
        <f>VLOOKUP($C59,'04'!$C$8:$K$254,3,FALSE)+VLOOKUP($C59,'05'!$C$8:$N$226,6,FALSE)+VLOOKUP($C59,'06'!$C$8:$K$229,3,FALSE)+VLOOKUP($C59,'07'!$C$8:$K$241,3,FALSE)</f>
        <v>0</v>
      </c>
      <c r="F59" s="190"/>
      <c r="G59" s="205"/>
      <c r="H59" s="190"/>
      <c r="I59" s="205"/>
      <c r="J59" s="190"/>
      <c r="K59" s="191"/>
    </row>
    <row r="60" spans="1:11" ht="20.100000000000001" customHeight="1" x14ac:dyDescent="0.2">
      <c r="A60" s="141" t="s">
        <v>209</v>
      </c>
      <c r="B60" s="147" t="s">
        <v>673</v>
      </c>
      <c r="C60" s="143" t="s">
        <v>333</v>
      </c>
      <c r="D60" s="192">
        <f>VLOOKUP($C60,'04'!$C$8:$K$254,2,FALSE)+VLOOKUP($C60,'05'!$C$8:$N$226,2,FALSE)+VLOOKUP($C60,'06'!$C$8:$K$229,2,FALSE)+VLOOKUP($C60,'07'!$C$8:$K$241,2,FALSE)</f>
        <v>0</v>
      </c>
      <c r="E60" s="192">
        <f>VLOOKUP($C60,'04'!$C$8:$K$254,3,FALSE)+VLOOKUP($C60,'05'!$C$8:$N$226,6,FALSE)+VLOOKUP($C60,'06'!$C$8:$K$229,3,FALSE)+VLOOKUP($C60,'07'!$C$8:$K$241,3,FALSE)</f>
        <v>0</v>
      </c>
      <c r="F60" s="190"/>
      <c r="G60" s="205"/>
      <c r="H60" s="190"/>
      <c r="I60" s="205"/>
      <c r="J60" s="190"/>
      <c r="K60" s="191"/>
    </row>
    <row r="61" spans="1:11" ht="20.100000000000001" customHeight="1" x14ac:dyDescent="0.2">
      <c r="A61" s="141" t="s">
        <v>210</v>
      </c>
      <c r="B61" s="147" t="s">
        <v>676</v>
      </c>
      <c r="C61" s="143" t="s">
        <v>335</v>
      </c>
      <c r="D61" s="192">
        <f>VLOOKUP($C61,'04'!$C$8:$K$254,2,FALSE)+VLOOKUP($C61,'05'!$C$8:$N$226,2,FALSE)+VLOOKUP($C61,'06'!$C$8:$K$229,2,FALSE)+VLOOKUP($C61,'07'!$C$8:$K$241,2,FALSE)</f>
        <v>0</v>
      </c>
      <c r="E61" s="192">
        <f>VLOOKUP($C61,'04'!$C$8:$K$254,3,FALSE)+VLOOKUP($C61,'05'!$C$8:$N$226,6,FALSE)+VLOOKUP($C61,'06'!$C$8:$K$229,3,FALSE)+VLOOKUP($C61,'07'!$C$8:$K$241,3,FALSE)</f>
        <v>0</v>
      </c>
      <c r="F61" s="190"/>
      <c r="G61" s="205"/>
      <c r="H61" s="190"/>
      <c r="I61" s="205"/>
      <c r="J61" s="190"/>
      <c r="K61" s="191"/>
    </row>
    <row r="62" spans="1:11" ht="20.100000000000001" customHeight="1" x14ac:dyDescent="0.2">
      <c r="A62" s="141" t="s">
        <v>211</v>
      </c>
      <c r="B62" s="147" t="s">
        <v>434</v>
      </c>
      <c r="C62" s="143" t="s">
        <v>674</v>
      </c>
      <c r="D62" s="192">
        <f>VLOOKUP($C62,'04'!$C$8:$K$254,2,FALSE)+VLOOKUP($C62,'05'!$C$8:$N$226,2,FALSE)+VLOOKUP($C62,'06'!$C$8:$K$229,2,FALSE)+VLOOKUP($C62,'07'!$C$8:$K$241,2,FALSE)</f>
        <v>1000000</v>
      </c>
      <c r="E62" s="192">
        <f>VLOOKUP($C62,'04'!$C$8:$K$254,3,FALSE)+VLOOKUP($C62,'05'!$C$8:$N$226,6,FALSE)+VLOOKUP($C62,'06'!$C$8:$K$229,3,FALSE)+VLOOKUP($C62,'07'!$C$8:$K$241,3,FALSE)</f>
        <v>1000000</v>
      </c>
      <c r="F62" s="192"/>
      <c r="G62" s="205"/>
      <c r="H62" s="190"/>
      <c r="I62" s="205"/>
      <c r="J62" s="190"/>
      <c r="K62" s="191"/>
    </row>
    <row r="63" spans="1:11" ht="20.100000000000001" customHeight="1" x14ac:dyDescent="0.2">
      <c r="A63" s="141" t="s">
        <v>212</v>
      </c>
      <c r="B63" s="147" t="s">
        <v>334</v>
      </c>
      <c r="C63" s="143" t="s">
        <v>675</v>
      </c>
      <c r="D63" s="192">
        <f>VLOOKUP($C63,'04'!$C$8:$K$254,2,FALSE)+VLOOKUP($C63,'05'!$C$8:$N$226,2,FALSE)+VLOOKUP($C63,'06'!$C$8:$K$229,2,FALSE)+VLOOKUP($C63,'07'!$C$8:$K$241,2,FALSE)</f>
        <v>1738781</v>
      </c>
      <c r="E63" s="192">
        <f>VLOOKUP($C63,'04'!$C$8:$K$254,3,FALSE)+VLOOKUP($C63,'05'!$C$8:$N$226,6,FALSE)+VLOOKUP($C63,'06'!$C$8:$K$229,3,FALSE)+VLOOKUP($C63,'07'!$C$8:$K$241,3,FALSE)</f>
        <v>1738781</v>
      </c>
      <c r="F63" s="190"/>
      <c r="G63" s="205"/>
      <c r="H63" s="190"/>
      <c r="I63" s="205"/>
      <c r="J63" s="190"/>
      <c r="K63" s="191"/>
    </row>
    <row r="64" spans="1:11" s="3" customFormat="1" ht="20.100000000000001" customHeight="1" x14ac:dyDescent="0.2">
      <c r="A64" s="148" t="s">
        <v>213</v>
      </c>
      <c r="B64" s="149" t="s">
        <v>681</v>
      </c>
      <c r="C64" s="150" t="s">
        <v>336</v>
      </c>
      <c r="D64" s="151">
        <f>SUM(D59:D63)</f>
        <v>2738781</v>
      </c>
      <c r="E64" s="197">
        <f>SUM(E59:E63)</f>
        <v>2738781</v>
      </c>
      <c r="F64" s="197"/>
      <c r="G64" s="206"/>
      <c r="H64" s="197"/>
      <c r="I64" s="206"/>
      <c r="J64" s="197"/>
      <c r="K64" s="194"/>
    </row>
    <row r="65" spans="1:11" ht="20.100000000000001" customHeight="1" x14ac:dyDescent="0.2">
      <c r="A65" s="141" t="s">
        <v>214</v>
      </c>
      <c r="B65" s="147" t="s">
        <v>435</v>
      </c>
      <c r="C65" s="143" t="s">
        <v>337</v>
      </c>
      <c r="D65" s="192">
        <f>VLOOKUP($C65,'04'!$C$8:$K$254,2,FALSE)+VLOOKUP($C65,'05'!$C$8:$N$226,2,FALSE)+VLOOKUP($C65,'06'!$C$8:$K$229,2,FALSE)+VLOOKUP($C65,'07'!$C$8:$K$241,2,FALSE)</f>
        <v>0</v>
      </c>
      <c r="E65" s="192">
        <f>VLOOKUP($C65,'04'!$C$8:$K$254,3,FALSE)+VLOOKUP($C65,'05'!$C$8:$N$226,6,FALSE)+VLOOKUP($C65,'06'!$C$8:$K$229,3,FALSE)+VLOOKUP($C65,'07'!$C$8:$K$241,3,FALSE)</f>
        <v>0</v>
      </c>
      <c r="F65" s="190"/>
      <c r="G65" s="205"/>
      <c r="H65" s="190"/>
      <c r="I65" s="205"/>
      <c r="J65" s="190"/>
      <c r="K65" s="191"/>
    </row>
    <row r="66" spans="1:11" ht="20.100000000000001" customHeight="1" x14ac:dyDescent="0.2">
      <c r="A66" s="141" t="s">
        <v>215</v>
      </c>
      <c r="B66" s="147" t="s">
        <v>679</v>
      </c>
      <c r="C66" s="143" t="s">
        <v>338</v>
      </c>
      <c r="D66" s="192">
        <f>VLOOKUP($C66,'04'!$C$8:$K$254,2,FALSE)+VLOOKUP($C66,'05'!$C$8:$N$226,2,FALSE)+VLOOKUP($C66,'06'!$C$8:$K$229,2,FALSE)+VLOOKUP($C66,'07'!$C$8:$K$241,2,FALSE)</f>
        <v>0</v>
      </c>
      <c r="E66" s="192">
        <f>VLOOKUP($C66,'04'!$C$8:$K$254,3,FALSE)+VLOOKUP($C66,'05'!$C$8:$N$226,6,FALSE)+VLOOKUP($C66,'06'!$C$8:$K$229,3,FALSE)+VLOOKUP($C66,'07'!$C$8:$K$241,3,FALSE)</f>
        <v>0</v>
      </c>
      <c r="F66" s="190"/>
      <c r="G66" s="205"/>
      <c r="H66" s="190"/>
      <c r="I66" s="205"/>
      <c r="J66" s="190"/>
      <c r="K66" s="191"/>
    </row>
    <row r="67" spans="1:11" ht="20.100000000000001" customHeight="1" x14ac:dyDescent="0.2">
      <c r="A67" s="141" t="s">
        <v>216</v>
      </c>
      <c r="B67" s="147" t="s">
        <v>680</v>
      </c>
      <c r="C67" s="143" t="s">
        <v>340</v>
      </c>
      <c r="D67" s="192">
        <f>VLOOKUP($C67,'04'!$C$8:$K$254,2,FALSE)+VLOOKUP($C67,'05'!$C$8:$N$226,2,FALSE)+VLOOKUP($C67,'06'!$C$8:$K$229,2,FALSE)+VLOOKUP($C67,'07'!$C$8:$K$241,2,FALSE)</f>
        <v>0</v>
      </c>
      <c r="E67" s="192">
        <f>VLOOKUP($C67,'04'!$C$8:$K$254,3,FALSE)+VLOOKUP($C67,'05'!$C$8:$N$226,6,FALSE)+VLOOKUP($C67,'06'!$C$8:$K$229,3,FALSE)+VLOOKUP($C67,'07'!$C$8:$K$241,3,FALSE)</f>
        <v>0</v>
      </c>
      <c r="F67" s="190"/>
      <c r="G67" s="205"/>
      <c r="H67" s="190"/>
      <c r="I67" s="205"/>
      <c r="J67" s="190"/>
      <c r="K67" s="191"/>
    </row>
    <row r="68" spans="1:11" ht="20.100000000000001" customHeight="1" x14ac:dyDescent="0.2">
      <c r="A68" s="141" t="s">
        <v>217</v>
      </c>
      <c r="B68" s="147" t="s">
        <v>436</v>
      </c>
      <c r="C68" s="143" t="s">
        <v>677</v>
      </c>
      <c r="D68" s="192">
        <f>VLOOKUP($C68,'04'!$C$8:$K$254,2,FALSE)+VLOOKUP($C68,'05'!$C$8:$N$226,2,FALSE)+VLOOKUP($C68,'06'!$C$8:$K$229,2,FALSE)+VLOOKUP($C68,'07'!$C$8:$K$241,2,FALSE)</f>
        <v>0</v>
      </c>
      <c r="E68" s="192">
        <f>VLOOKUP($C68,'04'!$C$8:$K$254,3,FALSE)+VLOOKUP($C68,'05'!$C$8:$N$226,6,FALSE)+VLOOKUP($C68,'06'!$C$8:$K$229,3,FALSE)+VLOOKUP($C68,'07'!$C$8:$K$241,3,FALSE)</f>
        <v>0</v>
      </c>
      <c r="F68" s="190"/>
      <c r="G68" s="205"/>
      <c r="H68" s="190"/>
      <c r="I68" s="205"/>
      <c r="J68" s="190"/>
      <c r="K68" s="191"/>
    </row>
    <row r="69" spans="1:11" ht="20.100000000000001" customHeight="1" x14ac:dyDescent="0.2">
      <c r="A69" s="141" t="s">
        <v>218</v>
      </c>
      <c r="B69" s="147" t="s">
        <v>339</v>
      </c>
      <c r="C69" s="143" t="s">
        <v>678</v>
      </c>
      <c r="D69" s="192">
        <f>VLOOKUP($C69,'04'!$C$8:$K$254,2,FALSE)+VLOOKUP($C69,'05'!$C$8:$N$226,2,FALSE)+VLOOKUP($C69,'06'!$C$8:$K$229,2,FALSE)+VLOOKUP($C69,'07'!$C$8:$K$241,2,FALSE)</f>
        <v>0</v>
      </c>
      <c r="E69" s="192">
        <f>VLOOKUP($C69,'04'!$C$8:$K$254,3,FALSE)+VLOOKUP($C69,'05'!$C$8:$N$226,6,FALSE)+VLOOKUP($C69,'06'!$C$8:$K$229,3,FALSE)+VLOOKUP($C69,'07'!$C$8:$K$241,3,FALSE)</f>
        <v>0</v>
      </c>
      <c r="F69" s="190"/>
      <c r="G69" s="205"/>
      <c r="H69" s="190"/>
      <c r="I69" s="205"/>
      <c r="J69" s="190"/>
      <c r="K69" s="191"/>
    </row>
    <row r="70" spans="1:11" s="3" customFormat="1" ht="20.100000000000001" customHeight="1" x14ac:dyDescent="0.2">
      <c r="A70" s="148" t="s">
        <v>219</v>
      </c>
      <c r="B70" s="149" t="s">
        <v>682</v>
      </c>
      <c r="C70" s="150" t="s">
        <v>341</v>
      </c>
      <c r="D70" s="151">
        <f>SUM(D65:D69)</f>
        <v>0</v>
      </c>
      <c r="E70" s="197">
        <f>SUM(E65:E69)</f>
        <v>0</v>
      </c>
      <c r="F70" s="197"/>
      <c r="G70" s="206"/>
      <c r="H70" s="197"/>
      <c r="I70" s="206"/>
      <c r="J70" s="197"/>
      <c r="K70" s="194"/>
    </row>
    <row r="71" spans="1:11" s="3" customFormat="1" ht="20.100000000000001" customHeight="1" x14ac:dyDescent="0.2">
      <c r="A71" s="155" t="s">
        <v>220</v>
      </c>
      <c r="B71" s="156" t="s">
        <v>683</v>
      </c>
      <c r="C71" s="157" t="s">
        <v>342</v>
      </c>
      <c r="D71" s="152">
        <f>D20+D26+D40+D52+D58+D64+D70</f>
        <v>633515549</v>
      </c>
      <c r="E71" s="196">
        <f>E20+E26+E40+E52+E58+E64+E70</f>
        <v>652838519</v>
      </c>
      <c r="F71" s="196"/>
      <c r="G71" s="204"/>
      <c r="H71" s="196"/>
      <c r="I71" s="204"/>
      <c r="J71" s="196"/>
      <c r="K71" s="189"/>
    </row>
    <row r="72" spans="1:11" ht="20.100000000000001" customHeight="1" x14ac:dyDescent="0.2">
      <c r="A72" s="141" t="s">
        <v>221</v>
      </c>
      <c r="B72" s="153" t="s">
        <v>684</v>
      </c>
      <c r="C72" s="154" t="s">
        <v>343</v>
      </c>
      <c r="D72" s="192">
        <f>VLOOKUP($C72,'04'!$C$8:$K$254,2,FALSE)+VLOOKUP($C72,'05'!$C$8:$N$226,2,FALSE)+VLOOKUP($C72,'06'!$C$8:$K$229,2,FALSE)+VLOOKUP($C72,'07'!$C$8:$K$241,2,FALSE)</f>
        <v>0</v>
      </c>
      <c r="E72" s="192">
        <f>VLOOKUP($C72,'04'!$C$8:$K$254,3,FALSE)+VLOOKUP($C72,'05'!$C$8:$N$226,6,FALSE)+VLOOKUP($C72,'06'!$C$8:$K$229,3,FALSE)+VLOOKUP($C72,'07'!$C$8:$K$241,3,FALSE)</f>
        <v>0</v>
      </c>
      <c r="F72" s="190"/>
      <c r="G72" s="205"/>
      <c r="H72" s="190"/>
      <c r="I72" s="205"/>
      <c r="J72" s="190"/>
      <c r="K72" s="191"/>
    </row>
    <row r="73" spans="1:11" ht="20.100000000000001" customHeight="1" x14ac:dyDescent="0.2">
      <c r="A73" s="141" t="s">
        <v>222</v>
      </c>
      <c r="B73" s="147" t="s">
        <v>344</v>
      </c>
      <c r="C73" s="154" t="s">
        <v>345</v>
      </c>
      <c r="D73" s="192">
        <f>VLOOKUP($C73,'04'!$C$8:$K$254,2,FALSE)+VLOOKUP($C73,'05'!$C$8:$N$226,2,FALSE)+VLOOKUP($C73,'06'!$C$8:$K$229,2,FALSE)+VLOOKUP($C73,'07'!$C$8:$K$241,2,FALSE)</f>
        <v>0</v>
      </c>
      <c r="E73" s="192">
        <f>VLOOKUP($C73,'04'!$C$8:$K$254,3,FALSE)+VLOOKUP($C73,'05'!$C$8:$N$226,6,FALSE)+VLOOKUP($C73,'06'!$C$8:$K$229,3,FALSE)+VLOOKUP($C73,'07'!$C$8:$K$241,3,FALSE)</f>
        <v>0</v>
      </c>
      <c r="F73" s="190"/>
      <c r="G73" s="205"/>
      <c r="H73" s="190"/>
      <c r="I73" s="205"/>
      <c r="J73" s="190"/>
      <c r="K73" s="191"/>
    </row>
    <row r="74" spans="1:11" ht="20.100000000000001" customHeight="1" x14ac:dyDescent="0.2">
      <c r="A74" s="141" t="s">
        <v>223</v>
      </c>
      <c r="B74" s="153" t="s">
        <v>685</v>
      </c>
      <c r="C74" s="154" t="s">
        <v>346</v>
      </c>
      <c r="D74" s="192">
        <f>VLOOKUP($C74,'04'!$C$8:$K$254,2,FALSE)+VLOOKUP($C74,'05'!$C$8:$N$226,2,FALSE)+VLOOKUP($C74,'06'!$C$8:$K$229,2,FALSE)+VLOOKUP($C74,'07'!$C$8:$K$241,2,FALSE)</f>
        <v>0</v>
      </c>
      <c r="E74" s="192">
        <f>VLOOKUP($C74,'04'!$C$8:$K$254,3,FALSE)+VLOOKUP($C74,'05'!$C$8:$N$226,6,FALSE)+VLOOKUP($C74,'06'!$C$8:$K$229,3,FALSE)+VLOOKUP($C74,'07'!$C$8:$K$241,3,FALSE)</f>
        <v>0</v>
      </c>
      <c r="F74" s="190"/>
      <c r="G74" s="205"/>
      <c r="H74" s="190"/>
      <c r="I74" s="205"/>
      <c r="J74" s="190"/>
      <c r="K74" s="191"/>
    </row>
    <row r="75" spans="1:11" s="3" customFormat="1" ht="20.100000000000001" customHeight="1" x14ac:dyDescent="0.2">
      <c r="A75" s="148" t="s">
        <v>224</v>
      </c>
      <c r="B75" s="149" t="s">
        <v>688</v>
      </c>
      <c r="C75" s="158" t="s">
        <v>347</v>
      </c>
      <c r="D75" s="151">
        <f>SUM(D72:D74)</f>
        <v>0</v>
      </c>
      <c r="E75" s="197">
        <f>SUM(E72:E74)</f>
        <v>0</v>
      </c>
      <c r="F75" s="197"/>
      <c r="G75" s="206"/>
      <c r="H75" s="197"/>
      <c r="I75" s="206"/>
      <c r="J75" s="197"/>
      <c r="K75" s="194"/>
    </row>
    <row r="76" spans="1:11" ht="20.100000000000001" customHeight="1" x14ac:dyDescent="0.2">
      <c r="A76" s="141" t="s">
        <v>225</v>
      </c>
      <c r="B76" s="147" t="s">
        <v>348</v>
      </c>
      <c r="C76" s="154" t="s">
        <v>349</v>
      </c>
      <c r="D76" s="192">
        <f>VLOOKUP($C76,'04'!$C$8:$K$254,2,FALSE)+VLOOKUP($C76,'05'!$C$8:$N$226,2,FALSE)+VLOOKUP($C76,'06'!$C$8:$K$229,2,FALSE)+VLOOKUP($C76,'07'!$C$8:$K$241,2,FALSE)</f>
        <v>0</v>
      </c>
      <c r="E76" s="192">
        <f>VLOOKUP($C76,'04'!$C$8:$K$254,3,FALSE)+VLOOKUP($C76,'05'!$C$8:$N$226,6,FALSE)+VLOOKUP($C76,'06'!$C$8:$K$229,3,FALSE)+VLOOKUP($C76,'07'!$C$8:$K$241,3,FALSE)</f>
        <v>0</v>
      </c>
      <c r="F76" s="190"/>
      <c r="G76" s="205"/>
      <c r="H76" s="190"/>
      <c r="I76" s="205"/>
      <c r="J76" s="190"/>
      <c r="K76" s="191"/>
    </row>
    <row r="77" spans="1:11" ht="20.100000000000001" customHeight="1" x14ac:dyDescent="0.2">
      <c r="A77" s="141" t="s">
        <v>226</v>
      </c>
      <c r="B77" s="153" t="s">
        <v>686</v>
      </c>
      <c r="C77" s="154" t="s">
        <v>350</v>
      </c>
      <c r="D77" s="192">
        <f>VLOOKUP($C77,'04'!$C$8:$K$254,2,FALSE)+VLOOKUP($C77,'05'!$C$8:$N$226,2,FALSE)+VLOOKUP($C77,'06'!$C$8:$K$229,2,FALSE)+VLOOKUP($C77,'07'!$C$8:$K$241,2,FALSE)</f>
        <v>0</v>
      </c>
      <c r="E77" s="192">
        <f>VLOOKUP($C77,'04'!$C$8:$K$254,3,FALSE)+VLOOKUP($C77,'05'!$C$8:$N$226,6,FALSE)+VLOOKUP($C77,'06'!$C$8:$K$229,3,FALSE)+VLOOKUP($C77,'07'!$C$8:$K$241,3,FALSE)</f>
        <v>0</v>
      </c>
      <c r="F77" s="190"/>
      <c r="G77" s="205"/>
      <c r="H77" s="190"/>
      <c r="I77" s="205"/>
      <c r="J77" s="190"/>
      <c r="K77" s="191"/>
    </row>
    <row r="78" spans="1:11" ht="20.100000000000001" customHeight="1" x14ac:dyDescent="0.2">
      <c r="A78" s="141" t="s">
        <v>227</v>
      </c>
      <c r="B78" s="147" t="s">
        <v>351</v>
      </c>
      <c r="C78" s="154" t="s">
        <v>352</v>
      </c>
      <c r="D78" s="192">
        <f>VLOOKUP($C78,'04'!$C$8:$K$254,2,FALSE)+VLOOKUP($C78,'05'!$C$8:$N$226,2,FALSE)+VLOOKUP($C78,'06'!$C$8:$K$229,2,FALSE)+VLOOKUP($C78,'07'!$C$8:$K$241,2,FALSE)</f>
        <v>0</v>
      </c>
      <c r="E78" s="192">
        <f>VLOOKUP($C78,'04'!$C$8:$K$254,3,FALSE)+VLOOKUP($C78,'05'!$C$8:$N$226,6,FALSE)+VLOOKUP($C78,'06'!$C$8:$K$229,3,FALSE)+VLOOKUP($C78,'07'!$C$8:$K$241,3,FALSE)</f>
        <v>0</v>
      </c>
      <c r="F78" s="190"/>
      <c r="G78" s="205"/>
      <c r="H78" s="190"/>
      <c r="I78" s="205"/>
      <c r="J78" s="190"/>
      <c r="K78" s="191"/>
    </row>
    <row r="79" spans="1:11" ht="20.100000000000001" customHeight="1" x14ac:dyDescent="0.2">
      <c r="A79" s="141" t="s">
        <v>228</v>
      </c>
      <c r="B79" s="153" t="s">
        <v>687</v>
      </c>
      <c r="C79" s="154" t="s">
        <v>353</v>
      </c>
      <c r="D79" s="192">
        <f>VLOOKUP($C79,'04'!$C$8:$K$254,2,FALSE)+VLOOKUP($C79,'05'!$C$8:$N$226,2,FALSE)+VLOOKUP($C79,'06'!$C$8:$K$229,2,FALSE)+VLOOKUP($C79,'07'!$C$8:$K$241,2,FALSE)</f>
        <v>0</v>
      </c>
      <c r="E79" s="192">
        <f>VLOOKUP($C79,'04'!$C$8:$K$254,3,FALSE)+VLOOKUP($C79,'05'!$C$8:$N$226,6,FALSE)+VLOOKUP($C79,'06'!$C$8:$K$229,3,FALSE)+VLOOKUP($C79,'07'!$C$8:$K$241,3,FALSE)</f>
        <v>0</v>
      </c>
      <c r="F79" s="190"/>
      <c r="G79" s="205"/>
      <c r="H79" s="190"/>
      <c r="I79" s="205"/>
      <c r="J79" s="190"/>
      <c r="K79" s="191"/>
    </row>
    <row r="80" spans="1:11" s="3" customFormat="1" ht="20.100000000000001" customHeight="1" x14ac:dyDescent="0.2">
      <c r="A80" s="148" t="s">
        <v>229</v>
      </c>
      <c r="B80" s="159" t="s">
        <v>689</v>
      </c>
      <c r="C80" s="158" t="s">
        <v>354</v>
      </c>
      <c r="D80" s="151">
        <f>SUM(D76:D79)</f>
        <v>0</v>
      </c>
      <c r="E80" s="197">
        <f>SUM(E76:E79)</f>
        <v>0</v>
      </c>
      <c r="F80" s="197"/>
      <c r="G80" s="206"/>
      <c r="H80" s="197"/>
      <c r="I80" s="206"/>
      <c r="J80" s="197"/>
      <c r="K80" s="194"/>
    </row>
    <row r="81" spans="1:11" ht="20.100000000000001" customHeight="1" x14ac:dyDescent="0.2">
      <c r="A81" s="141" t="s">
        <v>230</v>
      </c>
      <c r="B81" s="147" t="s">
        <v>355</v>
      </c>
      <c r="C81" s="154" t="s">
        <v>356</v>
      </c>
      <c r="D81" s="192">
        <f>VLOOKUP($C81,'04'!$C$8:$K$254,2,FALSE)+VLOOKUP($C81,'05'!$C$8:$N$226,2,FALSE)+VLOOKUP($C81,'06'!$C$8:$K$229,2,FALSE)+VLOOKUP($C81,'07'!$C$8:$K$241,2,FALSE)</f>
        <v>44107095</v>
      </c>
      <c r="E81" s="192">
        <f>VLOOKUP($C81,'04'!$C$8:$K$254,3,FALSE)+VLOOKUP($C81,'05'!$C$8:$N$226,6,FALSE)+VLOOKUP($C81,'06'!$C$8:$K$229,3,FALSE)+VLOOKUP($C81,'07'!$C$8:$K$241,3,FALSE)</f>
        <v>46300919</v>
      </c>
      <c r="F81" s="190"/>
      <c r="G81" s="205"/>
      <c r="H81" s="190"/>
      <c r="I81" s="205"/>
      <c r="J81" s="190"/>
      <c r="K81" s="191"/>
    </row>
    <row r="82" spans="1:11" ht="20.100000000000001" customHeight="1" x14ac:dyDescent="0.2">
      <c r="A82" s="141" t="s">
        <v>231</v>
      </c>
      <c r="B82" s="147" t="s">
        <v>357</v>
      </c>
      <c r="C82" s="154" t="s">
        <v>358</v>
      </c>
      <c r="D82" s="192">
        <f>VLOOKUP($C82,'04'!$C$8:$K$254,2,FALSE)+VLOOKUP($C82,'05'!$C$8:$N$226,2,FALSE)+VLOOKUP($C82,'06'!$C$8:$K$229,2,FALSE)+VLOOKUP($C82,'07'!$C$8:$K$241,2,FALSE)</f>
        <v>0</v>
      </c>
      <c r="E82" s="192">
        <f>VLOOKUP($C82,'04'!$C$8:$K$254,3,FALSE)+VLOOKUP($C82,'05'!$C$8:$N$226,6,FALSE)+VLOOKUP($C82,'06'!$C$8:$K$229,3,FALSE)+VLOOKUP($C82,'07'!$C$8:$K$241,3,FALSE)</f>
        <v>0</v>
      </c>
      <c r="F82" s="190"/>
      <c r="G82" s="205"/>
      <c r="H82" s="190"/>
      <c r="I82" s="205"/>
      <c r="J82" s="190"/>
      <c r="K82" s="191"/>
    </row>
    <row r="83" spans="1:11" s="3" customFormat="1" ht="20.100000000000001" customHeight="1" x14ac:dyDescent="0.2">
      <c r="A83" s="148" t="s">
        <v>232</v>
      </c>
      <c r="B83" s="149" t="s">
        <v>691</v>
      </c>
      <c r="C83" s="158" t="s">
        <v>359</v>
      </c>
      <c r="D83" s="151">
        <f>SUM(D81:D82)</f>
        <v>44107095</v>
      </c>
      <c r="E83" s="197">
        <f>SUM(E81:E82)</f>
        <v>46300919</v>
      </c>
      <c r="F83" s="197"/>
      <c r="G83" s="206"/>
      <c r="H83" s="197"/>
      <c r="I83" s="206"/>
      <c r="J83" s="197"/>
      <c r="K83" s="194"/>
    </row>
    <row r="84" spans="1:11" ht="20.100000000000001" customHeight="1" x14ac:dyDescent="0.2">
      <c r="A84" s="141" t="s">
        <v>233</v>
      </c>
      <c r="B84" s="153" t="s">
        <v>360</v>
      </c>
      <c r="C84" s="154" t="s">
        <v>361</v>
      </c>
      <c r="D84" s="192">
        <f>VLOOKUP($C84,'04'!$C$8:$K$254,2,FALSE)+VLOOKUP($C84,'05'!$C$8:$N$226,2,FALSE)+VLOOKUP($C84,'06'!$C$8:$K$229,2,FALSE)+VLOOKUP($C84,'07'!$C$8:$K$241,2,FALSE)</f>
        <v>0</v>
      </c>
      <c r="E84" s="192">
        <f>VLOOKUP($C84,'04'!$C$8:$K$254,3,FALSE)+VLOOKUP($C84,'05'!$C$8:$N$226,6,FALSE)+VLOOKUP($C84,'06'!$C$8:$K$229,3,FALSE)+VLOOKUP($C84,'07'!$C$8:$K$241,3,FALSE)</f>
        <v>0</v>
      </c>
      <c r="F84" s="190"/>
      <c r="G84" s="205"/>
      <c r="H84" s="190"/>
      <c r="I84" s="205"/>
      <c r="J84" s="190"/>
      <c r="K84" s="191"/>
    </row>
    <row r="85" spans="1:11" ht="20.100000000000001" customHeight="1" x14ac:dyDescent="0.2">
      <c r="A85" s="141" t="s">
        <v>234</v>
      </c>
      <c r="B85" s="153" t="s">
        <v>362</v>
      </c>
      <c r="C85" s="154" t="s">
        <v>363</v>
      </c>
      <c r="D85" s="192">
        <f>VLOOKUP($C85,'04'!$C$8:$K$254,2,FALSE)+VLOOKUP($C85,'05'!$C$8:$N$226,2,FALSE)+VLOOKUP($C85,'06'!$C$8:$K$229,2,FALSE)+VLOOKUP($C85,'07'!$C$8:$K$241,2,FALSE)</f>
        <v>0</v>
      </c>
      <c r="E85" s="192">
        <f>VLOOKUP($C85,'04'!$C$8:$K$254,3,FALSE)+VLOOKUP($C85,'05'!$C$8:$N$226,6,FALSE)+VLOOKUP($C85,'06'!$C$8:$K$229,3,FALSE)+VLOOKUP($C85,'07'!$C$8:$K$241,3,FALSE)</f>
        <v>0</v>
      </c>
      <c r="F85" s="190"/>
      <c r="G85" s="205"/>
      <c r="H85" s="190"/>
      <c r="I85" s="205"/>
      <c r="J85" s="190"/>
      <c r="K85" s="191"/>
    </row>
    <row r="86" spans="1:11" ht="20.100000000000001" customHeight="1" x14ac:dyDescent="0.2">
      <c r="A86" s="141" t="s">
        <v>235</v>
      </c>
      <c r="B86" s="153" t="s">
        <v>364</v>
      </c>
      <c r="C86" s="154" t="s">
        <v>365</v>
      </c>
      <c r="D86" s="192">
        <f>VLOOKUP($C86,'04'!$C$8:$K$254,2,FALSE)+VLOOKUP($C86,'05'!$C$8:$N$226,2,FALSE)+VLOOKUP($C86,'06'!$C$8:$K$229,2,FALSE)+VLOOKUP($C86,'07'!$C$8:$K$241,2,FALSE)</f>
        <v>195194468</v>
      </c>
      <c r="E86" s="192">
        <f>VLOOKUP($C86,'04'!$C$8:$K$254,3,FALSE)+VLOOKUP($C86,'05'!$C$8:$N$226,6,FALSE)+VLOOKUP($C86,'06'!$C$8:$K$229,3,FALSE)+VLOOKUP($C86,'07'!$C$8:$K$241,3,FALSE)</f>
        <v>194952719</v>
      </c>
      <c r="F86" s="190"/>
      <c r="G86" s="205"/>
      <c r="H86" s="192"/>
      <c r="I86" s="205"/>
      <c r="J86" s="192"/>
      <c r="K86" s="191"/>
    </row>
    <row r="87" spans="1:11" ht="20.100000000000001" customHeight="1" x14ac:dyDescent="0.2">
      <c r="A87" s="141" t="s">
        <v>236</v>
      </c>
      <c r="B87" s="153" t="s">
        <v>690</v>
      </c>
      <c r="C87" s="154" t="s">
        <v>366</v>
      </c>
      <c r="D87" s="192">
        <f>VLOOKUP($C87,'04'!$C$8:$K$254,2,FALSE)+VLOOKUP($C87,'05'!$C$8:$N$226,2,FALSE)+VLOOKUP($C87,'06'!$C$8:$K$229,2,FALSE)+VLOOKUP($C87,'07'!$C$8:$K$241,2,FALSE)</f>
        <v>0</v>
      </c>
      <c r="E87" s="192">
        <f>VLOOKUP($C87,'04'!$C$8:$K$254,3,FALSE)+VLOOKUP($C87,'05'!$C$8:$N$226,6,FALSE)+VLOOKUP($C87,'06'!$C$8:$K$229,3,FALSE)+VLOOKUP($C87,'07'!$C$8:$K$241,3,FALSE)</f>
        <v>0</v>
      </c>
      <c r="F87" s="190"/>
      <c r="G87" s="205"/>
      <c r="H87" s="190"/>
      <c r="I87" s="205"/>
      <c r="J87" s="190"/>
      <c r="K87" s="191"/>
    </row>
    <row r="88" spans="1:11" ht="20.100000000000001" customHeight="1" x14ac:dyDescent="0.2">
      <c r="A88" s="141" t="s">
        <v>237</v>
      </c>
      <c r="B88" s="147" t="s">
        <v>367</v>
      </c>
      <c r="C88" s="154" t="s">
        <v>368</v>
      </c>
      <c r="D88" s="192">
        <f>VLOOKUP($C88,'04'!$C$8:$K$254,2,FALSE)+VLOOKUP($C88,'05'!$C$8:$N$226,2,FALSE)+VLOOKUP($C88,'06'!$C$8:$K$229,2,FALSE)+VLOOKUP($C88,'07'!$C$8:$K$241,2,FALSE)</f>
        <v>0</v>
      </c>
      <c r="E88" s="192">
        <f>VLOOKUP($C88,'04'!$C$8:$K$254,3,FALSE)+VLOOKUP($C88,'05'!$C$8:$N$226,6,FALSE)+VLOOKUP($C88,'06'!$C$8:$K$229,3,FALSE)+VLOOKUP($C88,'07'!$C$8:$K$241,3,FALSE)</f>
        <v>0</v>
      </c>
      <c r="F88" s="190"/>
      <c r="G88" s="205"/>
      <c r="H88" s="190"/>
      <c r="I88" s="205"/>
      <c r="J88" s="190"/>
      <c r="K88" s="191"/>
    </row>
    <row r="89" spans="1:11" ht="20.100000000000001" customHeight="1" x14ac:dyDescent="0.2">
      <c r="A89" s="141" t="s">
        <v>238</v>
      </c>
      <c r="B89" s="147" t="s">
        <v>695</v>
      </c>
      <c r="C89" s="154" t="s">
        <v>693</v>
      </c>
      <c r="D89" s="192">
        <f>VLOOKUP($C89,'04'!$C$8:$K$254,2,FALSE)+VLOOKUP($C89,'05'!$C$8:$N$226,2,FALSE)+VLOOKUP($C89,'06'!$C$8:$K$229,2,FALSE)+VLOOKUP($C89,'07'!$C$8:$K$241,2,FALSE)</f>
        <v>0</v>
      </c>
      <c r="E89" s="192">
        <f>VLOOKUP($C89,'04'!$C$8:$K$254,3,FALSE)+VLOOKUP($C89,'05'!$C$8:$N$226,6,FALSE)+VLOOKUP($C89,'06'!$C$8:$K$229,3,FALSE)+VLOOKUP($C89,'07'!$C$8:$K$241,3,FALSE)</f>
        <v>0</v>
      </c>
      <c r="F89" s="190"/>
      <c r="G89" s="205"/>
      <c r="H89" s="190"/>
      <c r="I89" s="205"/>
      <c r="J89" s="190"/>
      <c r="K89" s="191"/>
    </row>
    <row r="90" spans="1:11" ht="20.100000000000001" customHeight="1" x14ac:dyDescent="0.2">
      <c r="A90" s="141" t="s">
        <v>239</v>
      </c>
      <c r="B90" s="147" t="s">
        <v>696</v>
      </c>
      <c r="C90" s="154" t="s">
        <v>694</v>
      </c>
      <c r="D90" s="192">
        <f>VLOOKUP($C90,'04'!$C$8:$K$254,2,FALSE)+VLOOKUP($C90,'05'!$C$8:$N$226,2,FALSE)+VLOOKUP($C90,'06'!$C$8:$K$229,2,FALSE)+VLOOKUP($C90,'07'!$C$8:$K$241,2,FALSE)</f>
        <v>0</v>
      </c>
      <c r="E90" s="192">
        <f>VLOOKUP($C90,'04'!$C$8:$K$254,3,FALSE)+VLOOKUP($C90,'05'!$C$8:$N$226,6,FALSE)+VLOOKUP($C90,'06'!$C$8:$K$229,3,FALSE)+VLOOKUP($C90,'07'!$C$8:$K$241,3,FALSE)</f>
        <v>0</v>
      </c>
      <c r="F90" s="190"/>
      <c r="G90" s="205"/>
      <c r="H90" s="190"/>
      <c r="I90" s="205"/>
      <c r="J90" s="190"/>
      <c r="K90" s="191"/>
    </row>
    <row r="91" spans="1:11" s="3" customFormat="1" ht="20.100000000000001" customHeight="1" x14ac:dyDescent="0.2">
      <c r="A91" s="148" t="s">
        <v>240</v>
      </c>
      <c r="B91" s="149" t="s">
        <v>698</v>
      </c>
      <c r="C91" s="158" t="s">
        <v>692</v>
      </c>
      <c r="D91" s="151">
        <f>SUM(D89:D90)</f>
        <v>0</v>
      </c>
      <c r="E91" s="197">
        <f>SUM(E89:E90)</f>
        <v>0</v>
      </c>
      <c r="F91" s="197"/>
      <c r="G91" s="206"/>
      <c r="H91" s="197"/>
      <c r="I91" s="206"/>
      <c r="J91" s="197"/>
      <c r="K91" s="194"/>
    </row>
    <row r="92" spans="1:11" s="3" customFormat="1" ht="20.100000000000001" customHeight="1" x14ac:dyDescent="0.2">
      <c r="A92" s="148" t="s">
        <v>500</v>
      </c>
      <c r="B92" s="149" t="s">
        <v>697</v>
      </c>
      <c r="C92" s="158" t="s">
        <v>369</v>
      </c>
      <c r="D92" s="151">
        <f>D75+D80+SUM(D83:D88)+D91</f>
        <v>239301563</v>
      </c>
      <c r="E92" s="197">
        <f>E75+E80+SUM(E83:E88)+E91</f>
        <v>241253638</v>
      </c>
      <c r="F92" s="197"/>
      <c r="G92" s="206"/>
      <c r="H92" s="197"/>
      <c r="I92" s="206"/>
      <c r="J92" s="197"/>
      <c r="K92" s="194"/>
    </row>
    <row r="93" spans="1:11" ht="20.100000000000001" customHeight="1" x14ac:dyDescent="0.2">
      <c r="A93" s="141" t="s">
        <v>501</v>
      </c>
      <c r="B93" s="147" t="s">
        <v>841</v>
      </c>
      <c r="C93" s="154" t="s">
        <v>371</v>
      </c>
      <c r="D93" s="192">
        <f>VLOOKUP($C93,'04'!$C$8:$K$254,2,FALSE)+VLOOKUP($C93,'05'!$C$8:$N$226,2,FALSE)+VLOOKUP($C93,'06'!$C$8:$K$229,2,FALSE)+VLOOKUP($C93,'07'!$C$8:$K$241,2,FALSE)</f>
        <v>0</v>
      </c>
      <c r="E93" s="192">
        <f>VLOOKUP($C93,'04'!$C$8:$K$254,3,FALSE)+VLOOKUP($C93,'05'!$C$8:$N$226,6,FALSE)+VLOOKUP($C93,'06'!$C$8:$K$229,3,FALSE)+VLOOKUP($C93,'07'!$C$8:$K$241,3,FALSE)</f>
        <v>0</v>
      </c>
      <c r="F93" s="190"/>
      <c r="G93" s="205"/>
      <c r="H93" s="190"/>
      <c r="I93" s="205"/>
      <c r="J93" s="190"/>
      <c r="K93" s="191"/>
    </row>
    <row r="94" spans="1:11" ht="20.100000000000001" customHeight="1" x14ac:dyDescent="0.2">
      <c r="A94" s="141" t="s">
        <v>502</v>
      </c>
      <c r="B94" s="147" t="s">
        <v>372</v>
      </c>
      <c r="C94" s="154" t="s">
        <v>373</v>
      </c>
      <c r="D94" s="192">
        <f>VLOOKUP($C94,'04'!$C$8:$K$254,2,FALSE)+VLOOKUP($C94,'05'!$C$8:$N$226,2,FALSE)+VLOOKUP($C94,'06'!$C$8:$K$229,2,FALSE)+VLOOKUP($C94,'07'!$C$8:$K$241,2,FALSE)</f>
        <v>0</v>
      </c>
      <c r="E94" s="192">
        <f>VLOOKUP($C94,'04'!$C$8:$K$254,3,FALSE)+VLOOKUP($C94,'05'!$C$8:$N$226,6,FALSE)+VLOOKUP($C94,'06'!$C$8:$K$229,3,FALSE)+VLOOKUP($C94,'07'!$C$8:$K$241,3,FALSE)</f>
        <v>0</v>
      </c>
      <c r="F94" s="190"/>
      <c r="G94" s="205"/>
      <c r="H94" s="190"/>
      <c r="I94" s="205"/>
      <c r="J94" s="190"/>
      <c r="K94" s="191"/>
    </row>
    <row r="95" spans="1:11" ht="20.100000000000001" customHeight="1" x14ac:dyDescent="0.2">
      <c r="A95" s="141" t="s">
        <v>503</v>
      </c>
      <c r="B95" s="153" t="s">
        <v>374</v>
      </c>
      <c r="C95" s="154" t="s">
        <v>375</v>
      </c>
      <c r="D95" s="192">
        <f>VLOOKUP($C95,'04'!$C$8:$K$254,2,FALSE)+VLOOKUP($C95,'05'!$C$8:$N$226,2,FALSE)+VLOOKUP($C95,'06'!$C$8:$K$229,2,FALSE)+VLOOKUP($C95,'07'!$C$8:$K$241,2,FALSE)</f>
        <v>0</v>
      </c>
      <c r="E95" s="192">
        <f>VLOOKUP($C95,'04'!$C$8:$K$254,3,FALSE)+VLOOKUP($C95,'05'!$C$8:$N$226,6,FALSE)+VLOOKUP($C95,'06'!$C$8:$K$229,3,FALSE)+VLOOKUP($C95,'07'!$C$8:$K$241,3,FALSE)</f>
        <v>0</v>
      </c>
      <c r="F95" s="190"/>
      <c r="G95" s="205"/>
      <c r="H95" s="190"/>
      <c r="I95" s="205"/>
      <c r="J95" s="190"/>
      <c r="K95" s="191"/>
    </row>
    <row r="96" spans="1:11" ht="20.100000000000001" customHeight="1" x14ac:dyDescent="0.2">
      <c r="A96" s="141" t="s">
        <v>504</v>
      </c>
      <c r="B96" s="153" t="s">
        <v>701</v>
      </c>
      <c r="C96" s="154" t="s">
        <v>376</v>
      </c>
      <c r="D96" s="192">
        <f>VLOOKUP($C96,'04'!$C$8:$K$254,2,FALSE)+VLOOKUP($C96,'05'!$C$8:$N$226,2,FALSE)+VLOOKUP($C96,'06'!$C$8:$K$229,2,FALSE)+VLOOKUP($C96,'07'!$C$8:$K$241,2,FALSE)</f>
        <v>0</v>
      </c>
      <c r="E96" s="192">
        <f>VLOOKUP($C96,'04'!$C$8:$K$254,3,FALSE)+VLOOKUP($C96,'05'!$C$8:$N$226,6,FALSE)+VLOOKUP($C96,'06'!$C$8:$K$229,3,FALSE)+VLOOKUP($C96,'07'!$C$8:$K$241,3,FALSE)</f>
        <v>0</v>
      </c>
      <c r="F96" s="190"/>
      <c r="G96" s="205"/>
      <c r="H96" s="190"/>
      <c r="I96" s="205"/>
      <c r="J96" s="190"/>
      <c r="K96" s="191"/>
    </row>
    <row r="97" spans="1:11" ht="20.100000000000001" customHeight="1" x14ac:dyDescent="0.2">
      <c r="A97" s="141" t="s">
        <v>505</v>
      </c>
      <c r="B97" s="153" t="s">
        <v>700</v>
      </c>
      <c r="C97" s="154" t="s">
        <v>702</v>
      </c>
      <c r="D97" s="192">
        <f>VLOOKUP($C97,'04'!$C$8:$K$254,2,FALSE)+VLOOKUP($C97,'05'!$C$8:$N$226,2,FALSE)+VLOOKUP($C97,'06'!$C$8:$K$229,2,FALSE)+VLOOKUP($C97,'07'!$C$8:$K$241,2,FALSE)</f>
        <v>0</v>
      </c>
      <c r="E97" s="192">
        <f>VLOOKUP($C97,'04'!$C$8:$K$254,3,FALSE)+VLOOKUP($C97,'05'!$C$8:$N$226,6,FALSE)+VLOOKUP($C97,'06'!$C$8:$K$229,3,FALSE)+VLOOKUP($C97,'07'!$C$8:$K$241,3,FALSE)</f>
        <v>0</v>
      </c>
      <c r="F97" s="190"/>
      <c r="G97" s="205"/>
      <c r="H97" s="190"/>
      <c r="I97" s="205"/>
      <c r="J97" s="190"/>
      <c r="K97" s="191"/>
    </row>
    <row r="98" spans="1:11" s="3" customFormat="1" ht="20.100000000000001" customHeight="1" x14ac:dyDescent="0.2">
      <c r="A98" s="148" t="s">
        <v>506</v>
      </c>
      <c r="B98" s="159" t="s">
        <v>699</v>
      </c>
      <c r="C98" s="158" t="s">
        <v>377</v>
      </c>
      <c r="D98" s="151">
        <f>SUM(D93:D97)</f>
        <v>0</v>
      </c>
      <c r="E98" s="197">
        <f>SUM(E93:E97)</f>
        <v>0</v>
      </c>
      <c r="F98" s="197"/>
      <c r="G98" s="206"/>
      <c r="H98" s="197"/>
      <c r="I98" s="206"/>
      <c r="J98" s="197"/>
      <c r="K98" s="194"/>
    </row>
    <row r="99" spans="1:11" s="3" customFormat="1" ht="20.100000000000001" customHeight="1" x14ac:dyDescent="0.2">
      <c r="A99" s="141" t="s">
        <v>507</v>
      </c>
      <c r="B99" s="147" t="s">
        <v>378</v>
      </c>
      <c r="C99" s="154" t="s">
        <v>379</v>
      </c>
      <c r="D99" s="192">
        <f>VLOOKUP($C99,'04'!$C$8:$K$254,2,FALSE)+VLOOKUP($C99,'05'!$C$8:$N$226,2,FALSE)+VLOOKUP($C99,'06'!$C$8:$K$229,2,FALSE)+VLOOKUP($C99,'07'!$C$8:$K$241,2,FALSE)</f>
        <v>0</v>
      </c>
      <c r="E99" s="192">
        <f>VLOOKUP($C99,'04'!$C$8:$K$254,3,FALSE)+VLOOKUP($C99,'05'!$C$8:$N$226,6,FALSE)+VLOOKUP($C99,'06'!$C$8:$K$229,3,FALSE)+VLOOKUP($C99,'07'!$C$8:$K$241,3,FALSE)</f>
        <v>0</v>
      </c>
      <c r="F99" s="190"/>
      <c r="G99" s="205"/>
      <c r="H99" s="190"/>
      <c r="I99" s="205"/>
      <c r="J99" s="190"/>
      <c r="K99" s="191"/>
    </row>
    <row r="100" spans="1:11" ht="20.100000000000001" customHeight="1" x14ac:dyDescent="0.2">
      <c r="A100" s="141" t="s">
        <v>508</v>
      </c>
      <c r="B100" s="147" t="s">
        <v>706</v>
      </c>
      <c r="C100" s="154" t="s">
        <v>704</v>
      </c>
      <c r="D100" s="192">
        <f>VLOOKUP($C100,'04'!$C$8:$K$254,2,FALSE)+VLOOKUP($C100,'05'!$C$8:$N$226,2,FALSE)+VLOOKUP($C100,'06'!$C$8:$K$229,2,FALSE)+VLOOKUP($C100,'07'!$C$8:$K$241,2,FALSE)</f>
        <v>0</v>
      </c>
      <c r="E100" s="192">
        <f>VLOOKUP($C100,'04'!$C$8:$K$254,3,FALSE)+VLOOKUP($C100,'05'!$C$8:$N$226,6,FALSE)+VLOOKUP($C100,'06'!$C$8:$K$229,3,FALSE)+VLOOKUP($C100,'07'!$C$8:$K$241,3,FALSE)</f>
        <v>0</v>
      </c>
      <c r="F100" s="190"/>
      <c r="G100" s="205"/>
      <c r="H100" s="190"/>
      <c r="I100" s="205"/>
      <c r="J100" s="190"/>
      <c r="K100" s="191"/>
    </row>
    <row r="101" spans="1:11" s="3" customFormat="1" ht="20.100000000000001" customHeight="1" x14ac:dyDescent="0.2">
      <c r="A101" s="155" t="s">
        <v>509</v>
      </c>
      <c r="B101" s="162" t="s">
        <v>705</v>
      </c>
      <c r="C101" s="163" t="s">
        <v>380</v>
      </c>
      <c r="D101" s="152">
        <f>SUM(D92,D98:D100)</f>
        <v>239301563</v>
      </c>
      <c r="E101" s="196">
        <f>SUM(E92,E98:E100)</f>
        <v>241253638</v>
      </c>
      <c r="F101" s="196"/>
      <c r="G101" s="204"/>
      <c r="H101" s="196"/>
      <c r="I101" s="204"/>
      <c r="J101" s="196"/>
      <c r="K101" s="189"/>
    </row>
    <row r="102" spans="1:11" s="3" customFormat="1" ht="20.100000000000001" customHeight="1" x14ac:dyDescent="0.2">
      <c r="A102" s="160" t="s">
        <v>510</v>
      </c>
      <c r="B102" s="93" t="s">
        <v>703</v>
      </c>
      <c r="C102" s="94"/>
      <c r="D102" s="161">
        <f>D71+D101</f>
        <v>872817112</v>
      </c>
      <c r="E102" s="201">
        <f>E71+E101</f>
        <v>894092157</v>
      </c>
      <c r="F102" s="201"/>
      <c r="G102" s="202"/>
      <c r="H102" s="201"/>
      <c r="I102" s="202"/>
      <c r="J102" s="201"/>
      <c r="K102" s="203"/>
    </row>
    <row r="103" spans="1:11" ht="20.100000000000001" customHeight="1" x14ac:dyDescent="0.2">
      <c r="A103" s="141" t="s">
        <v>511</v>
      </c>
      <c r="B103" s="164" t="s">
        <v>20</v>
      </c>
      <c r="C103" s="166" t="s">
        <v>51</v>
      </c>
      <c r="D103" s="192">
        <f>VLOOKUP($C103,'04'!$C$8:$K$254,2,FALSE)+VLOOKUP($C103,'05'!$C$8:$N$226,2,FALSE)+VLOOKUP($C103,'06'!$C$8:$K$229,2,FALSE)+VLOOKUP($C103,'07'!$C$8:$K$241,2,FALSE)</f>
        <v>162051385.02127659</v>
      </c>
      <c r="E103" s="192">
        <f>VLOOKUP($C103,'04'!$C$8:$K$254,3,FALSE)+VLOOKUP($C103,'05'!$C$8:$N$226,6,FALSE)+VLOOKUP($C103,'06'!$C$8:$K$229,3,FALSE)+VLOOKUP($C103,'07'!$C$8:$K$241,3,FALSE)</f>
        <v>162826796</v>
      </c>
      <c r="F103" s="190"/>
      <c r="G103" s="190"/>
      <c r="H103" s="190"/>
      <c r="I103" s="190"/>
      <c r="J103" s="190"/>
      <c r="K103" s="198"/>
    </row>
    <row r="104" spans="1:11" ht="20.100000000000001" customHeight="1" x14ac:dyDescent="0.2">
      <c r="A104" s="141" t="s">
        <v>512</v>
      </c>
      <c r="B104" s="164" t="s">
        <v>47</v>
      </c>
      <c r="C104" s="165" t="s">
        <v>50</v>
      </c>
      <c r="D104" s="192">
        <f>VLOOKUP($C104,'04'!$C$8:$K$254,2,FALSE)+VLOOKUP($C104,'05'!$C$8:$N$226,2,FALSE)+VLOOKUP($C104,'06'!$C$8:$K$229,2,FALSE)+VLOOKUP($C104,'07'!$C$8:$K$241,2,FALSE)</f>
        <v>0</v>
      </c>
      <c r="E104" s="192">
        <f>VLOOKUP($C104,'04'!$C$8:$K$254,3,FALSE)+VLOOKUP($C104,'05'!$C$8:$N$226,6,FALSE)+VLOOKUP($C104,'06'!$C$8:$K$229,3,FALSE)+VLOOKUP($C104,'07'!$C$8:$K$241,3,FALSE)</f>
        <v>1913800</v>
      </c>
      <c r="F104" s="190"/>
      <c r="G104" s="190"/>
      <c r="H104" s="190"/>
      <c r="I104" s="190"/>
      <c r="J104" s="190"/>
      <c r="K104" s="198"/>
    </row>
    <row r="105" spans="1:11" ht="20.100000000000001" customHeight="1" x14ac:dyDescent="0.2">
      <c r="A105" s="141" t="s">
        <v>513</v>
      </c>
      <c r="B105" s="164" t="s">
        <v>46</v>
      </c>
      <c r="C105" s="165" t="s">
        <v>49</v>
      </c>
      <c r="D105" s="192">
        <f>VLOOKUP($C105,'04'!$C$8:$K$254,2,FALSE)+VLOOKUP($C105,'05'!$C$8:$N$226,2,FALSE)+VLOOKUP($C105,'06'!$C$8:$K$229,2,FALSE)+VLOOKUP($C105,'07'!$C$8:$K$241,2,FALSE)</f>
        <v>10604636</v>
      </c>
      <c r="E105" s="192">
        <f>VLOOKUP($C105,'04'!$C$8:$K$254,3,FALSE)+VLOOKUP($C105,'05'!$C$8:$N$226,6,FALSE)+VLOOKUP($C105,'06'!$C$8:$K$229,3,FALSE)+VLOOKUP($C105,'07'!$C$8:$K$241,3,FALSE)</f>
        <v>10604636</v>
      </c>
      <c r="F105" s="190"/>
      <c r="G105" s="190"/>
      <c r="H105" s="190"/>
      <c r="I105" s="190"/>
      <c r="J105" s="190"/>
      <c r="K105" s="198"/>
    </row>
    <row r="106" spans="1:11" ht="20.100000000000001" customHeight="1" x14ac:dyDescent="0.2">
      <c r="A106" s="141" t="s">
        <v>515</v>
      </c>
      <c r="B106" s="142" t="s">
        <v>19</v>
      </c>
      <c r="C106" s="165" t="s">
        <v>48</v>
      </c>
      <c r="D106" s="192">
        <f>VLOOKUP($C106,'04'!$C$8:$K$254,2,FALSE)+VLOOKUP($C106,'05'!$C$8:$N$226,2,FALSE)+VLOOKUP($C106,'06'!$C$8:$K$229,2,FALSE)+VLOOKUP($C106,'07'!$C$8:$K$241,2,FALSE)</f>
        <v>0</v>
      </c>
      <c r="E106" s="192">
        <f>VLOOKUP($C106,'04'!$C$8:$K$254,3,FALSE)+VLOOKUP($C106,'05'!$C$8:$N$226,6,FALSE)+VLOOKUP($C106,'06'!$C$8:$K$229,3,FALSE)+VLOOKUP($C106,'07'!$C$8:$K$241,3,FALSE)</f>
        <v>0</v>
      </c>
      <c r="F106" s="190"/>
      <c r="G106" s="190"/>
      <c r="H106" s="190"/>
      <c r="I106" s="190"/>
      <c r="J106" s="190"/>
      <c r="K106" s="198"/>
    </row>
    <row r="107" spans="1:11" ht="20.100000000000001" customHeight="1" x14ac:dyDescent="0.2">
      <c r="A107" s="141" t="s">
        <v>516</v>
      </c>
      <c r="B107" s="142" t="s">
        <v>16</v>
      </c>
      <c r="C107" s="165" t="s">
        <v>45</v>
      </c>
      <c r="D107" s="192">
        <f>VLOOKUP($C107,'04'!$C$8:$K$254,2,FALSE)+VLOOKUP($C107,'05'!$C$8:$N$226,2,FALSE)+VLOOKUP($C107,'06'!$C$8:$K$229,2,FALSE)+VLOOKUP($C107,'07'!$C$8:$K$241,2,FALSE)</f>
        <v>0</v>
      </c>
      <c r="E107" s="192">
        <f>VLOOKUP($C107,'04'!$C$8:$K$254,3,FALSE)+VLOOKUP($C107,'05'!$C$8:$N$226,6,FALSE)+VLOOKUP($C107,'06'!$C$8:$K$229,3,FALSE)+VLOOKUP($C107,'07'!$C$8:$K$241,3,FALSE)</f>
        <v>0</v>
      </c>
      <c r="F107" s="190"/>
      <c r="G107" s="190"/>
      <c r="H107" s="190"/>
      <c r="I107" s="190"/>
      <c r="J107" s="190"/>
      <c r="K107" s="198"/>
    </row>
    <row r="108" spans="1:11" ht="20.100000000000001" customHeight="1" x14ac:dyDescent="0.2">
      <c r="A108" s="141" t="s">
        <v>517</v>
      </c>
      <c r="B108" s="142" t="s">
        <v>17</v>
      </c>
      <c r="C108" s="165" t="s">
        <v>44</v>
      </c>
      <c r="D108" s="192">
        <f>VLOOKUP($C108,'04'!$C$8:$K$254,2,FALSE)+VLOOKUP($C108,'05'!$C$8:$N$226,2,FALSE)+VLOOKUP($C108,'06'!$C$8:$K$229,2,FALSE)+VLOOKUP($C108,'07'!$C$8:$K$241,2,FALSE)</f>
        <v>0</v>
      </c>
      <c r="E108" s="192">
        <f>VLOOKUP($C108,'04'!$C$8:$K$254,3,FALSE)+VLOOKUP($C108,'05'!$C$8:$N$226,6,FALSE)+VLOOKUP($C108,'06'!$C$8:$K$229,3,FALSE)+VLOOKUP($C108,'07'!$C$8:$K$241,3,FALSE)</f>
        <v>1329200</v>
      </c>
      <c r="F108" s="190"/>
      <c r="G108" s="190"/>
      <c r="H108" s="190"/>
      <c r="I108" s="190"/>
      <c r="J108" s="190"/>
      <c r="K108" s="198"/>
    </row>
    <row r="109" spans="1:11" ht="20.100000000000001" customHeight="1" x14ac:dyDescent="0.2">
      <c r="A109" s="141" t="s">
        <v>518</v>
      </c>
      <c r="B109" s="142" t="s">
        <v>21</v>
      </c>
      <c r="C109" s="165" t="s">
        <v>43</v>
      </c>
      <c r="D109" s="192">
        <f>VLOOKUP($C109,'04'!$C$8:$K$254,2,FALSE)+VLOOKUP($C109,'05'!$C$8:$N$226,2,FALSE)+VLOOKUP($C109,'06'!$C$8:$K$229,2,FALSE)+VLOOKUP($C109,'07'!$C$8:$K$241,2,FALSE)</f>
        <v>7551250</v>
      </c>
      <c r="E109" s="192">
        <f>VLOOKUP($C109,'04'!$C$8:$K$254,3,FALSE)+VLOOKUP($C109,'05'!$C$8:$N$226,6,FALSE)+VLOOKUP($C109,'06'!$C$8:$K$229,3,FALSE)+VLOOKUP($C109,'07'!$C$8:$K$241,3,FALSE)</f>
        <v>9000400</v>
      </c>
      <c r="F109" s="190"/>
      <c r="G109" s="190"/>
      <c r="H109" s="190"/>
      <c r="I109" s="190"/>
      <c r="J109" s="190"/>
      <c r="K109" s="198"/>
    </row>
    <row r="110" spans="1:11" ht="20.100000000000001" customHeight="1" x14ac:dyDescent="0.2">
      <c r="A110" s="141" t="s">
        <v>519</v>
      </c>
      <c r="B110" s="142" t="s">
        <v>41</v>
      </c>
      <c r="C110" s="165" t="s">
        <v>42</v>
      </c>
      <c r="D110" s="192">
        <f>VLOOKUP($C110,'04'!$C$8:$K$254,2,FALSE)+VLOOKUP($C110,'05'!$C$8:$N$226,2,FALSE)+VLOOKUP($C110,'06'!$C$8:$K$229,2,FALSE)+VLOOKUP($C110,'07'!$C$8:$K$241,2,FALSE)</f>
        <v>0</v>
      </c>
      <c r="E110" s="192">
        <f>VLOOKUP($C110,'04'!$C$8:$K$254,3,FALSE)+VLOOKUP($C110,'05'!$C$8:$N$226,6,FALSE)+VLOOKUP($C110,'06'!$C$8:$K$229,3,FALSE)+VLOOKUP($C110,'07'!$C$8:$K$241,3,FALSE)</f>
        <v>0</v>
      </c>
      <c r="F110" s="190"/>
      <c r="G110" s="190"/>
      <c r="H110" s="190"/>
      <c r="I110" s="190"/>
      <c r="J110" s="190"/>
      <c r="K110" s="198"/>
    </row>
    <row r="111" spans="1:11" ht="20.100000000000001" customHeight="1" x14ac:dyDescent="0.2">
      <c r="A111" s="141" t="s">
        <v>520</v>
      </c>
      <c r="B111" s="147" t="s">
        <v>18</v>
      </c>
      <c r="C111" s="165" t="s">
        <v>40</v>
      </c>
      <c r="D111" s="192">
        <f>VLOOKUP($C111,'04'!$C$8:$K$254,2,FALSE)+VLOOKUP($C111,'05'!$C$8:$N$226,2,FALSE)+VLOOKUP($C111,'06'!$C$8:$K$229,2,FALSE)+VLOOKUP($C111,'07'!$C$8:$K$241,2,FALSE)</f>
        <v>568200</v>
      </c>
      <c r="E111" s="192">
        <f>VLOOKUP($C111,'04'!$C$8:$K$254,3,FALSE)+VLOOKUP($C111,'05'!$C$8:$N$226,6,FALSE)+VLOOKUP($C111,'06'!$C$8:$K$229,3,FALSE)+VLOOKUP($C111,'07'!$C$8:$K$241,3,FALSE)</f>
        <v>777660</v>
      </c>
      <c r="F111" s="190"/>
      <c r="G111" s="190"/>
      <c r="H111" s="190"/>
      <c r="I111" s="190"/>
      <c r="J111" s="190"/>
      <c r="K111" s="198"/>
    </row>
    <row r="112" spans="1:11" ht="20.100000000000001" customHeight="1" x14ac:dyDescent="0.2">
      <c r="A112" s="141" t="s">
        <v>521</v>
      </c>
      <c r="B112" s="147" t="s">
        <v>37</v>
      </c>
      <c r="C112" s="165" t="s">
        <v>39</v>
      </c>
      <c r="D112" s="192">
        <f>VLOOKUP($C112,'04'!$C$8:$K$254,2,FALSE)+VLOOKUP($C112,'05'!$C$8:$N$226,2,FALSE)+VLOOKUP($C112,'06'!$C$8:$K$229,2,FALSE)+VLOOKUP($C112,'07'!$C$8:$K$241,2,FALSE)</f>
        <v>0</v>
      </c>
      <c r="E112" s="192">
        <f>VLOOKUP($C112,'04'!$C$8:$K$254,3,FALSE)+VLOOKUP($C112,'05'!$C$8:$N$226,6,FALSE)+VLOOKUP($C112,'06'!$C$8:$K$229,3,FALSE)+VLOOKUP($C112,'07'!$C$8:$K$241,3,FALSE)</f>
        <v>119000</v>
      </c>
      <c r="F112" s="190"/>
      <c r="G112" s="190"/>
      <c r="H112" s="190"/>
      <c r="I112" s="190"/>
      <c r="J112" s="190"/>
      <c r="K112" s="198"/>
    </row>
    <row r="113" spans="1:11" ht="20.100000000000001" customHeight="1" x14ac:dyDescent="0.2">
      <c r="A113" s="141" t="s">
        <v>522</v>
      </c>
      <c r="B113" s="147" t="s">
        <v>36</v>
      </c>
      <c r="C113" s="165" t="s">
        <v>38</v>
      </c>
      <c r="D113" s="192">
        <f>VLOOKUP($C113,'04'!$C$8:$K$254,2,FALSE)+VLOOKUP($C113,'05'!$C$8:$N$226,2,FALSE)+VLOOKUP($C113,'06'!$C$8:$K$229,2,FALSE)+VLOOKUP($C113,'07'!$C$8:$K$241,2,FALSE)</f>
        <v>0</v>
      </c>
      <c r="E113" s="192">
        <f>VLOOKUP($C113,'04'!$C$8:$K$254,3,FALSE)+VLOOKUP($C113,'05'!$C$8:$N$226,6,FALSE)+VLOOKUP($C113,'06'!$C$8:$K$229,3,FALSE)+VLOOKUP($C113,'07'!$C$8:$K$241,3,FALSE)</f>
        <v>0</v>
      </c>
      <c r="F113" s="190"/>
      <c r="G113" s="190"/>
      <c r="H113" s="190"/>
      <c r="I113" s="190"/>
      <c r="J113" s="190"/>
      <c r="K113" s="198"/>
    </row>
    <row r="114" spans="1:11" s="2" customFormat="1" ht="20.100000000000001" customHeight="1" x14ac:dyDescent="0.2">
      <c r="A114" s="141" t="s">
        <v>523</v>
      </c>
      <c r="B114" s="147" t="s">
        <v>35</v>
      </c>
      <c r="C114" s="165" t="s">
        <v>34</v>
      </c>
      <c r="D114" s="192">
        <f>VLOOKUP($C114,'04'!$C$8:$K$254,2,FALSE)+VLOOKUP($C114,'05'!$C$8:$N$226,2,FALSE)+VLOOKUP($C114,'06'!$C$8:$K$229,2,FALSE)+VLOOKUP($C114,'07'!$C$8:$K$241,2,FALSE)</f>
        <v>0</v>
      </c>
      <c r="E114" s="192">
        <f>VLOOKUP($C114,'04'!$C$8:$K$254,3,FALSE)+VLOOKUP($C114,'05'!$C$8:$N$226,6,FALSE)+VLOOKUP($C114,'06'!$C$8:$K$229,3,FALSE)+VLOOKUP($C114,'07'!$C$8:$K$241,3,FALSE)</f>
        <v>0</v>
      </c>
      <c r="F114" s="190"/>
      <c r="G114" s="190"/>
      <c r="H114" s="190"/>
      <c r="I114" s="190"/>
      <c r="J114" s="190"/>
      <c r="K114" s="198"/>
    </row>
    <row r="115" spans="1:11" s="2" customFormat="1" ht="20.100000000000001" customHeight="1" x14ac:dyDescent="0.2">
      <c r="A115" s="141" t="s">
        <v>524</v>
      </c>
      <c r="B115" s="147" t="s">
        <v>25</v>
      </c>
      <c r="C115" s="165" t="s">
        <v>33</v>
      </c>
      <c r="D115" s="192">
        <f>VLOOKUP($C115,'04'!$C$8:$K$254,2,FALSE)+VLOOKUP($C115,'05'!$C$8:$N$226,2,FALSE)+VLOOKUP($C115,'06'!$C$8:$K$229,2,FALSE)+VLOOKUP($C115,'07'!$C$8:$K$241,2,FALSE)</f>
        <v>583458</v>
      </c>
      <c r="E115" s="192">
        <f>VLOOKUP($C115,'04'!$C$8:$K$254,3,FALSE)+VLOOKUP($C115,'05'!$C$8:$N$226,6,FALSE)+VLOOKUP($C115,'06'!$C$8:$K$229,3,FALSE)+VLOOKUP($C115,'07'!$C$8:$K$241,3,FALSE)</f>
        <v>1695651</v>
      </c>
      <c r="F115" s="190"/>
      <c r="G115" s="190"/>
      <c r="H115" s="190"/>
      <c r="I115" s="190"/>
      <c r="J115" s="190"/>
      <c r="K115" s="198"/>
    </row>
    <row r="116" spans="1:11" s="2" customFormat="1" ht="20.100000000000001" customHeight="1" x14ac:dyDescent="0.2">
      <c r="A116" s="148" t="s">
        <v>525</v>
      </c>
      <c r="B116" s="167" t="s">
        <v>842</v>
      </c>
      <c r="C116" s="168" t="s">
        <v>27</v>
      </c>
      <c r="D116" s="151">
        <f>SUM(D103:D115)</f>
        <v>181358929.02127659</v>
      </c>
      <c r="E116" s="197">
        <f>SUM(E103:E115)</f>
        <v>188267143</v>
      </c>
      <c r="F116" s="197"/>
      <c r="G116" s="197"/>
      <c r="H116" s="197"/>
      <c r="I116" s="197"/>
      <c r="J116" s="197"/>
      <c r="K116" s="194"/>
    </row>
    <row r="117" spans="1:11" ht="20.100000000000001" customHeight="1" x14ac:dyDescent="0.2">
      <c r="A117" s="141" t="s">
        <v>526</v>
      </c>
      <c r="B117" s="147" t="s">
        <v>22</v>
      </c>
      <c r="C117" s="165" t="s">
        <v>28</v>
      </c>
      <c r="D117" s="192">
        <f>VLOOKUP($C117,'04'!$C$8:$K$254,2,FALSE)+VLOOKUP($C117,'05'!$C$8:$N$226,2,FALSE)+VLOOKUP($C117,'06'!$C$8:$K$229,2,FALSE)+VLOOKUP($C117,'07'!$C$8:$K$241,2,FALSE)</f>
        <v>13116320</v>
      </c>
      <c r="E117" s="192">
        <f>VLOOKUP($C117,'04'!$C$8:$K$254,3,FALSE)+VLOOKUP($C117,'05'!$C$8:$N$226,6,FALSE)+VLOOKUP($C117,'06'!$C$8:$K$229,3,FALSE)+VLOOKUP($C117,'07'!$C$8:$K$241,3,FALSE)</f>
        <v>13103440</v>
      </c>
      <c r="F117" s="190"/>
      <c r="G117" s="190"/>
      <c r="H117" s="190"/>
      <c r="I117" s="190"/>
      <c r="J117" s="190"/>
      <c r="K117" s="198"/>
    </row>
    <row r="118" spans="1:11" ht="20.100000000000001" customHeight="1" x14ac:dyDescent="0.2">
      <c r="A118" s="141" t="s">
        <v>527</v>
      </c>
      <c r="B118" s="147" t="s">
        <v>426</v>
      </c>
      <c r="C118" s="165" t="s">
        <v>29</v>
      </c>
      <c r="D118" s="192">
        <f>VLOOKUP($C118,'04'!$C$8:$K$254,2,FALSE)+VLOOKUP($C118,'05'!$C$8:$N$226,2,FALSE)+VLOOKUP($C118,'06'!$C$8:$K$229,2,FALSE)+VLOOKUP($C118,'07'!$C$8:$K$241,2,FALSE)</f>
        <v>2000000</v>
      </c>
      <c r="E118" s="192">
        <f>VLOOKUP($C118,'04'!$C$8:$K$254,3,FALSE)+VLOOKUP($C118,'05'!$C$8:$N$226,6,FALSE)+VLOOKUP($C118,'06'!$C$8:$K$229,3,FALSE)+VLOOKUP($C118,'07'!$C$8:$K$241,3,FALSE)</f>
        <v>2486000</v>
      </c>
      <c r="F118" s="190"/>
      <c r="G118" s="190"/>
      <c r="H118" s="190"/>
      <c r="I118" s="190"/>
      <c r="J118" s="190"/>
      <c r="K118" s="198"/>
    </row>
    <row r="119" spans="1:11" ht="20.100000000000001" customHeight="1" x14ac:dyDescent="0.2">
      <c r="A119" s="141" t="s">
        <v>528</v>
      </c>
      <c r="B119" s="153" t="s">
        <v>23</v>
      </c>
      <c r="C119" s="165" t="s">
        <v>30</v>
      </c>
      <c r="D119" s="192">
        <f>VLOOKUP($C119,'04'!$C$8:$K$254,2,FALSE)+VLOOKUP($C119,'05'!$C$8:$N$226,2,FALSE)+VLOOKUP($C119,'06'!$C$8:$K$229,2,FALSE)+VLOOKUP($C119,'07'!$C$8:$K$241,2,FALSE)</f>
        <v>0</v>
      </c>
      <c r="E119" s="192">
        <f>VLOOKUP($C119,'04'!$C$8:$K$254,3,FALSE)+VLOOKUP($C119,'05'!$C$8:$N$226,6,FALSE)+VLOOKUP($C119,'06'!$C$8:$K$229,3,FALSE)+VLOOKUP($C119,'07'!$C$8:$K$241,3,FALSE)</f>
        <v>115923</v>
      </c>
      <c r="F119" s="190"/>
      <c r="G119" s="190"/>
      <c r="H119" s="190"/>
      <c r="I119" s="190"/>
      <c r="J119" s="190"/>
      <c r="K119" s="198"/>
    </row>
    <row r="120" spans="1:11" ht="20.100000000000001" customHeight="1" x14ac:dyDescent="0.2">
      <c r="A120" s="148" t="s">
        <v>529</v>
      </c>
      <c r="B120" s="149" t="s">
        <v>843</v>
      </c>
      <c r="C120" s="168" t="s">
        <v>31</v>
      </c>
      <c r="D120" s="151">
        <f>SUM(D117:D119)</f>
        <v>15116320</v>
      </c>
      <c r="E120" s="197">
        <f>SUM(E117:E119)</f>
        <v>15705363</v>
      </c>
      <c r="F120" s="197"/>
      <c r="G120" s="197"/>
      <c r="H120" s="197"/>
      <c r="I120" s="197"/>
      <c r="J120" s="197"/>
      <c r="K120" s="194"/>
    </row>
    <row r="121" spans="1:11" ht="20.100000000000001" customHeight="1" x14ac:dyDescent="0.2">
      <c r="A121" s="148" t="s">
        <v>530</v>
      </c>
      <c r="B121" s="167" t="s">
        <v>844</v>
      </c>
      <c r="C121" s="168" t="s">
        <v>32</v>
      </c>
      <c r="D121" s="151">
        <f>D116+D120</f>
        <v>196475249.02127659</v>
      </c>
      <c r="E121" s="197">
        <f>E116+E120</f>
        <v>203972506</v>
      </c>
      <c r="F121" s="197"/>
      <c r="G121" s="197"/>
      <c r="H121" s="197"/>
      <c r="I121" s="197"/>
      <c r="J121" s="197"/>
      <c r="K121" s="194"/>
    </row>
    <row r="122" spans="1:11" s="3" customFormat="1" ht="20.100000000000001" customHeight="1" x14ac:dyDescent="0.2">
      <c r="A122" s="148" t="s">
        <v>531</v>
      </c>
      <c r="B122" s="149" t="s">
        <v>24</v>
      </c>
      <c r="C122" s="168" t="s">
        <v>52</v>
      </c>
      <c r="D122" s="197">
        <f>VLOOKUP($C122,'04'!$C$8:$K$254,2,FALSE)+VLOOKUP($C122,'05'!$C$8:$N$226,2,FALSE)+VLOOKUP($C122,'06'!$C$8:$K$229,2,FALSE)+VLOOKUP($C122,'07'!$C$8:$K$241,2,FALSE)</f>
        <v>36723886.975000001</v>
      </c>
      <c r="E122" s="197">
        <f>VLOOKUP($C122,'04'!$C$8:$K$254,3,FALSE)+VLOOKUP($C122,'05'!$C$8:$N$226,6,FALSE)+VLOOKUP($C122,'06'!$C$8:$K$229,3,FALSE)+VLOOKUP($C122,'07'!$C$8:$K$241,3,FALSE)</f>
        <v>36210625</v>
      </c>
      <c r="F122" s="197"/>
      <c r="G122" s="197"/>
      <c r="H122" s="197"/>
      <c r="I122" s="197"/>
      <c r="J122" s="197"/>
      <c r="K122" s="194"/>
    </row>
    <row r="123" spans="1:11" ht="20.100000000000001" customHeight="1" x14ac:dyDescent="0.2">
      <c r="A123" s="141" t="s">
        <v>532</v>
      </c>
      <c r="B123" s="147" t="s">
        <v>63</v>
      </c>
      <c r="C123" s="165" t="s">
        <v>82</v>
      </c>
      <c r="D123" s="192">
        <f>VLOOKUP($C123,'04'!$C$8:$K$254,2,FALSE)+VLOOKUP($C123,'05'!$C$8:$N$226,2,FALSE)+VLOOKUP($C123,'06'!$C$8:$K$229,2,FALSE)+VLOOKUP($C123,'07'!$C$8:$K$241,2,FALSE)</f>
        <v>400000</v>
      </c>
      <c r="E123" s="192">
        <f>VLOOKUP($C123,'04'!$C$8:$K$254,3,FALSE)+VLOOKUP($C123,'05'!$C$8:$N$226,6,FALSE)+VLOOKUP($C123,'06'!$C$8:$K$229,3,FALSE)+VLOOKUP($C123,'07'!$C$8:$K$241,3,FALSE)</f>
        <v>937214</v>
      </c>
      <c r="F123" s="190"/>
      <c r="G123" s="190"/>
      <c r="H123" s="190"/>
      <c r="I123" s="190"/>
      <c r="J123" s="190"/>
      <c r="K123" s="198"/>
    </row>
    <row r="124" spans="1:11" ht="20.100000000000001" customHeight="1" x14ac:dyDescent="0.2">
      <c r="A124" s="141" t="s">
        <v>533</v>
      </c>
      <c r="B124" s="147" t="s">
        <v>64</v>
      </c>
      <c r="C124" s="165" t="s">
        <v>83</v>
      </c>
      <c r="D124" s="192">
        <f>VLOOKUP($C124,'04'!$C$8:$K$254,2,FALSE)+VLOOKUP($C124,'05'!$C$8:$N$226,2,FALSE)+VLOOKUP($C124,'06'!$C$8:$K$229,2,FALSE)+VLOOKUP($C124,'07'!$C$8:$K$241,2,FALSE)</f>
        <v>39362047</v>
      </c>
      <c r="E124" s="192">
        <f>VLOOKUP($C124,'04'!$C$8:$K$254,3,FALSE)+VLOOKUP($C124,'05'!$C$8:$N$226,6,FALSE)+VLOOKUP($C124,'06'!$C$8:$K$229,3,FALSE)+VLOOKUP($C124,'07'!$C$8:$K$241,3,FALSE)</f>
        <v>36663200</v>
      </c>
      <c r="F124" s="190"/>
      <c r="G124" s="190"/>
      <c r="H124" s="190"/>
      <c r="I124" s="190"/>
      <c r="J124" s="190"/>
      <c r="K124" s="198"/>
    </row>
    <row r="125" spans="1:11" ht="20.100000000000001" customHeight="1" x14ac:dyDescent="0.2">
      <c r="A125" s="141" t="s">
        <v>534</v>
      </c>
      <c r="B125" s="147" t="s">
        <v>65</v>
      </c>
      <c r="C125" s="165" t="s">
        <v>84</v>
      </c>
      <c r="D125" s="192">
        <f>VLOOKUP($C125,'04'!$C$8:$K$254,2,FALSE)+VLOOKUP($C125,'05'!$C$8:$N$226,2,FALSE)+VLOOKUP($C125,'06'!$C$8:$K$229,2,FALSE)+VLOOKUP($C125,'07'!$C$8:$K$241,2,FALSE)</f>
        <v>0</v>
      </c>
      <c r="E125" s="192">
        <f>VLOOKUP($C125,'04'!$C$8:$K$254,3,FALSE)+VLOOKUP($C125,'05'!$C$8:$N$226,6,FALSE)+VLOOKUP($C125,'06'!$C$8:$K$229,3,FALSE)+VLOOKUP($C125,'07'!$C$8:$K$241,3,FALSE)</f>
        <v>0</v>
      </c>
      <c r="F125" s="190"/>
      <c r="G125" s="190"/>
      <c r="H125" s="190"/>
      <c r="I125" s="190"/>
      <c r="J125" s="190"/>
      <c r="K125" s="198"/>
    </row>
    <row r="126" spans="1:11" ht="20.100000000000001" customHeight="1" x14ac:dyDescent="0.2">
      <c r="A126" s="148" t="s">
        <v>535</v>
      </c>
      <c r="B126" s="149" t="s">
        <v>845</v>
      </c>
      <c r="C126" s="168" t="s">
        <v>92</v>
      </c>
      <c r="D126" s="151">
        <f>SUM(D123:D125)</f>
        <v>39762047</v>
      </c>
      <c r="E126" s="197">
        <f>SUM(E123:E125)</f>
        <v>37600414</v>
      </c>
      <c r="F126" s="197"/>
      <c r="G126" s="197"/>
      <c r="H126" s="197"/>
      <c r="I126" s="197"/>
      <c r="J126" s="197"/>
      <c r="K126" s="194"/>
    </row>
    <row r="127" spans="1:11" ht="20.100000000000001" customHeight="1" x14ac:dyDescent="0.2">
      <c r="A127" s="141" t="s">
        <v>536</v>
      </c>
      <c r="B127" s="147" t="s">
        <v>66</v>
      </c>
      <c r="C127" s="165" t="s">
        <v>85</v>
      </c>
      <c r="D127" s="192">
        <f>VLOOKUP($C127,'04'!$C$8:$K$254,2,FALSE)+VLOOKUP($C127,'05'!$C$8:$N$226,2,FALSE)+VLOOKUP($C127,'06'!$C$8:$K$229,2,FALSE)+VLOOKUP($C127,'07'!$C$8:$K$241,2,FALSE)</f>
        <v>3180000</v>
      </c>
      <c r="E127" s="192">
        <f>VLOOKUP($C127,'04'!$C$8:$K$254,3,FALSE)+VLOOKUP($C127,'05'!$C$8:$N$226,6,FALSE)+VLOOKUP($C127,'06'!$C$8:$K$229,3,FALSE)+VLOOKUP($C127,'07'!$C$8:$K$241,3,FALSE)</f>
        <v>3816090</v>
      </c>
      <c r="F127" s="190"/>
      <c r="G127" s="190"/>
      <c r="H127" s="190"/>
      <c r="I127" s="190"/>
      <c r="J127" s="190"/>
      <c r="K127" s="198"/>
    </row>
    <row r="128" spans="1:11" ht="20.100000000000001" customHeight="1" x14ac:dyDescent="0.2">
      <c r="A128" s="141" t="s">
        <v>537</v>
      </c>
      <c r="B128" s="147" t="s">
        <v>67</v>
      </c>
      <c r="C128" s="165" t="s">
        <v>86</v>
      </c>
      <c r="D128" s="192">
        <f>VLOOKUP($C128,'04'!$C$8:$K$254,2,FALSE)+VLOOKUP($C128,'05'!$C$8:$N$226,2,FALSE)+VLOOKUP($C128,'06'!$C$8:$K$229,2,FALSE)+VLOOKUP($C128,'07'!$C$8:$K$241,2,FALSE)</f>
        <v>1140000</v>
      </c>
      <c r="E128" s="192">
        <f>VLOOKUP($C128,'04'!$C$8:$K$254,3,FALSE)+VLOOKUP($C128,'05'!$C$8:$N$226,6,FALSE)+VLOOKUP($C128,'06'!$C$8:$K$229,3,FALSE)+VLOOKUP($C128,'07'!$C$8:$K$241,3,FALSE)</f>
        <v>1752892</v>
      </c>
      <c r="F128" s="190"/>
      <c r="G128" s="190"/>
      <c r="H128" s="190"/>
      <c r="I128" s="190"/>
      <c r="J128" s="190"/>
      <c r="K128" s="198"/>
    </row>
    <row r="129" spans="1:11" ht="20.100000000000001" customHeight="1" x14ac:dyDescent="0.2">
      <c r="A129" s="148" t="s">
        <v>538</v>
      </c>
      <c r="B129" s="149" t="s">
        <v>846</v>
      </c>
      <c r="C129" s="168" t="s">
        <v>93</v>
      </c>
      <c r="D129" s="151">
        <f>SUM(D127:D128)</f>
        <v>4320000</v>
      </c>
      <c r="E129" s="197">
        <f>SUM(E127:E128)</f>
        <v>5568982</v>
      </c>
      <c r="F129" s="197"/>
      <c r="G129" s="197"/>
      <c r="H129" s="197"/>
      <c r="I129" s="197"/>
      <c r="J129" s="197"/>
      <c r="K129" s="194"/>
    </row>
    <row r="130" spans="1:11" ht="20.100000000000001" customHeight="1" x14ac:dyDescent="0.2">
      <c r="A130" s="141" t="s">
        <v>539</v>
      </c>
      <c r="B130" s="147" t="s">
        <v>68</v>
      </c>
      <c r="C130" s="165" t="s">
        <v>87</v>
      </c>
      <c r="D130" s="192">
        <f>VLOOKUP($C130,'04'!$C$8:$K$254,2,FALSE)+VLOOKUP($C130,'05'!$C$8:$N$226,2,FALSE)+VLOOKUP($C130,'06'!$C$8:$K$229,2,FALSE)+VLOOKUP($C130,'07'!$C$8:$K$241,2,FALSE)</f>
        <v>10970000</v>
      </c>
      <c r="E130" s="192">
        <f>VLOOKUP($C130,'04'!$C$8:$K$254,3,FALSE)+VLOOKUP($C130,'05'!$C$8:$N$226,6,FALSE)+VLOOKUP($C130,'06'!$C$8:$K$229,3,FALSE)+VLOOKUP($C130,'07'!$C$8:$K$241,3,FALSE)</f>
        <v>15466254</v>
      </c>
      <c r="F130" s="190"/>
      <c r="G130" s="190"/>
      <c r="H130" s="190"/>
      <c r="I130" s="190"/>
      <c r="J130" s="190"/>
      <c r="K130" s="198"/>
    </row>
    <row r="131" spans="1:11" ht="20.100000000000001" customHeight="1" x14ac:dyDescent="0.2">
      <c r="A131" s="141" t="s">
        <v>707</v>
      </c>
      <c r="B131" s="147" t="s">
        <v>69</v>
      </c>
      <c r="C131" s="165" t="s">
        <v>88</v>
      </c>
      <c r="D131" s="192">
        <f>VLOOKUP($C131,'04'!$C$8:$K$254,2,FALSE)+VLOOKUP($C131,'05'!$C$8:$N$226,2,FALSE)+VLOOKUP($C131,'06'!$C$8:$K$229,2,FALSE)+VLOOKUP($C131,'07'!$C$8:$K$241,2,FALSE)</f>
        <v>1080000</v>
      </c>
      <c r="E131" s="192">
        <f>VLOOKUP($C131,'04'!$C$8:$K$254,3,FALSE)+VLOOKUP($C131,'05'!$C$8:$N$226,6,FALSE)+VLOOKUP($C131,'06'!$C$8:$K$229,3,FALSE)+VLOOKUP($C131,'07'!$C$8:$K$241,3,FALSE)</f>
        <v>810038</v>
      </c>
      <c r="F131" s="190"/>
      <c r="G131" s="190"/>
      <c r="H131" s="190"/>
      <c r="I131" s="190"/>
      <c r="J131" s="190"/>
      <c r="K131" s="198"/>
    </row>
    <row r="132" spans="1:11" ht="20.100000000000001" customHeight="1" x14ac:dyDescent="0.2">
      <c r="A132" s="141" t="s">
        <v>708</v>
      </c>
      <c r="B132" s="147" t="s">
        <v>70</v>
      </c>
      <c r="C132" s="165" t="s">
        <v>89</v>
      </c>
      <c r="D132" s="192">
        <f>VLOOKUP($C132,'04'!$C$8:$K$254,2,FALSE)+VLOOKUP($C132,'05'!$C$8:$N$226,2,FALSE)+VLOOKUP($C132,'06'!$C$8:$K$229,2,FALSE)+VLOOKUP($C132,'07'!$C$8:$K$241,2,FALSE)</f>
        <v>2000000</v>
      </c>
      <c r="E132" s="192">
        <f>VLOOKUP($C132,'04'!$C$8:$K$254,3,FALSE)+VLOOKUP($C132,'05'!$C$8:$N$226,6,FALSE)+VLOOKUP($C132,'06'!$C$8:$K$229,3,FALSE)+VLOOKUP($C132,'07'!$C$8:$K$241,3,FALSE)</f>
        <v>2254368</v>
      </c>
      <c r="F132" s="190"/>
      <c r="G132" s="190"/>
      <c r="H132" s="190"/>
      <c r="I132" s="190"/>
      <c r="J132" s="190"/>
      <c r="K132" s="198"/>
    </row>
    <row r="133" spans="1:11" ht="20.100000000000001" customHeight="1" x14ac:dyDescent="0.2">
      <c r="A133" s="141" t="s">
        <v>709</v>
      </c>
      <c r="B133" s="147" t="s">
        <v>71</v>
      </c>
      <c r="C133" s="165" t="s">
        <v>90</v>
      </c>
      <c r="D133" s="192">
        <f>VLOOKUP($C133,'04'!$C$8:$K$254,2,FALSE)+VLOOKUP($C133,'05'!$C$8:$N$226,2,FALSE)+VLOOKUP($C133,'06'!$C$8:$K$229,2,FALSE)+VLOOKUP($C133,'07'!$C$8:$K$241,2,FALSE)</f>
        <v>6480000</v>
      </c>
      <c r="E133" s="192">
        <f>VLOOKUP($C133,'04'!$C$8:$K$254,3,FALSE)+VLOOKUP($C133,'05'!$C$8:$N$226,6,FALSE)+VLOOKUP($C133,'06'!$C$8:$K$229,3,FALSE)+VLOOKUP($C133,'07'!$C$8:$K$241,3,FALSE)</f>
        <v>8113960</v>
      </c>
      <c r="F133" s="190"/>
      <c r="G133" s="190"/>
      <c r="H133" s="190"/>
      <c r="I133" s="190"/>
      <c r="J133" s="190"/>
      <c r="K133" s="198"/>
    </row>
    <row r="134" spans="1:11" ht="20.100000000000001" customHeight="1" x14ac:dyDescent="0.2">
      <c r="A134" s="141" t="s">
        <v>710</v>
      </c>
      <c r="B134" s="169" t="s">
        <v>72</v>
      </c>
      <c r="C134" s="165" t="s">
        <v>91</v>
      </c>
      <c r="D134" s="192">
        <f>VLOOKUP($C134,'04'!$C$8:$K$254,2,FALSE)+VLOOKUP($C134,'05'!$C$8:$N$226,2,FALSE)+VLOOKUP($C134,'06'!$C$8:$K$229,2,FALSE)+VLOOKUP($C134,'07'!$C$8:$K$241,2,FALSE)</f>
        <v>2000000</v>
      </c>
      <c r="E134" s="192">
        <f>VLOOKUP($C134,'04'!$C$8:$K$254,3,FALSE)+VLOOKUP($C134,'05'!$C$8:$N$226,6,FALSE)+VLOOKUP($C134,'06'!$C$8:$K$229,3,FALSE)+VLOOKUP($C134,'07'!$C$8:$K$241,3,FALSE)</f>
        <v>4431387</v>
      </c>
      <c r="F134" s="190"/>
      <c r="G134" s="190"/>
      <c r="H134" s="190"/>
      <c r="I134" s="190"/>
      <c r="J134" s="190"/>
      <c r="K134" s="198"/>
    </row>
    <row r="135" spans="1:11" ht="20.100000000000001" customHeight="1" x14ac:dyDescent="0.2">
      <c r="A135" s="141" t="s">
        <v>711</v>
      </c>
      <c r="B135" s="153" t="s">
        <v>73</v>
      </c>
      <c r="C135" s="165" t="s">
        <v>94</v>
      </c>
      <c r="D135" s="192">
        <f>VLOOKUP($C135,'04'!$C$8:$K$254,2,FALSE)+VLOOKUP($C135,'05'!$C$8:$N$226,2,FALSE)+VLOOKUP($C135,'06'!$C$8:$K$229,2,FALSE)+VLOOKUP($C135,'07'!$C$8:$K$241,2,FALSE)</f>
        <v>32723712</v>
      </c>
      <c r="E135" s="192">
        <f>VLOOKUP($C135,'04'!$C$8:$K$254,3,FALSE)+VLOOKUP($C135,'05'!$C$8:$N$226,6,FALSE)+VLOOKUP($C135,'06'!$C$8:$K$229,3,FALSE)+VLOOKUP($C135,'07'!$C$8:$K$241,3,FALSE)</f>
        <v>33202742</v>
      </c>
      <c r="F135" s="190"/>
      <c r="G135" s="190"/>
      <c r="H135" s="190"/>
      <c r="I135" s="190"/>
      <c r="J135" s="190"/>
      <c r="K135" s="198"/>
    </row>
    <row r="136" spans="1:11" ht="20.100000000000001" customHeight="1" x14ac:dyDescent="0.2">
      <c r="A136" s="141" t="s">
        <v>712</v>
      </c>
      <c r="B136" s="147" t="s">
        <v>74</v>
      </c>
      <c r="C136" s="165" t="s">
        <v>95</v>
      </c>
      <c r="D136" s="192">
        <f>VLOOKUP($C136,'04'!$C$8:$K$254,2,FALSE)+VLOOKUP($C136,'05'!$C$8:$N$226,2,FALSE)+VLOOKUP($C136,'06'!$C$8:$K$229,2,FALSE)+VLOOKUP($C136,'07'!$C$8:$K$241,2,FALSE)</f>
        <v>7908586</v>
      </c>
      <c r="E136" s="192">
        <f>VLOOKUP($C136,'04'!$C$8:$K$254,3,FALSE)+VLOOKUP($C136,'05'!$C$8:$N$226,6,FALSE)+VLOOKUP($C136,'06'!$C$8:$K$229,3,FALSE)+VLOOKUP($C136,'07'!$C$8:$K$241,3,FALSE)</f>
        <v>11466976</v>
      </c>
      <c r="F136" s="190"/>
      <c r="G136" s="190"/>
      <c r="H136" s="190"/>
      <c r="I136" s="190"/>
      <c r="J136" s="190"/>
      <c r="K136" s="198"/>
    </row>
    <row r="137" spans="1:11" ht="20.100000000000001" customHeight="1" x14ac:dyDescent="0.2">
      <c r="A137" s="148" t="s">
        <v>713</v>
      </c>
      <c r="B137" s="149" t="s">
        <v>847</v>
      </c>
      <c r="C137" s="168" t="s">
        <v>96</v>
      </c>
      <c r="D137" s="151">
        <f>SUM(D130:D136)</f>
        <v>63162298</v>
      </c>
      <c r="E137" s="197">
        <f>SUM(E130:E136)</f>
        <v>75745725</v>
      </c>
      <c r="F137" s="197"/>
      <c r="G137" s="197"/>
      <c r="H137" s="197"/>
      <c r="I137" s="197"/>
      <c r="J137" s="197"/>
      <c r="K137" s="194"/>
    </row>
    <row r="138" spans="1:11" ht="20.100000000000001" customHeight="1" x14ac:dyDescent="0.2">
      <c r="A138" s="141" t="s">
        <v>714</v>
      </c>
      <c r="B138" s="147" t="s">
        <v>75</v>
      </c>
      <c r="C138" s="165" t="s">
        <v>97</v>
      </c>
      <c r="D138" s="192">
        <f>VLOOKUP($C138,'04'!$C$8:$K$254,2,FALSE)+VLOOKUP($C138,'05'!$C$8:$N$226,2,FALSE)+VLOOKUP($C138,'06'!$C$8:$K$229,2,FALSE)+VLOOKUP($C138,'07'!$C$8:$K$241,2,FALSE)</f>
        <v>585200</v>
      </c>
      <c r="E138" s="192">
        <f>VLOOKUP($C138,'04'!$C$8:$K$254,3,FALSE)+VLOOKUP($C138,'05'!$C$8:$N$226,6,FALSE)+VLOOKUP($C138,'06'!$C$8:$K$229,3,FALSE)+VLOOKUP($C138,'07'!$C$8:$K$241,3,FALSE)</f>
        <v>773497</v>
      </c>
      <c r="F138" s="190"/>
      <c r="G138" s="190"/>
      <c r="H138" s="190"/>
      <c r="I138" s="190"/>
      <c r="J138" s="190"/>
      <c r="K138" s="198"/>
    </row>
    <row r="139" spans="1:11" ht="20.100000000000001" customHeight="1" x14ac:dyDescent="0.2">
      <c r="A139" s="141" t="s">
        <v>715</v>
      </c>
      <c r="B139" s="147" t="s">
        <v>76</v>
      </c>
      <c r="C139" s="165" t="s">
        <v>98</v>
      </c>
      <c r="D139" s="192">
        <f>VLOOKUP($C139,'04'!$C$8:$K$254,2,FALSE)+VLOOKUP($C139,'05'!$C$8:$N$226,2,FALSE)+VLOOKUP($C139,'06'!$C$8:$K$229,2,FALSE)+VLOOKUP($C139,'07'!$C$8:$K$241,2,FALSE)</f>
        <v>500000</v>
      </c>
      <c r="E139" s="192">
        <f>VLOOKUP($C139,'04'!$C$8:$K$254,3,FALSE)+VLOOKUP($C139,'05'!$C$8:$N$226,6,FALSE)+VLOOKUP($C139,'06'!$C$8:$K$229,3,FALSE)+VLOOKUP($C139,'07'!$C$8:$K$241,3,FALSE)</f>
        <v>858197</v>
      </c>
      <c r="F139" s="190"/>
      <c r="G139" s="190"/>
      <c r="H139" s="190"/>
      <c r="I139" s="190"/>
      <c r="J139" s="190"/>
      <c r="K139" s="198"/>
    </row>
    <row r="140" spans="1:11" ht="20.100000000000001" customHeight="1" x14ac:dyDescent="0.2">
      <c r="A140" s="148" t="s">
        <v>716</v>
      </c>
      <c r="B140" s="149" t="s">
        <v>848</v>
      </c>
      <c r="C140" s="168" t="s">
        <v>99</v>
      </c>
      <c r="D140" s="151">
        <f>SUM(D138:D139)</f>
        <v>1085200</v>
      </c>
      <c r="E140" s="197">
        <f>SUM(E138:E139)</f>
        <v>1631694</v>
      </c>
      <c r="F140" s="197"/>
      <c r="G140" s="197"/>
      <c r="H140" s="197"/>
      <c r="I140" s="197"/>
      <c r="J140" s="197"/>
      <c r="K140" s="194"/>
    </row>
    <row r="141" spans="1:11" ht="20.100000000000001" customHeight="1" x14ac:dyDescent="0.2">
      <c r="A141" s="170" t="s">
        <v>717</v>
      </c>
      <c r="B141" s="147" t="s">
        <v>77</v>
      </c>
      <c r="C141" s="165" t="s">
        <v>100</v>
      </c>
      <c r="D141" s="192">
        <f>VLOOKUP($C141,'04'!$C$8:$K$254,2,FALSE)+VLOOKUP($C141,'05'!$C$8:$N$226,2,FALSE)+VLOOKUP($C141,'06'!$C$8:$K$229,2,FALSE)+VLOOKUP($C141,'07'!$C$8:$K$241,2,FALSE)</f>
        <v>15768654</v>
      </c>
      <c r="E141" s="192">
        <f>VLOOKUP($C141,'04'!$C$8:$K$254,3,FALSE)+VLOOKUP($C141,'05'!$C$8:$N$226,6,FALSE)+VLOOKUP($C141,'06'!$C$8:$K$229,3,FALSE)+VLOOKUP($C141,'07'!$C$8:$K$241,3,FALSE)</f>
        <v>16865367</v>
      </c>
      <c r="F141" s="190"/>
      <c r="G141" s="190"/>
      <c r="H141" s="190"/>
      <c r="I141" s="190"/>
      <c r="J141" s="190"/>
      <c r="K141" s="198"/>
    </row>
    <row r="142" spans="1:11" ht="20.100000000000001" customHeight="1" x14ac:dyDescent="0.2">
      <c r="A142" s="170" t="s">
        <v>718</v>
      </c>
      <c r="B142" s="147" t="s">
        <v>78</v>
      </c>
      <c r="C142" s="165" t="s">
        <v>101</v>
      </c>
      <c r="D142" s="192">
        <f>VLOOKUP($C142,'04'!$C$8:$K$254,2,FALSE)+VLOOKUP($C142,'05'!$C$8:$N$226,2,FALSE)+VLOOKUP($C142,'06'!$C$8:$K$229,2,FALSE)+VLOOKUP($C142,'07'!$C$8:$K$241,2,FALSE)</f>
        <v>2500000</v>
      </c>
      <c r="E142" s="192">
        <f>VLOOKUP($C142,'04'!$C$8:$K$254,3,FALSE)+VLOOKUP($C142,'05'!$C$8:$N$226,6,FALSE)+VLOOKUP($C142,'06'!$C$8:$K$229,3,FALSE)+VLOOKUP($C142,'07'!$C$8:$K$241,3,FALSE)</f>
        <v>2500000</v>
      </c>
      <c r="F142" s="190"/>
      <c r="G142" s="190"/>
      <c r="H142" s="190"/>
      <c r="I142" s="190"/>
      <c r="J142" s="190"/>
      <c r="K142" s="198"/>
    </row>
    <row r="143" spans="1:11" ht="20.100000000000001" customHeight="1" x14ac:dyDescent="0.2">
      <c r="A143" s="170" t="s">
        <v>719</v>
      </c>
      <c r="B143" s="147" t="s">
        <v>79</v>
      </c>
      <c r="C143" s="165" t="s">
        <v>102</v>
      </c>
      <c r="D143" s="192">
        <f>VLOOKUP($C143,'04'!$C$8:$K$254,2,FALSE)+VLOOKUP($C143,'05'!$C$8:$N$226,2,FALSE)+VLOOKUP($C143,'06'!$C$8:$K$229,2,FALSE)+VLOOKUP($C143,'07'!$C$8:$K$241,2,FALSE)</f>
        <v>0</v>
      </c>
      <c r="E143" s="192">
        <f>VLOOKUP($C143,'04'!$C$8:$K$254,3,FALSE)+VLOOKUP($C143,'05'!$C$8:$N$226,6,FALSE)+VLOOKUP($C143,'06'!$C$8:$K$229,3,FALSE)+VLOOKUP($C143,'07'!$C$8:$K$241,3,FALSE)</f>
        <v>0</v>
      </c>
      <c r="F143" s="190"/>
      <c r="G143" s="190"/>
      <c r="H143" s="190"/>
      <c r="I143" s="190"/>
      <c r="J143" s="190"/>
      <c r="K143" s="198"/>
    </row>
    <row r="144" spans="1:11" ht="20.100000000000001" customHeight="1" x14ac:dyDescent="0.2">
      <c r="A144" s="170" t="s">
        <v>720</v>
      </c>
      <c r="B144" s="147" t="s">
        <v>80</v>
      </c>
      <c r="C144" s="165" t="s">
        <v>103</v>
      </c>
      <c r="D144" s="192">
        <f>VLOOKUP($C144,'04'!$C$8:$K$254,2,FALSE)+VLOOKUP($C144,'05'!$C$8:$N$226,2,FALSE)+VLOOKUP($C144,'06'!$C$8:$K$229,2,FALSE)+VLOOKUP($C144,'07'!$C$8:$K$241,2,FALSE)</f>
        <v>0</v>
      </c>
      <c r="E144" s="192">
        <f>VLOOKUP($C144,'04'!$C$8:$K$254,3,FALSE)+VLOOKUP($C144,'05'!$C$8:$N$226,6,FALSE)+VLOOKUP($C144,'06'!$C$8:$K$229,3,FALSE)+VLOOKUP($C144,'07'!$C$8:$K$241,3,FALSE)</f>
        <v>0</v>
      </c>
      <c r="F144" s="190"/>
      <c r="G144" s="190"/>
      <c r="H144" s="190"/>
      <c r="I144" s="190"/>
      <c r="J144" s="190"/>
      <c r="K144" s="198"/>
    </row>
    <row r="145" spans="1:11" ht="20.100000000000001" customHeight="1" x14ac:dyDescent="0.2">
      <c r="A145" s="170" t="s">
        <v>721</v>
      </c>
      <c r="B145" s="147" t="s">
        <v>81</v>
      </c>
      <c r="C145" s="165" t="s">
        <v>104</v>
      </c>
      <c r="D145" s="192">
        <f>VLOOKUP($C145,'04'!$C$8:$K$254,2,FALSE)+VLOOKUP($C145,'05'!$C$8:$N$226,2,FALSE)+VLOOKUP($C145,'06'!$C$8:$K$229,2,FALSE)+VLOOKUP($C145,'07'!$C$8:$K$241,2,FALSE)</f>
        <v>6275000</v>
      </c>
      <c r="E145" s="192">
        <f>VLOOKUP($C145,'04'!$C$8:$K$254,3,FALSE)+VLOOKUP($C145,'05'!$C$8:$N$226,6,FALSE)+VLOOKUP($C145,'06'!$C$8:$K$229,3,FALSE)+VLOOKUP($C145,'07'!$C$8:$K$241,3,FALSE)</f>
        <v>1455373</v>
      </c>
      <c r="F145" s="190"/>
      <c r="G145" s="190"/>
      <c r="H145" s="190"/>
      <c r="I145" s="190"/>
      <c r="J145" s="190"/>
      <c r="K145" s="198"/>
    </row>
    <row r="146" spans="1:11" ht="20.100000000000001" customHeight="1" x14ac:dyDescent="0.2">
      <c r="A146" s="171" t="s">
        <v>722</v>
      </c>
      <c r="B146" s="149" t="s">
        <v>849</v>
      </c>
      <c r="C146" s="168" t="s">
        <v>105</v>
      </c>
      <c r="D146" s="151">
        <f>SUM(D141:D145)</f>
        <v>24543654</v>
      </c>
      <c r="E146" s="197">
        <f>SUM(E141:E145)</f>
        <v>20820740</v>
      </c>
      <c r="F146" s="197"/>
      <c r="G146" s="197"/>
      <c r="H146" s="197"/>
      <c r="I146" s="197"/>
      <c r="J146" s="197"/>
      <c r="K146" s="194"/>
    </row>
    <row r="147" spans="1:11" ht="20.100000000000001" customHeight="1" x14ac:dyDescent="0.2">
      <c r="A147" s="171" t="s">
        <v>723</v>
      </c>
      <c r="B147" s="149" t="s">
        <v>850</v>
      </c>
      <c r="C147" s="168" t="s">
        <v>57</v>
      </c>
      <c r="D147" s="151">
        <f>D126+D129+D137+D140+D146</f>
        <v>132873199</v>
      </c>
      <c r="E147" s="197">
        <f>E126+E129+E137+E140+E146</f>
        <v>141367555</v>
      </c>
      <c r="F147" s="197"/>
      <c r="G147" s="197"/>
      <c r="H147" s="197"/>
      <c r="I147" s="197"/>
      <c r="J147" s="197"/>
      <c r="K147" s="194"/>
    </row>
    <row r="148" spans="1:11" ht="20.100000000000001" customHeight="1" x14ac:dyDescent="0.2">
      <c r="A148" s="170" t="s">
        <v>724</v>
      </c>
      <c r="B148" s="147" t="s">
        <v>108</v>
      </c>
      <c r="C148" s="165" t="s">
        <v>116</v>
      </c>
      <c r="D148" s="192">
        <f>VLOOKUP($C148,'04'!$C$8:$K$254,2,FALSE)+VLOOKUP($C148,'05'!$C$8:$N$226,2,FALSE)+VLOOKUP($C148,'06'!$C$8:$K$229,2,FALSE)+VLOOKUP($C148,'07'!$C$8:$K$241,2,FALSE)</f>
        <v>0</v>
      </c>
      <c r="E148" s="192">
        <f>VLOOKUP($C148,'04'!$C$8:$K$254,3,FALSE)+VLOOKUP($C148,'05'!$C$8:$N$226,6,FALSE)+VLOOKUP($C148,'06'!$C$8:$K$229,3,FALSE)+VLOOKUP($C148,'07'!$C$8:$K$241,3,FALSE)</f>
        <v>0</v>
      </c>
      <c r="F148" s="190"/>
      <c r="G148" s="190"/>
      <c r="H148" s="190"/>
      <c r="I148" s="190"/>
      <c r="J148" s="190"/>
      <c r="K148" s="198"/>
    </row>
    <row r="149" spans="1:11" ht="20.100000000000001" customHeight="1" x14ac:dyDescent="0.2">
      <c r="A149" s="170" t="s">
        <v>725</v>
      </c>
      <c r="B149" s="147" t="s">
        <v>109</v>
      </c>
      <c r="C149" s="165" t="s">
        <v>117</v>
      </c>
      <c r="D149" s="192">
        <f>VLOOKUP($C149,'04'!$C$8:$K$254,2,FALSE)+VLOOKUP($C149,'05'!$C$8:$N$226,2,FALSE)+VLOOKUP($C149,'06'!$C$8:$K$229,2,FALSE)+VLOOKUP($C149,'07'!$C$8:$K$241,2,FALSE)</f>
        <v>0</v>
      </c>
      <c r="E149" s="192">
        <f>VLOOKUP($C149,'04'!$C$8:$K$254,3,FALSE)+VLOOKUP($C149,'05'!$C$8:$N$226,6,FALSE)+VLOOKUP($C149,'06'!$C$8:$K$229,3,FALSE)+VLOOKUP($C149,'07'!$C$8:$K$241,3,FALSE)</f>
        <v>0</v>
      </c>
      <c r="F149" s="190"/>
      <c r="G149" s="190"/>
      <c r="H149" s="190"/>
      <c r="I149" s="190"/>
      <c r="J149" s="190"/>
      <c r="K149" s="198"/>
    </row>
    <row r="150" spans="1:11" ht="20.100000000000001" customHeight="1" x14ac:dyDescent="0.2">
      <c r="A150" s="170" t="s">
        <v>726</v>
      </c>
      <c r="B150" s="169" t="s">
        <v>110</v>
      </c>
      <c r="C150" s="165" t="s">
        <v>118</v>
      </c>
      <c r="D150" s="192">
        <f>VLOOKUP($C150,'04'!$C$8:$K$254,2,FALSE)+VLOOKUP($C150,'05'!$C$8:$N$226,2,FALSE)+VLOOKUP($C150,'06'!$C$8:$K$229,2,FALSE)+VLOOKUP($C150,'07'!$C$8:$K$241,2,FALSE)</f>
        <v>0</v>
      </c>
      <c r="E150" s="192">
        <f>VLOOKUP($C150,'04'!$C$8:$K$254,3,FALSE)+VLOOKUP($C150,'05'!$C$8:$N$226,6,FALSE)+VLOOKUP($C150,'06'!$C$8:$K$229,3,FALSE)+VLOOKUP($C150,'07'!$C$8:$K$241,3,FALSE)</f>
        <v>0</v>
      </c>
      <c r="F150" s="190"/>
      <c r="G150" s="190"/>
      <c r="H150" s="190"/>
      <c r="I150" s="190"/>
      <c r="J150" s="190"/>
      <c r="K150" s="198"/>
    </row>
    <row r="151" spans="1:11" ht="20.100000000000001" customHeight="1" x14ac:dyDescent="0.2">
      <c r="A151" s="170" t="s">
        <v>727</v>
      </c>
      <c r="B151" s="169" t="s">
        <v>111</v>
      </c>
      <c r="C151" s="165" t="s">
        <v>119</v>
      </c>
      <c r="D151" s="192">
        <f>VLOOKUP($C151,'04'!$C$8:$K$254,2,FALSE)+VLOOKUP($C151,'05'!$C$8:$N$226,2,FALSE)+VLOOKUP($C151,'06'!$C$8:$K$229,2,FALSE)+VLOOKUP($C151,'07'!$C$8:$K$241,2,FALSE)</f>
        <v>0</v>
      </c>
      <c r="E151" s="192">
        <f>VLOOKUP($C151,'04'!$C$8:$K$254,3,FALSE)+VLOOKUP($C151,'05'!$C$8:$N$226,6,FALSE)+VLOOKUP($C151,'06'!$C$8:$K$229,3,FALSE)+VLOOKUP($C151,'07'!$C$8:$K$241,3,FALSE)</f>
        <v>0</v>
      </c>
      <c r="F151" s="190"/>
      <c r="G151" s="190"/>
      <c r="H151" s="190"/>
      <c r="I151" s="190"/>
      <c r="J151" s="190"/>
      <c r="K151" s="198"/>
    </row>
    <row r="152" spans="1:11" ht="20.100000000000001" customHeight="1" x14ac:dyDescent="0.2">
      <c r="A152" s="170" t="s">
        <v>728</v>
      </c>
      <c r="B152" s="169" t="s">
        <v>112</v>
      </c>
      <c r="C152" s="165" t="s">
        <v>120</v>
      </c>
      <c r="D152" s="192">
        <f>VLOOKUP($C152,'04'!$C$8:$K$254,2,FALSE)+VLOOKUP($C152,'05'!$C$8:$N$226,2,FALSE)+VLOOKUP($C152,'06'!$C$8:$K$229,2,FALSE)+VLOOKUP($C152,'07'!$C$8:$K$241,2,FALSE)</f>
        <v>0</v>
      </c>
      <c r="E152" s="192">
        <f>VLOOKUP($C152,'04'!$C$8:$K$254,3,FALSE)+VLOOKUP($C152,'05'!$C$8:$N$226,6,FALSE)+VLOOKUP($C152,'06'!$C$8:$K$229,3,FALSE)+VLOOKUP($C152,'07'!$C$8:$K$241,3,FALSE)</f>
        <v>0</v>
      </c>
      <c r="F152" s="190"/>
      <c r="G152" s="190"/>
      <c r="H152" s="190"/>
      <c r="I152" s="190"/>
      <c r="J152" s="190"/>
      <c r="K152" s="198"/>
    </row>
    <row r="153" spans="1:11" ht="20.100000000000001" customHeight="1" x14ac:dyDescent="0.2">
      <c r="A153" s="170" t="s">
        <v>729</v>
      </c>
      <c r="B153" s="147" t="s">
        <v>113</v>
      </c>
      <c r="C153" s="165" t="s">
        <v>121</v>
      </c>
      <c r="D153" s="192">
        <f>VLOOKUP($C153,'04'!$C$8:$K$254,2,FALSE)+VLOOKUP($C153,'05'!$C$8:$N$226,2,FALSE)+VLOOKUP($C153,'06'!$C$8:$K$229,2,FALSE)+VLOOKUP($C153,'07'!$C$8:$K$241,2,FALSE)</f>
        <v>0</v>
      </c>
      <c r="E153" s="192">
        <f>VLOOKUP($C153,'04'!$C$8:$K$254,3,FALSE)+VLOOKUP($C153,'05'!$C$8:$N$226,6,FALSE)+VLOOKUP($C153,'06'!$C$8:$K$229,3,FALSE)+VLOOKUP($C153,'07'!$C$8:$K$241,3,FALSE)</f>
        <v>0</v>
      </c>
      <c r="F153" s="190"/>
      <c r="G153" s="190"/>
      <c r="H153" s="190"/>
      <c r="I153" s="190"/>
      <c r="J153" s="190"/>
      <c r="K153" s="198"/>
    </row>
    <row r="154" spans="1:11" ht="20.100000000000001" customHeight="1" x14ac:dyDescent="0.2">
      <c r="A154" s="170" t="s">
        <v>730</v>
      </c>
      <c r="B154" s="147" t="s">
        <v>114</v>
      </c>
      <c r="C154" s="165" t="s">
        <v>122</v>
      </c>
      <c r="D154" s="192">
        <f>VLOOKUP($C154,'04'!$C$8:$K$254,2,FALSE)+VLOOKUP($C154,'05'!$C$8:$N$226,2,FALSE)+VLOOKUP($C154,'06'!$C$8:$K$229,2,FALSE)+VLOOKUP($C154,'07'!$C$8:$K$241,2,FALSE)</f>
        <v>0</v>
      </c>
      <c r="E154" s="192">
        <f>VLOOKUP($C154,'04'!$C$8:$K$254,3,FALSE)+VLOOKUP($C154,'05'!$C$8:$N$226,6,FALSE)+VLOOKUP($C154,'06'!$C$8:$K$229,3,FALSE)+VLOOKUP($C154,'07'!$C$8:$K$241,3,FALSE)</f>
        <v>0</v>
      </c>
      <c r="F154" s="190"/>
      <c r="G154" s="190"/>
      <c r="H154" s="190"/>
      <c r="I154" s="190"/>
      <c r="J154" s="190"/>
      <c r="K154" s="198"/>
    </row>
    <row r="155" spans="1:11" ht="20.100000000000001" customHeight="1" x14ac:dyDescent="0.2">
      <c r="A155" s="170" t="s">
        <v>731</v>
      </c>
      <c r="B155" s="147" t="s">
        <v>115</v>
      </c>
      <c r="C155" s="165" t="s">
        <v>123</v>
      </c>
      <c r="D155" s="192">
        <f>VLOOKUP($C155,'04'!$C$8:$K$254,2,FALSE)+VLOOKUP($C155,'05'!$C$8:$N$226,2,FALSE)+VLOOKUP($C155,'06'!$C$8:$K$229,2,FALSE)+VLOOKUP($C155,'07'!$C$8:$K$241,2,FALSE)</f>
        <v>1600000</v>
      </c>
      <c r="E155" s="192">
        <f>VLOOKUP($C155,'04'!$C$8:$K$254,3,FALSE)+VLOOKUP($C155,'05'!$C$8:$N$226,6,FALSE)+VLOOKUP($C155,'06'!$C$8:$K$229,3,FALSE)+VLOOKUP($C155,'07'!$C$8:$K$241,3,FALSE)</f>
        <v>2050000</v>
      </c>
      <c r="F155" s="190"/>
      <c r="G155" s="190"/>
      <c r="H155" s="190"/>
      <c r="I155" s="190"/>
      <c r="J155" s="190"/>
      <c r="K155" s="198"/>
    </row>
    <row r="156" spans="1:11" ht="20.100000000000001" customHeight="1" x14ac:dyDescent="0.2">
      <c r="A156" s="171" t="s">
        <v>732</v>
      </c>
      <c r="B156" s="149" t="s">
        <v>851</v>
      </c>
      <c r="C156" s="168" t="s">
        <v>58</v>
      </c>
      <c r="D156" s="151">
        <f>SUM(D148:D155)</f>
        <v>1600000</v>
      </c>
      <c r="E156" s="197">
        <f>SUM(E148:E155)</f>
        <v>2050000</v>
      </c>
      <c r="F156" s="197"/>
      <c r="G156" s="197"/>
      <c r="H156" s="197"/>
      <c r="I156" s="197"/>
      <c r="J156" s="197"/>
      <c r="K156" s="194"/>
    </row>
    <row r="157" spans="1:11" ht="20.100000000000001" customHeight="1" x14ac:dyDescent="0.2">
      <c r="A157" s="170" t="s">
        <v>760</v>
      </c>
      <c r="B157" s="142" t="s">
        <v>142</v>
      </c>
      <c r="C157" s="165" t="s">
        <v>131</v>
      </c>
      <c r="D157" s="192">
        <f>VLOOKUP($C157,'04'!$C$8:$K$254,2,FALSE)+VLOOKUP($C157,'05'!$C$8:$N$226,2,FALSE)+VLOOKUP($C157,'06'!$C$8:$K$229,2,FALSE)+VLOOKUP($C157,'07'!$C$8:$K$241,2,FALSE)</f>
        <v>0</v>
      </c>
      <c r="E157" s="192">
        <f>VLOOKUP($C157,'04'!$C$8:$K$254,3,FALSE)+VLOOKUP($C157,'05'!$C$8:$N$226,6,FALSE)+VLOOKUP($C157,'06'!$C$8:$K$229,3,FALSE)+VLOOKUP($C157,'07'!$C$8:$K$241,3,FALSE)</f>
        <v>0</v>
      </c>
      <c r="F157" s="190"/>
      <c r="G157" s="190"/>
      <c r="H157" s="190"/>
      <c r="I157" s="190"/>
      <c r="J157" s="190"/>
      <c r="K157" s="198"/>
    </row>
    <row r="158" spans="1:11" ht="20.100000000000001" customHeight="1" x14ac:dyDescent="0.2">
      <c r="A158" s="170" t="s">
        <v>761</v>
      </c>
      <c r="B158" s="142" t="s">
        <v>734</v>
      </c>
      <c r="C158" s="165" t="s">
        <v>733</v>
      </c>
      <c r="D158" s="192">
        <f>VLOOKUP($C158,'04'!$C$8:$K$254,2,FALSE)+VLOOKUP($C158,'05'!$C$8:$N$226,2,FALSE)+VLOOKUP($C158,'06'!$C$8:$K$229,2,FALSE)+VLOOKUP($C158,'07'!$C$8:$K$241,2,FALSE)</f>
        <v>1544012</v>
      </c>
      <c r="E158" s="192">
        <f>VLOOKUP($C158,'04'!$C$8:$K$254,3,FALSE)+VLOOKUP($C158,'05'!$C$8:$N$226,6,FALSE)+VLOOKUP($C158,'06'!$C$8:$K$229,3,FALSE)+VLOOKUP($C158,'07'!$C$8:$K$241,3,FALSE)</f>
        <v>1544012</v>
      </c>
      <c r="F158" s="190"/>
      <c r="G158" s="190"/>
      <c r="H158" s="190"/>
      <c r="I158" s="190"/>
      <c r="J158" s="190"/>
      <c r="K158" s="198"/>
    </row>
    <row r="159" spans="1:11" ht="20.100000000000001" customHeight="1" x14ac:dyDescent="0.2">
      <c r="A159" s="170" t="s">
        <v>762</v>
      </c>
      <c r="B159" s="142" t="s">
        <v>735</v>
      </c>
      <c r="C159" s="165" t="s">
        <v>736</v>
      </c>
      <c r="D159" s="192">
        <f>VLOOKUP($C159,'04'!$C$8:$K$254,2,FALSE)+VLOOKUP($C159,'05'!$C$8:$N$226,2,FALSE)+VLOOKUP($C159,'06'!$C$8:$K$229,2,FALSE)+VLOOKUP($C159,'07'!$C$8:$K$241,2,FALSE)</f>
        <v>0</v>
      </c>
      <c r="E159" s="192">
        <f>VLOOKUP($C159,'04'!$C$8:$K$254,3,FALSE)+VLOOKUP($C159,'05'!$C$8:$N$226,6,FALSE)+VLOOKUP($C159,'06'!$C$8:$K$229,3,FALSE)+VLOOKUP($C159,'07'!$C$8:$K$241,3,FALSE)</f>
        <v>0</v>
      </c>
      <c r="F159" s="190"/>
      <c r="G159" s="190"/>
      <c r="H159" s="190"/>
      <c r="I159" s="190"/>
      <c r="J159" s="190"/>
      <c r="K159" s="198"/>
    </row>
    <row r="160" spans="1:11" ht="20.100000000000001" customHeight="1" x14ac:dyDescent="0.2">
      <c r="A160" s="170" t="s">
        <v>763</v>
      </c>
      <c r="B160" s="142" t="s">
        <v>737</v>
      </c>
      <c r="C160" s="165" t="s">
        <v>738</v>
      </c>
      <c r="D160" s="192">
        <f>VLOOKUP($C160,'04'!$C$8:$K$254,2,FALSE)+VLOOKUP($C160,'05'!$C$8:$N$226,2,FALSE)+VLOOKUP($C160,'06'!$C$8:$K$229,2,FALSE)+VLOOKUP($C160,'07'!$C$8:$K$241,2,FALSE)</f>
        <v>0</v>
      </c>
      <c r="E160" s="192">
        <f>VLOOKUP($C160,'04'!$C$8:$K$254,3,FALSE)+VLOOKUP($C160,'05'!$C$8:$N$226,6,FALSE)+VLOOKUP($C160,'06'!$C$8:$K$229,3,FALSE)+VLOOKUP($C160,'07'!$C$8:$K$241,3,FALSE)</f>
        <v>0</v>
      </c>
      <c r="F160" s="190"/>
      <c r="G160" s="190"/>
      <c r="H160" s="190"/>
      <c r="I160" s="190"/>
      <c r="J160" s="190"/>
      <c r="K160" s="198"/>
    </row>
    <row r="161" spans="1:11" ht="20.100000000000001" customHeight="1" x14ac:dyDescent="0.2">
      <c r="A161" s="170" t="s">
        <v>764</v>
      </c>
      <c r="B161" s="142" t="s">
        <v>425</v>
      </c>
      <c r="C161" s="165" t="s">
        <v>132</v>
      </c>
      <c r="D161" s="192">
        <f>VLOOKUP($C161,'04'!$C$8:$K$254,2,FALSE)+VLOOKUP($C161,'05'!$C$8:$N$226,2,FALSE)+VLOOKUP($C161,'06'!$C$8:$K$229,2,FALSE)+VLOOKUP($C161,'07'!$C$8:$K$241,2,FALSE)</f>
        <v>0</v>
      </c>
      <c r="E161" s="192">
        <f>VLOOKUP($C161,'04'!$C$8:$K$254,3,FALSE)+VLOOKUP($C161,'05'!$C$8:$N$226,6,FALSE)+VLOOKUP($C161,'06'!$C$8:$K$229,3,FALSE)+VLOOKUP($C161,'07'!$C$8:$K$241,3,FALSE)</f>
        <v>0</v>
      </c>
      <c r="F161" s="190"/>
      <c r="G161" s="190"/>
      <c r="H161" s="190"/>
      <c r="I161" s="190"/>
      <c r="J161" s="190"/>
      <c r="K161" s="198"/>
    </row>
    <row r="162" spans="1:11" ht="20.100000000000001" customHeight="1" x14ac:dyDescent="0.2">
      <c r="A162" s="170" t="s">
        <v>765</v>
      </c>
      <c r="B162" s="142" t="s">
        <v>424</v>
      </c>
      <c r="C162" s="165" t="s">
        <v>133</v>
      </c>
      <c r="D162" s="192">
        <f>VLOOKUP($C162,'04'!$C$8:$K$254,2,FALSE)+VLOOKUP($C162,'05'!$C$8:$N$226,2,FALSE)+VLOOKUP($C162,'06'!$C$8:$K$229,2,FALSE)+VLOOKUP($C162,'07'!$C$8:$K$241,2,FALSE)</f>
        <v>0</v>
      </c>
      <c r="E162" s="192">
        <f>VLOOKUP($C162,'04'!$C$8:$K$254,3,FALSE)+VLOOKUP($C162,'05'!$C$8:$N$226,6,FALSE)+VLOOKUP($C162,'06'!$C$8:$K$229,3,FALSE)+VLOOKUP($C162,'07'!$C$8:$K$241,3,FALSE)</f>
        <v>0</v>
      </c>
      <c r="F162" s="190"/>
      <c r="G162" s="190"/>
      <c r="H162" s="190"/>
      <c r="I162" s="190"/>
      <c r="J162" s="190"/>
      <c r="K162" s="198"/>
    </row>
    <row r="163" spans="1:11" ht="20.100000000000001" customHeight="1" x14ac:dyDescent="0.2">
      <c r="A163" s="170" t="s">
        <v>766</v>
      </c>
      <c r="B163" s="142" t="s">
        <v>423</v>
      </c>
      <c r="C163" s="165" t="s">
        <v>134</v>
      </c>
      <c r="D163" s="192">
        <f>VLOOKUP($C163,'04'!$C$8:$K$254,2,FALSE)+VLOOKUP($C163,'05'!$C$8:$N$226,2,FALSE)+VLOOKUP($C163,'06'!$C$8:$K$229,2,FALSE)+VLOOKUP($C163,'07'!$C$8:$K$241,2,FALSE)</f>
        <v>0</v>
      </c>
      <c r="E163" s="192">
        <f>VLOOKUP($C163,'04'!$C$8:$K$254,3,FALSE)+VLOOKUP($C163,'05'!$C$8:$N$226,6,FALSE)+VLOOKUP($C163,'06'!$C$8:$K$229,3,FALSE)+VLOOKUP($C163,'07'!$C$8:$K$241,3,FALSE)</f>
        <v>0</v>
      </c>
      <c r="F163" s="190"/>
      <c r="G163" s="190"/>
      <c r="H163" s="190"/>
      <c r="I163" s="190"/>
      <c r="J163" s="190"/>
      <c r="K163" s="198"/>
    </row>
    <row r="164" spans="1:11" ht="20.100000000000001" customHeight="1" x14ac:dyDescent="0.2">
      <c r="A164" s="170" t="s">
        <v>767</v>
      </c>
      <c r="B164" s="142" t="s">
        <v>143</v>
      </c>
      <c r="C164" s="165" t="s">
        <v>135</v>
      </c>
      <c r="D164" s="192">
        <f>VLOOKUP($C164,'04'!$C$8:$K$254,2,FALSE)+VLOOKUP($C164,'05'!$C$8:$N$226,2,FALSE)+VLOOKUP($C164,'06'!$C$8:$K$229,2,FALSE)+VLOOKUP($C164,'07'!$C$8:$K$241,2,FALSE)</f>
        <v>1600000</v>
      </c>
      <c r="E164" s="192">
        <f>VLOOKUP($C164,'04'!$C$8:$K$254,3,FALSE)+VLOOKUP($C164,'05'!$C$8:$N$226,6,FALSE)+VLOOKUP($C164,'06'!$C$8:$K$229,3,FALSE)+VLOOKUP($C164,'07'!$C$8:$K$241,3,FALSE)</f>
        <v>14548504</v>
      </c>
      <c r="F164" s="190"/>
      <c r="G164" s="190"/>
      <c r="H164" s="190"/>
      <c r="I164" s="190"/>
      <c r="J164" s="190"/>
      <c r="K164" s="198"/>
    </row>
    <row r="165" spans="1:11" ht="20.100000000000001" customHeight="1" x14ac:dyDescent="0.2">
      <c r="A165" s="170" t="s">
        <v>768</v>
      </c>
      <c r="B165" s="142" t="s">
        <v>422</v>
      </c>
      <c r="C165" s="165" t="s">
        <v>136</v>
      </c>
      <c r="D165" s="192">
        <f>VLOOKUP($C165,'04'!$C$8:$K$254,2,FALSE)+VLOOKUP($C165,'05'!$C$8:$N$226,2,FALSE)+VLOOKUP($C165,'06'!$C$8:$K$229,2,FALSE)+VLOOKUP($C165,'07'!$C$8:$K$241,2,FALSE)</f>
        <v>0</v>
      </c>
      <c r="E165" s="192">
        <f>VLOOKUP($C165,'04'!$C$8:$K$254,3,FALSE)+VLOOKUP($C165,'05'!$C$8:$N$226,6,FALSE)+VLOOKUP($C165,'06'!$C$8:$K$229,3,FALSE)+VLOOKUP($C165,'07'!$C$8:$K$241,3,FALSE)</f>
        <v>0</v>
      </c>
      <c r="F165" s="190"/>
      <c r="G165" s="190"/>
      <c r="H165" s="190"/>
      <c r="I165" s="190"/>
      <c r="J165" s="190"/>
      <c r="K165" s="198"/>
    </row>
    <row r="166" spans="1:11" ht="20.100000000000001" customHeight="1" x14ac:dyDescent="0.2">
      <c r="A166" s="170" t="s">
        <v>769</v>
      </c>
      <c r="B166" s="142" t="s">
        <v>421</v>
      </c>
      <c r="C166" s="165" t="s">
        <v>137</v>
      </c>
      <c r="D166" s="192">
        <f>VLOOKUP($C166,'04'!$C$8:$K$254,2,FALSE)+VLOOKUP($C166,'05'!$C$8:$N$226,2,FALSE)+VLOOKUP($C166,'06'!$C$8:$K$229,2,FALSE)+VLOOKUP($C166,'07'!$C$8:$K$241,2,FALSE)</f>
        <v>800000</v>
      </c>
      <c r="E166" s="192">
        <f>VLOOKUP($C166,'04'!$C$8:$K$254,3,FALSE)+VLOOKUP($C166,'05'!$C$8:$N$226,6,FALSE)+VLOOKUP($C166,'06'!$C$8:$K$229,3,FALSE)+VLOOKUP($C166,'07'!$C$8:$K$241,3,FALSE)</f>
        <v>874985</v>
      </c>
      <c r="F166" s="190"/>
      <c r="G166" s="190"/>
      <c r="H166" s="190"/>
      <c r="I166" s="190"/>
      <c r="J166" s="190"/>
      <c r="K166" s="198"/>
    </row>
    <row r="167" spans="1:11" ht="20.100000000000001" customHeight="1" x14ac:dyDescent="0.2">
      <c r="A167" s="170" t="s">
        <v>770</v>
      </c>
      <c r="B167" s="142" t="s">
        <v>144</v>
      </c>
      <c r="C167" s="165" t="s">
        <v>138</v>
      </c>
      <c r="D167" s="192">
        <f>VLOOKUP($C167,'04'!$C$8:$K$254,2,FALSE)+VLOOKUP($C167,'05'!$C$8:$N$226,2,FALSE)+VLOOKUP($C167,'06'!$C$8:$K$229,2,FALSE)+VLOOKUP($C167,'07'!$C$8:$K$241,2,FALSE)</f>
        <v>0</v>
      </c>
      <c r="E167" s="192">
        <f>VLOOKUP($C167,'04'!$C$8:$K$254,3,FALSE)+VLOOKUP($C167,'05'!$C$8:$N$226,6,FALSE)+VLOOKUP($C167,'06'!$C$8:$K$229,3,FALSE)+VLOOKUP($C167,'07'!$C$8:$K$241,3,FALSE)</f>
        <v>0</v>
      </c>
      <c r="F167" s="190"/>
      <c r="G167" s="190"/>
      <c r="H167" s="190"/>
      <c r="I167" s="190"/>
      <c r="J167" s="190"/>
      <c r="K167" s="198"/>
    </row>
    <row r="168" spans="1:11" ht="20.100000000000001" customHeight="1" x14ac:dyDescent="0.2">
      <c r="A168" s="170" t="s">
        <v>771</v>
      </c>
      <c r="B168" s="164" t="s">
        <v>145</v>
      </c>
      <c r="C168" s="165" t="s">
        <v>139</v>
      </c>
      <c r="D168" s="192">
        <f>VLOOKUP($C168,'04'!$C$8:$K$254,2,FALSE)+VLOOKUP($C168,'05'!$C$8:$N$226,2,FALSE)+VLOOKUP($C168,'06'!$C$8:$K$229,2,FALSE)+VLOOKUP($C168,'07'!$C$8:$K$241,2,FALSE)</f>
        <v>0</v>
      </c>
      <c r="E168" s="192">
        <f>VLOOKUP($C168,'04'!$C$8:$K$254,3,FALSE)+VLOOKUP($C168,'05'!$C$8:$N$226,6,FALSE)+VLOOKUP($C168,'06'!$C$8:$K$229,3,FALSE)+VLOOKUP($C168,'07'!$C$8:$K$241,3,FALSE)</f>
        <v>0</v>
      </c>
      <c r="F168" s="190"/>
      <c r="G168" s="190"/>
      <c r="H168" s="190"/>
      <c r="I168" s="190"/>
      <c r="J168" s="190"/>
      <c r="K168" s="198"/>
    </row>
    <row r="169" spans="1:11" ht="20.100000000000001" customHeight="1" x14ac:dyDescent="0.2">
      <c r="A169" s="170" t="s">
        <v>772</v>
      </c>
      <c r="B169" s="142" t="s">
        <v>739</v>
      </c>
      <c r="C169" s="165" t="s">
        <v>140</v>
      </c>
      <c r="D169" s="192">
        <f>VLOOKUP($C169,'04'!$C$8:$K$254,2,FALSE)+VLOOKUP($C169,'05'!$C$8:$N$226,2,FALSE)+VLOOKUP($C169,'06'!$C$8:$K$229,2,FALSE)+VLOOKUP($C169,'07'!$C$8:$K$241,2,FALSE)</f>
        <v>0</v>
      </c>
      <c r="E169" s="192">
        <f>VLOOKUP($C169,'04'!$C$8:$K$254,3,FALSE)+VLOOKUP($C169,'05'!$C$8:$N$226,6,FALSE)+VLOOKUP($C169,'06'!$C$8:$K$229,3,FALSE)+VLOOKUP($C169,'07'!$C$8:$K$241,3,FALSE)</f>
        <v>0</v>
      </c>
      <c r="F169" s="190"/>
      <c r="G169" s="190"/>
      <c r="H169" s="190"/>
      <c r="I169" s="190"/>
      <c r="J169" s="190"/>
      <c r="K169" s="198"/>
    </row>
    <row r="170" spans="1:11" ht="20.100000000000001" customHeight="1" x14ac:dyDescent="0.2">
      <c r="A170" s="170" t="s">
        <v>773</v>
      </c>
      <c r="B170" s="142" t="s">
        <v>146</v>
      </c>
      <c r="C170" s="165" t="s">
        <v>141</v>
      </c>
      <c r="D170" s="192">
        <f>VLOOKUP($C170,'04'!$C$8:$K$254,2,FALSE)+VLOOKUP($C170,'05'!$C$8:$N$226,2,FALSE)+VLOOKUP($C170,'06'!$C$8:$K$229,2,FALSE)+VLOOKUP($C170,'07'!$C$8:$K$241,2,FALSE)</f>
        <v>5250000</v>
      </c>
      <c r="E170" s="192">
        <f>VLOOKUP($C170,'04'!$C$8:$K$254,3,FALSE)+VLOOKUP($C170,'05'!$C$8:$N$226,6,FALSE)+VLOOKUP($C170,'06'!$C$8:$K$229,3,FALSE)+VLOOKUP($C170,'07'!$C$8:$K$241,3,FALSE)</f>
        <v>5750000</v>
      </c>
      <c r="F170" s="190"/>
      <c r="G170" s="190"/>
      <c r="H170" s="190"/>
      <c r="I170" s="190"/>
      <c r="J170" s="190"/>
      <c r="K170" s="198"/>
    </row>
    <row r="171" spans="1:11" ht="20.100000000000001" customHeight="1" x14ac:dyDescent="0.2">
      <c r="A171" s="170" t="s">
        <v>774</v>
      </c>
      <c r="B171" s="164" t="s">
        <v>147</v>
      </c>
      <c r="C171" s="165" t="s">
        <v>740</v>
      </c>
      <c r="D171" s="192">
        <f>VLOOKUP($C171,'04'!$C$8:$K$254,2,FALSE)+VLOOKUP($C171,'05'!$C$8:$N$226,2,FALSE)+VLOOKUP($C171,'06'!$C$8:$K$229,2,FALSE)+VLOOKUP($C171,'07'!$C$8:$K$241,2,FALSE)</f>
        <v>4482678</v>
      </c>
      <c r="E171" s="192">
        <f>VLOOKUP($C171,'04'!$C$8:$K$254,3,FALSE)+VLOOKUP($C171,'05'!$C$8:$N$226,6,FALSE)+VLOOKUP($C171,'06'!$C$8:$K$229,3,FALSE)+VLOOKUP($C171,'07'!$C$8:$K$241,3,FALSE)</f>
        <v>220344</v>
      </c>
      <c r="F171" s="199"/>
      <c r="G171" s="199"/>
      <c r="H171" s="199"/>
      <c r="I171" s="199"/>
      <c r="J171" s="199"/>
      <c r="K171" s="200"/>
    </row>
    <row r="172" spans="1:11" ht="20.100000000000001" customHeight="1" x14ac:dyDescent="0.2">
      <c r="A172" s="171" t="s">
        <v>775</v>
      </c>
      <c r="B172" s="149" t="s">
        <v>852</v>
      </c>
      <c r="C172" s="168" t="s">
        <v>59</v>
      </c>
      <c r="D172" s="151">
        <f>SUM(D157:D171)</f>
        <v>13676690</v>
      </c>
      <c r="E172" s="197">
        <f>SUM(E157:E171)</f>
        <v>22937845</v>
      </c>
      <c r="F172" s="197"/>
      <c r="G172" s="197"/>
      <c r="H172" s="197"/>
      <c r="I172" s="197"/>
      <c r="J172" s="197"/>
      <c r="K172" s="194"/>
    </row>
    <row r="173" spans="1:11" ht="20.100000000000001" customHeight="1" x14ac:dyDescent="0.2">
      <c r="A173" s="170" t="s">
        <v>776</v>
      </c>
      <c r="B173" s="172" t="s">
        <v>148</v>
      </c>
      <c r="C173" s="165" t="s">
        <v>124</v>
      </c>
      <c r="D173" s="192">
        <f>VLOOKUP($C173,'04'!$C$8:$K$254,2,FALSE)+VLOOKUP($C173,'05'!$C$8:$N$226,2,FALSE)+VLOOKUP($C173,'06'!$C$8:$K$229,2,FALSE)+VLOOKUP($C173,'07'!$C$8:$K$241,2,FALSE)</f>
        <v>0</v>
      </c>
      <c r="E173" s="192">
        <f>VLOOKUP($C173,'04'!$C$8:$K$254,3,FALSE)+VLOOKUP($C173,'05'!$C$8:$N$226,6,FALSE)+VLOOKUP($C173,'06'!$C$8:$K$229,3,FALSE)+VLOOKUP($C173,'07'!$C$8:$K$241,3,FALSE)</f>
        <v>0</v>
      </c>
      <c r="F173" s="190"/>
      <c r="G173" s="190"/>
      <c r="H173" s="190"/>
      <c r="I173" s="190"/>
      <c r="J173" s="190"/>
      <c r="K173" s="198"/>
    </row>
    <row r="174" spans="1:11" ht="20.100000000000001" customHeight="1" x14ac:dyDescent="0.2">
      <c r="A174" s="170" t="s">
        <v>777</v>
      </c>
      <c r="B174" s="172" t="s">
        <v>149</v>
      </c>
      <c r="C174" s="165" t="s">
        <v>125</v>
      </c>
      <c r="D174" s="192">
        <f>VLOOKUP($C174,'04'!$C$8:$K$254,2,FALSE)+VLOOKUP($C174,'05'!$C$8:$N$226,2,FALSE)+VLOOKUP($C174,'06'!$C$8:$K$229,2,FALSE)+VLOOKUP($C174,'07'!$C$8:$K$241,2,FALSE)</f>
        <v>0</v>
      </c>
      <c r="E174" s="192">
        <f>VLOOKUP($C174,'04'!$C$8:$K$254,3,FALSE)+VLOOKUP($C174,'05'!$C$8:$N$226,6,FALSE)+VLOOKUP($C174,'06'!$C$8:$K$229,3,FALSE)+VLOOKUP($C174,'07'!$C$8:$K$241,3,FALSE)</f>
        <v>8000000</v>
      </c>
      <c r="F174" s="190"/>
      <c r="G174" s="190"/>
      <c r="H174" s="190"/>
      <c r="I174" s="190"/>
      <c r="J174" s="190"/>
      <c r="K174" s="198"/>
    </row>
    <row r="175" spans="1:11" ht="20.100000000000001" customHeight="1" x14ac:dyDescent="0.2">
      <c r="A175" s="170" t="s">
        <v>778</v>
      </c>
      <c r="B175" s="172" t="s">
        <v>150</v>
      </c>
      <c r="C175" s="165" t="s">
        <v>126</v>
      </c>
      <c r="D175" s="192">
        <f>VLOOKUP($C175,'04'!$C$8:$K$254,2,FALSE)+VLOOKUP($C175,'05'!$C$8:$N$226,2,FALSE)+VLOOKUP($C175,'06'!$C$8:$K$229,2,FALSE)+VLOOKUP($C175,'07'!$C$8:$K$241,2,FALSE)</f>
        <v>0</v>
      </c>
      <c r="E175" s="192">
        <f>VLOOKUP($C175,'04'!$C$8:$K$254,3,FALSE)+VLOOKUP($C175,'05'!$C$8:$N$226,6,FALSE)+VLOOKUP($C175,'06'!$C$8:$K$229,3,FALSE)+VLOOKUP($C175,'07'!$C$8:$K$241,3,FALSE)</f>
        <v>328346</v>
      </c>
      <c r="F175" s="190"/>
      <c r="G175" s="190"/>
      <c r="H175" s="190"/>
      <c r="I175" s="190"/>
      <c r="J175" s="190"/>
      <c r="K175" s="198"/>
    </row>
    <row r="176" spans="1:11" ht="20.100000000000001" customHeight="1" x14ac:dyDescent="0.2">
      <c r="A176" s="170" t="s">
        <v>779</v>
      </c>
      <c r="B176" s="172" t="s">
        <v>151</v>
      </c>
      <c r="C176" s="165" t="s">
        <v>127</v>
      </c>
      <c r="D176" s="192">
        <f>VLOOKUP($C176,'04'!$C$8:$K$254,2,FALSE)+VLOOKUP($C176,'05'!$C$8:$N$226,2,FALSE)+VLOOKUP($C176,'06'!$C$8:$K$229,2,FALSE)+VLOOKUP($C176,'07'!$C$8:$K$241,2,FALSE)</f>
        <v>19060087</v>
      </c>
      <c r="E176" s="192">
        <f>VLOOKUP($C176,'04'!$C$8:$K$254,3,FALSE)+VLOOKUP($C176,'05'!$C$8:$N$226,6,FALSE)+VLOOKUP($C176,'06'!$C$8:$K$229,3,FALSE)+VLOOKUP($C176,'07'!$C$8:$K$241,3,FALSE)</f>
        <v>19158512</v>
      </c>
      <c r="F176" s="190"/>
      <c r="G176" s="190"/>
      <c r="H176" s="190"/>
      <c r="I176" s="190"/>
      <c r="J176" s="190"/>
      <c r="K176" s="198"/>
    </row>
    <row r="177" spans="1:11" ht="20.100000000000001" customHeight="1" x14ac:dyDescent="0.2">
      <c r="A177" s="170" t="s">
        <v>780</v>
      </c>
      <c r="B177" s="153" t="s">
        <v>152</v>
      </c>
      <c r="C177" s="165" t="s">
        <v>128</v>
      </c>
      <c r="D177" s="192">
        <f>VLOOKUP($C177,'04'!$C$8:$K$254,2,FALSE)+VLOOKUP($C177,'05'!$C$8:$N$226,2,FALSE)+VLOOKUP($C177,'06'!$C$8:$K$229,2,FALSE)+VLOOKUP($C177,'07'!$C$8:$K$241,2,FALSE)</f>
        <v>0</v>
      </c>
      <c r="E177" s="192">
        <f>VLOOKUP($C177,'04'!$C$8:$K$254,3,FALSE)+VLOOKUP($C177,'05'!$C$8:$N$226,6,FALSE)+VLOOKUP($C177,'06'!$C$8:$K$229,3,FALSE)+VLOOKUP($C177,'07'!$C$8:$K$241,3,FALSE)</f>
        <v>0</v>
      </c>
      <c r="F177" s="190"/>
      <c r="G177" s="190"/>
      <c r="H177" s="190"/>
      <c r="I177" s="190"/>
      <c r="J177" s="190"/>
      <c r="K177" s="198"/>
    </row>
    <row r="178" spans="1:11" ht="20.100000000000001" customHeight="1" x14ac:dyDescent="0.2">
      <c r="A178" s="170" t="s">
        <v>781</v>
      </c>
      <c r="B178" s="153" t="s">
        <v>153</v>
      </c>
      <c r="C178" s="165" t="s">
        <v>129</v>
      </c>
      <c r="D178" s="192">
        <f>VLOOKUP($C178,'04'!$C$8:$K$254,2,FALSE)+VLOOKUP($C178,'05'!$C$8:$N$226,2,FALSE)+VLOOKUP($C178,'06'!$C$8:$K$229,2,FALSE)+VLOOKUP($C178,'07'!$C$8:$K$241,2,FALSE)</f>
        <v>0</v>
      </c>
      <c r="E178" s="192">
        <f>VLOOKUP($C178,'04'!$C$8:$K$254,3,FALSE)+VLOOKUP($C178,'05'!$C$8:$N$226,6,FALSE)+VLOOKUP($C178,'06'!$C$8:$K$229,3,FALSE)+VLOOKUP($C178,'07'!$C$8:$K$241,3,FALSE)</f>
        <v>0</v>
      </c>
      <c r="F178" s="190"/>
      <c r="G178" s="190"/>
      <c r="H178" s="190"/>
      <c r="I178" s="190"/>
      <c r="J178" s="190"/>
      <c r="K178" s="198"/>
    </row>
    <row r="179" spans="1:11" ht="20.100000000000001" customHeight="1" x14ac:dyDescent="0.2">
      <c r="A179" s="170" t="s">
        <v>782</v>
      </c>
      <c r="B179" s="153" t="s">
        <v>154</v>
      </c>
      <c r="C179" s="165" t="s">
        <v>130</v>
      </c>
      <c r="D179" s="192">
        <f>VLOOKUP($C179,'04'!$C$8:$K$254,2,FALSE)+VLOOKUP($C179,'05'!$C$8:$N$226,2,FALSE)+VLOOKUP($C179,'06'!$C$8:$K$229,2,FALSE)+VLOOKUP($C179,'07'!$C$8:$K$241,2,FALSE)</f>
        <v>5146223</v>
      </c>
      <c r="E179" s="192">
        <f>VLOOKUP($C179,'04'!$C$8:$K$254,3,FALSE)+VLOOKUP($C179,'05'!$C$8:$N$226,6,FALSE)+VLOOKUP($C179,'06'!$C$8:$K$229,3,FALSE)+VLOOKUP($C179,'07'!$C$8:$K$241,3,FALSE)</f>
        <v>5261452</v>
      </c>
      <c r="F179" s="190"/>
      <c r="G179" s="190"/>
      <c r="H179" s="190"/>
      <c r="I179" s="190"/>
      <c r="J179" s="190"/>
      <c r="K179" s="198"/>
    </row>
    <row r="180" spans="1:11" s="3" customFormat="1" ht="20.100000000000001" customHeight="1" x14ac:dyDescent="0.2">
      <c r="A180" s="171" t="s">
        <v>783</v>
      </c>
      <c r="B180" s="159" t="s">
        <v>830</v>
      </c>
      <c r="C180" s="168" t="s">
        <v>60</v>
      </c>
      <c r="D180" s="151">
        <f>SUM(D173:D179)</f>
        <v>24206310</v>
      </c>
      <c r="E180" s="197">
        <f>SUM(E173:E179)</f>
        <v>32748310</v>
      </c>
      <c r="F180" s="197"/>
      <c r="G180" s="197"/>
      <c r="H180" s="197"/>
      <c r="I180" s="197"/>
      <c r="J180" s="197"/>
      <c r="K180" s="194"/>
    </row>
    <row r="181" spans="1:11" ht="20.100000000000001" customHeight="1" x14ac:dyDescent="0.2">
      <c r="A181" s="170" t="s">
        <v>784</v>
      </c>
      <c r="B181" s="147" t="s">
        <v>167</v>
      </c>
      <c r="C181" s="165" t="s">
        <v>155</v>
      </c>
      <c r="D181" s="192">
        <f>VLOOKUP($C181,'04'!$C$8:$K$254,2,FALSE)+VLOOKUP($C181,'05'!$C$8:$N$226,2,FALSE)+VLOOKUP($C181,'06'!$C$8:$K$229,2,FALSE)+VLOOKUP($C181,'07'!$C$8:$K$241,2,FALSE)</f>
        <v>208785087</v>
      </c>
      <c r="E181" s="192">
        <f>VLOOKUP($C181,'04'!$C$8:$K$254,3,FALSE)+VLOOKUP($C181,'05'!$C$8:$N$226,6,FALSE)+VLOOKUP($C181,'06'!$C$8:$K$229,3,FALSE)+VLOOKUP($C181,'07'!$C$8:$K$241,3,FALSE)</f>
        <v>197155786</v>
      </c>
      <c r="F181" s="190"/>
      <c r="G181" s="190"/>
      <c r="H181" s="190"/>
      <c r="I181" s="190"/>
      <c r="J181" s="190"/>
      <c r="K181" s="198"/>
    </row>
    <row r="182" spans="1:11" ht="20.100000000000001" customHeight="1" x14ac:dyDescent="0.2">
      <c r="A182" s="170" t="s">
        <v>785</v>
      </c>
      <c r="B182" s="147" t="s">
        <v>168</v>
      </c>
      <c r="C182" s="165" t="s">
        <v>156</v>
      </c>
      <c r="D182" s="192">
        <f>VLOOKUP($C182,'04'!$C$8:$K$254,2,FALSE)+VLOOKUP($C182,'05'!$C$8:$N$226,2,FALSE)+VLOOKUP($C182,'06'!$C$8:$K$229,2,FALSE)+VLOOKUP($C182,'07'!$C$8:$K$241,2,FALSE)</f>
        <v>0</v>
      </c>
      <c r="E182" s="192">
        <f>VLOOKUP($C182,'04'!$C$8:$K$254,3,FALSE)+VLOOKUP($C182,'05'!$C$8:$N$226,6,FALSE)+VLOOKUP($C182,'06'!$C$8:$K$229,3,FALSE)+VLOOKUP($C182,'07'!$C$8:$K$241,3,FALSE)</f>
        <v>0</v>
      </c>
      <c r="F182" s="190"/>
      <c r="G182" s="190"/>
      <c r="H182" s="190"/>
      <c r="I182" s="190"/>
      <c r="J182" s="190"/>
      <c r="K182" s="198"/>
    </row>
    <row r="183" spans="1:11" ht="20.100000000000001" customHeight="1" x14ac:dyDescent="0.2">
      <c r="A183" s="170" t="s">
        <v>786</v>
      </c>
      <c r="B183" s="147" t="s">
        <v>169</v>
      </c>
      <c r="C183" s="165" t="s">
        <v>157</v>
      </c>
      <c r="D183" s="192">
        <f>VLOOKUP($C183,'04'!$C$8:$K$254,2,FALSE)+VLOOKUP($C183,'05'!$C$8:$N$226,2,FALSE)+VLOOKUP($C183,'06'!$C$8:$K$229,2,FALSE)+VLOOKUP($C183,'07'!$C$8:$K$241,2,FALSE)</f>
        <v>0</v>
      </c>
      <c r="E183" s="192">
        <f>VLOOKUP($C183,'04'!$C$8:$K$254,3,FALSE)+VLOOKUP($C183,'05'!$C$8:$N$226,6,FALSE)+VLOOKUP($C183,'06'!$C$8:$K$229,3,FALSE)+VLOOKUP($C183,'07'!$C$8:$K$241,3,FALSE)</f>
        <v>0</v>
      </c>
      <c r="F183" s="190"/>
      <c r="G183" s="190"/>
      <c r="H183" s="190"/>
      <c r="I183" s="190"/>
      <c r="J183" s="190"/>
      <c r="K183" s="198"/>
    </row>
    <row r="184" spans="1:11" ht="20.100000000000001" customHeight="1" x14ac:dyDescent="0.2">
      <c r="A184" s="170" t="s">
        <v>787</v>
      </c>
      <c r="B184" s="147" t="s">
        <v>170</v>
      </c>
      <c r="C184" s="165" t="s">
        <v>158</v>
      </c>
      <c r="D184" s="192">
        <f>VLOOKUP($C184,'04'!$C$8:$K$254,2,FALSE)+VLOOKUP($C184,'05'!$C$8:$N$226,2,FALSE)+VLOOKUP($C184,'06'!$C$8:$K$229,2,FALSE)+VLOOKUP($C184,'07'!$C$8:$K$241,2,FALSE)</f>
        <v>56371973</v>
      </c>
      <c r="E184" s="192">
        <f>VLOOKUP($C184,'04'!$C$8:$K$254,3,FALSE)+VLOOKUP($C184,'05'!$C$8:$N$226,6,FALSE)+VLOOKUP($C184,'06'!$C$8:$K$229,3,FALSE)+VLOOKUP($C184,'07'!$C$8:$K$241,3,FALSE)</f>
        <v>55509982</v>
      </c>
      <c r="F184" s="190"/>
      <c r="G184" s="190"/>
      <c r="H184" s="190"/>
      <c r="I184" s="190"/>
      <c r="J184" s="190"/>
      <c r="K184" s="198"/>
    </row>
    <row r="185" spans="1:11" s="3" customFormat="1" ht="20.100000000000001" customHeight="1" x14ac:dyDescent="0.2">
      <c r="A185" s="171" t="s">
        <v>788</v>
      </c>
      <c r="B185" s="149" t="s">
        <v>831</v>
      </c>
      <c r="C185" s="168" t="s">
        <v>61</v>
      </c>
      <c r="D185" s="151">
        <f>SUM(D181:D184)</f>
        <v>265157060</v>
      </c>
      <c r="E185" s="197">
        <f>SUM(E181:E184)</f>
        <v>252665768</v>
      </c>
      <c r="F185" s="197"/>
      <c r="G185" s="197"/>
      <c r="H185" s="197"/>
      <c r="I185" s="197"/>
      <c r="J185" s="197"/>
      <c r="K185" s="194"/>
    </row>
    <row r="186" spans="1:11" ht="20.100000000000001" customHeight="1" x14ac:dyDescent="0.2">
      <c r="A186" s="170" t="s">
        <v>789</v>
      </c>
      <c r="B186" s="147" t="s">
        <v>416</v>
      </c>
      <c r="C186" s="165" t="s">
        <v>159</v>
      </c>
      <c r="D186" s="192">
        <f>VLOOKUP($C186,'04'!$C$8:$K$254,2,FALSE)+VLOOKUP($C186,'05'!$C$8:$N$226,2,FALSE)+VLOOKUP($C186,'06'!$C$8:$K$229,2,FALSE)+VLOOKUP($C186,'07'!$C$8:$K$241,2,FALSE)</f>
        <v>0</v>
      </c>
      <c r="E186" s="192">
        <f>VLOOKUP($C186,'04'!$C$8:$K$254,3,FALSE)+VLOOKUP($C186,'05'!$C$8:$N$226,6,FALSE)+VLOOKUP($C186,'06'!$C$8:$K$229,3,FALSE)+VLOOKUP($C186,'07'!$C$8:$K$241,3,FALSE)</f>
        <v>0</v>
      </c>
      <c r="F186" s="190"/>
      <c r="G186" s="190"/>
      <c r="H186" s="190"/>
      <c r="I186" s="190"/>
      <c r="J186" s="190"/>
      <c r="K186" s="198"/>
    </row>
    <row r="187" spans="1:11" ht="20.100000000000001" customHeight="1" x14ac:dyDescent="0.2">
      <c r="A187" s="170" t="s">
        <v>790</v>
      </c>
      <c r="B187" s="147" t="s">
        <v>417</v>
      </c>
      <c r="C187" s="165" t="s">
        <v>160</v>
      </c>
      <c r="D187" s="192">
        <f>VLOOKUP($C187,'04'!$C$8:$K$254,2,FALSE)+VLOOKUP($C187,'05'!$C$8:$N$226,2,FALSE)+VLOOKUP($C187,'06'!$C$8:$K$229,2,FALSE)+VLOOKUP($C187,'07'!$C$8:$K$241,2,FALSE)</f>
        <v>0</v>
      </c>
      <c r="E187" s="192">
        <f>VLOOKUP($C187,'04'!$C$8:$K$254,3,FALSE)+VLOOKUP($C187,'05'!$C$8:$N$226,6,FALSE)+VLOOKUP($C187,'06'!$C$8:$K$229,3,FALSE)+VLOOKUP($C187,'07'!$C$8:$K$241,3,FALSE)</f>
        <v>0</v>
      </c>
      <c r="F187" s="190"/>
      <c r="G187" s="190"/>
      <c r="H187" s="190"/>
      <c r="I187" s="190"/>
      <c r="J187" s="190"/>
      <c r="K187" s="198"/>
    </row>
    <row r="188" spans="1:11" ht="20.100000000000001" customHeight="1" x14ac:dyDescent="0.2">
      <c r="A188" s="170" t="s">
        <v>791</v>
      </c>
      <c r="B188" s="147" t="s">
        <v>418</v>
      </c>
      <c r="C188" s="165" t="s">
        <v>161</v>
      </c>
      <c r="D188" s="192">
        <f>VLOOKUP($C188,'04'!$C$8:$K$254,2,FALSE)+VLOOKUP($C188,'05'!$C$8:$N$226,2,FALSE)+VLOOKUP($C188,'06'!$C$8:$K$229,2,FALSE)+VLOOKUP($C188,'07'!$C$8:$K$241,2,FALSE)</f>
        <v>0</v>
      </c>
      <c r="E188" s="192">
        <f>VLOOKUP($C188,'04'!$C$8:$K$254,3,FALSE)+VLOOKUP($C188,'05'!$C$8:$N$226,6,FALSE)+VLOOKUP($C188,'06'!$C$8:$K$229,3,FALSE)+VLOOKUP($C188,'07'!$C$8:$K$241,3,FALSE)</f>
        <v>0</v>
      </c>
      <c r="F188" s="190"/>
      <c r="G188" s="190"/>
      <c r="H188" s="190"/>
      <c r="I188" s="190"/>
      <c r="J188" s="190"/>
      <c r="K188" s="198"/>
    </row>
    <row r="189" spans="1:11" ht="20.100000000000001" customHeight="1" x14ac:dyDescent="0.2">
      <c r="A189" s="170" t="s">
        <v>792</v>
      </c>
      <c r="B189" s="147" t="s">
        <v>171</v>
      </c>
      <c r="C189" s="165" t="s">
        <v>162</v>
      </c>
      <c r="D189" s="192">
        <f>VLOOKUP($C189,'04'!$C$8:$K$254,2,FALSE)+VLOOKUP($C189,'05'!$C$8:$N$226,2,FALSE)+VLOOKUP($C189,'06'!$C$8:$K$229,2,FALSE)+VLOOKUP($C189,'07'!$C$8:$K$241,2,FALSE)</f>
        <v>0</v>
      </c>
      <c r="E189" s="192">
        <f>VLOOKUP($C189,'04'!$C$8:$K$254,3,FALSE)+VLOOKUP($C189,'05'!$C$8:$N$226,6,FALSE)+VLOOKUP($C189,'06'!$C$8:$K$229,3,FALSE)+VLOOKUP($C189,'07'!$C$8:$K$241,3,FALSE)</f>
        <v>0</v>
      </c>
      <c r="F189" s="190"/>
      <c r="G189" s="190"/>
      <c r="H189" s="190"/>
      <c r="I189" s="190"/>
      <c r="J189" s="190"/>
      <c r="K189" s="198"/>
    </row>
    <row r="190" spans="1:11" ht="20.100000000000001" customHeight="1" x14ac:dyDescent="0.2">
      <c r="A190" s="170" t="s">
        <v>793</v>
      </c>
      <c r="B190" s="147" t="s">
        <v>419</v>
      </c>
      <c r="C190" s="165" t="s">
        <v>163</v>
      </c>
      <c r="D190" s="192">
        <f>VLOOKUP($C190,'04'!$C$8:$K$254,2,FALSE)+VLOOKUP($C190,'05'!$C$8:$N$226,2,FALSE)+VLOOKUP($C190,'06'!$C$8:$K$229,2,FALSE)+VLOOKUP($C190,'07'!$C$8:$K$241,2,FALSE)</f>
        <v>0</v>
      </c>
      <c r="E190" s="192">
        <f>VLOOKUP($C190,'04'!$C$8:$K$254,3,FALSE)+VLOOKUP($C190,'05'!$C$8:$N$226,6,FALSE)+VLOOKUP($C190,'06'!$C$8:$K$229,3,FALSE)+VLOOKUP($C190,'07'!$C$8:$K$241,3,FALSE)</f>
        <v>0</v>
      </c>
      <c r="F190" s="190"/>
      <c r="G190" s="190"/>
      <c r="H190" s="190"/>
      <c r="I190" s="190"/>
      <c r="J190" s="190"/>
      <c r="K190" s="198"/>
    </row>
    <row r="191" spans="1:11" ht="20.100000000000001" customHeight="1" x14ac:dyDescent="0.2">
      <c r="A191" s="170" t="s">
        <v>794</v>
      </c>
      <c r="B191" s="147" t="s">
        <v>420</v>
      </c>
      <c r="C191" s="165" t="s">
        <v>164</v>
      </c>
      <c r="D191" s="192">
        <f>VLOOKUP($C191,'04'!$C$8:$K$254,2,FALSE)+VLOOKUP($C191,'05'!$C$8:$N$226,2,FALSE)+VLOOKUP($C191,'06'!$C$8:$K$229,2,FALSE)+VLOOKUP($C191,'07'!$C$8:$K$241,2,FALSE)</f>
        <v>0</v>
      </c>
      <c r="E191" s="192">
        <f>VLOOKUP($C191,'04'!$C$8:$K$254,3,FALSE)+VLOOKUP($C191,'05'!$C$8:$N$226,6,FALSE)+VLOOKUP($C191,'06'!$C$8:$K$229,3,FALSE)+VLOOKUP($C191,'07'!$C$8:$K$241,3,FALSE)</f>
        <v>0</v>
      </c>
      <c r="F191" s="190"/>
      <c r="G191" s="190"/>
      <c r="H191" s="190"/>
      <c r="I191" s="190"/>
      <c r="J191" s="190"/>
      <c r="K191" s="198"/>
    </row>
    <row r="192" spans="1:11" ht="20.100000000000001" customHeight="1" x14ac:dyDescent="0.2">
      <c r="A192" s="170" t="s">
        <v>795</v>
      </c>
      <c r="B192" s="147" t="s">
        <v>172</v>
      </c>
      <c r="C192" s="165" t="s">
        <v>165</v>
      </c>
      <c r="D192" s="192">
        <f>VLOOKUP($C192,'04'!$C$8:$K$254,2,FALSE)+VLOOKUP($C192,'05'!$C$8:$N$226,2,FALSE)+VLOOKUP($C192,'06'!$C$8:$K$229,2,FALSE)+VLOOKUP($C192,'07'!$C$8:$K$241,2,FALSE)</f>
        <v>0</v>
      </c>
      <c r="E192" s="192">
        <f>VLOOKUP($C192,'04'!$C$8:$K$254,3,FALSE)+VLOOKUP($C192,'05'!$C$8:$N$226,6,FALSE)+VLOOKUP($C192,'06'!$C$8:$K$229,3,FALSE)+VLOOKUP($C192,'07'!$C$8:$K$241,3,FALSE)</f>
        <v>0</v>
      </c>
      <c r="F192" s="190"/>
      <c r="G192" s="190"/>
      <c r="H192" s="190"/>
      <c r="I192" s="190"/>
      <c r="J192" s="190"/>
      <c r="K192" s="198"/>
    </row>
    <row r="193" spans="1:11" ht="20.100000000000001" customHeight="1" x14ac:dyDescent="0.2">
      <c r="A193" s="170" t="s">
        <v>796</v>
      </c>
      <c r="B193" s="147" t="s">
        <v>741</v>
      </c>
      <c r="C193" s="165" t="s">
        <v>166</v>
      </c>
      <c r="D193" s="192">
        <f>VLOOKUP($C193,'04'!$C$8:$K$254,2,FALSE)+VLOOKUP($C193,'05'!$C$8:$N$226,2,FALSE)+VLOOKUP($C193,'06'!$C$8:$K$229,2,FALSE)+VLOOKUP($C193,'07'!$C$8:$K$241,2,FALSE)</f>
        <v>0</v>
      </c>
      <c r="E193" s="192">
        <f>VLOOKUP($C193,'04'!$C$8:$K$254,3,FALSE)+VLOOKUP($C193,'05'!$C$8:$N$226,6,FALSE)+VLOOKUP($C193,'06'!$C$8:$K$229,3,FALSE)+VLOOKUP($C193,'07'!$C$8:$K$241,3,FALSE)</f>
        <v>0</v>
      </c>
      <c r="F193" s="190"/>
      <c r="G193" s="190"/>
      <c r="H193" s="190"/>
      <c r="I193" s="190"/>
      <c r="J193" s="190"/>
      <c r="K193" s="198"/>
    </row>
    <row r="194" spans="1:11" ht="20.100000000000001" customHeight="1" x14ac:dyDescent="0.2">
      <c r="A194" s="170" t="s">
        <v>797</v>
      </c>
      <c r="B194" s="147" t="s">
        <v>173</v>
      </c>
      <c r="C194" s="165" t="s">
        <v>742</v>
      </c>
      <c r="D194" s="192">
        <f>VLOOKUP($C194,'04'!$C$8:$K$254,2,FALSE)+VLOOKUP($C194,'05'!$C$8:$N$226,2,FALSE)+VLOOKUP($C194,'06'!$C$8:$K$229,2,FALSE)+VLOOKUP($C194,'07'!$C$8:$K$241,2,FALSE)</f>
        <v>0</v>
      </c>
      <c r="E194" s="192">
        <f>VLOOKUP($C194,'04'!$C$8:$K$254,3,FALSE)+VLOOKUP($C194,'05'!$C$8:$N$226,6,FALSE)+VLOOKUP($C194,'06'!$C$8:$K$229,3,FALSE)+VLOOKUP($C194,'07'!$C$8:$K$241,3,FALSE)</f>
        <v>0</v>
      </c>
      <c r="F194" s="190"/>
      <c r="G194" s="190"/>
      <c r="H194" s="190"/>
      <c r="I194" s="190"/>
      <c r="J194" s="190"/>
      <c r="K194" s="198"/>
    </row>
    <row r="195" spans="1:11" ht="20.100000000000001" customHeight="1" x14ac:dyDescent="0.2">
      <c r="A195" s="171" t="s">
        <v>798</v>
      </c>
      <c r="B195" s="149" t="s">
        <v>832</v>
      </c>
      <c r="C195" s="168" t="s">
        <v>62</v>
      </c>
      <c r="D195" s="151">
        <f>SUM(D186:D194)</f>
        <v>0</v>
      </c>
      <c r="E195" s="197">
        <f>SUM(E186:E194)</f>
        <v>0</v>
      </c>
      <c r="F195" s="197"/>
      <c r="G195" s="197"/>
      <c r="H195" s="197"/>
      <c r="I195" s="197"/>
      <c r="J195" s="197"/>
      <c r="K195" s="194"/>
    </row>
    <row r="196" spans="1:11" s="3" customFormat="1" ht="20.100000000000001" customHeight="1" x14ac:dyDescent="0.2">
      <c r="A196" s="173" t="s">
        <v>799</v>
      </c>
      <c r="B196" s="162" t="s">
        <v>833</v>
      </c>
      <c r="C196" s="174" t="s">
        <v>174</v>
      </c>
      <c r="D196" s="152">
        <f>D121+D122+D147+D156+D172+D180+D185+D195</f>
        <v>670712394.99627662</v>
      </c>
      <c r="E196" s="196">
        <f>E121+E122+E147+E156+E172+E180+E185+E195</f>
        <v>691952609</v>
      </c>
      <c r="F196" s="196"/>
      <c r="G196" s="196"/>
      <c r="H196" s="196"/>
      <c r="I196" s="196"/>
      <c r="J196" s="196"/>
      <c r="K196" s="189"/>
    </row>
    <row r="197" spans="1:11" ht="20.100000000000001" customHeight="1" x14ac:dyDescent="0.2">
      <c r="A197" s="170" t="s">
        <v>800</v>
      </c>
      <c r="B197" s="147" t="s">
        <v>743</v>
      </c>
      <c r="C197" s="154" t="s">
        <v>381</v>
      </c>
      <c r="D197" s="192">
        <f>VLOOKUP($C197,'04'!$C$8:$K$254,2,FALSE)+VLOOKUP($C197,'05'!$C$8:$N$226,2,FALSE)+VLOOKUP($C197,'06'!$C$8:$K$229,2,FALSE)+VLOOKUP($C197,'07'!$C$8:$K$241,2,FALSE)</f>
        <v>0</v>
      </c>
      <c r="E197" s="192">
        <f>VLOOKUP($C197,'04'!$C$8:$K$254,3,FALSE)+VLOOKUP($C197,'05'!$C$8:$N$226,6,FALSE)+VLOOKUP($C197,'06'!$C$8:$K$229,3,FALSE)+VLOOKUP($C197,'07'!$C$8:$K$241,3,FALSE)</f>
        <v>0</v>
      </c>
      <c r="F197" s="190"/>
      <c r="G197" s="190"/>
      <c r="H197" s="190"/>
      <c r="I197" s="190"/>
      <c r="J197" s="190"/>
      <c r="K197" s="194"/>
    </row>
    <row r="198" spans="1:11" ht="20.100000000000001" customHeight="1" x14ac:dyDescent="0.2">
      <c r="A198" s="170" t="s">
        <v>801</v>
      </c>
      <c r="B198" s="147" t="s">
        <v>382</v>
      </c>
      <c r="C198" s="154" t="s">
        <v>383</v>
      </c>
      <c r="D198" s="192">
        <f>VLOOKUP($C198,'04'!$C$8:$K$254,2,FALSE)+VLOOKUP($C198,'05'!$C$8:$N$226,2,FALSE)+VLOOKUP($C198,'06'!$C$8:$K$229,2,FALSE)+VLOOKUP($C198,'07'!$C$8:$K$241,2,FALSE)</f>
        <v>0</v>
      </c>
      <c r="E198" s="192">
        <f>VLOOKUP($C198,'04'!$C$8:$K$254,3,FALSE)+VLOOKUP($C198,'05'!$C$8:$N$226,6,FALSE)+VLOOKUP($C198,'06'!$C$8:$K$229,3,FALSE)+VLOOKUP($C198,'07'!$C$8:$K$241,3,FALSE)</f>
        <v>0</v>
      </c>
      <c r="F198" s="190"/>
      <c r="G198" s="190"/>
      <c r="H198" s="190"/>
      <c r="I198" s="190"/>
      <c r="J198" s="190"/>
      <c r="K198" s="194"/>
    </row>
    <row r="199" spans="1:11" ht="20.100000000000001" customHeight="1" x14ac:dyDescent="0.2">
      <c r="A199" s="170" t="s">
        <v>802</v>
      </c>
      <c r="B199" s="147" t="s">
        <v>744</v>
      </c>
      <c r="C199" s="154" t="s">
        <v>384</v>
      </c>
      <c r="D199" s="192">
        <f>VLOOKUP($C199,'04'!$C$8:$K$254,2,FALSE)+VLOOKUP($C199,'05'!$C$8:$N$226,2,FALSE)+VLOOKUP($C199,'06'!$C$8:$K$229,2,FALSE)+VLOOKUP($C199,'07'!$C$8:$K$241,2,FALSE)</f>
        <v>0</v>
      </c>
      <c r="E199" s="192">
        <f>VLOOKUP($C199,'04'!$C$8:$K$254,3,FALSE)+VLOOKUP($C199,'05'!$C$8:$N$226,6,FALSE)+VLOOKUP($C199,'06'!$C$8:$K$229,3,FALSE)+VLOOKUP($C199,'07'!$C$8:$K$241,3,FALSE)</f>
        <v>0</v>
      </c>
      <c r="F199" s="190"/>
      <c r="G199" s="190"/>
      <c r="H199" s="190"/>
      <c r="I199" s="190"/>
      <c r="J199" s="190"/>
      <c r="K199" s="194"/>
    </row>
    <row r="200" spans="1:11" ht="20.100000000000001" customHeight="1" x14ac:dyDescent="0.2">
      <c r="A200" s="171" t="s">
        <v>803</v>
      </c>
      <c r="B200" s="149" t="s">
        <v>834</v>
      </c>
      <c r="C200" s="158" t="s">
        <v>385</v>
      </c>
      <c r="D200" s="175">
        <f>SUM(D197:D199)</f>
        <v>0</v>
      </c>
      <c r="E200" s="193">
        <f>SUM(E197:E199)</f>
        <v>0</v>
      </c>
      <c r="F200" s="193"/>
      <c r="G200" s="193"/>
      <c r="H200" s="193"/>
      <c r="I200" s="193"/>
      <c r="J200" s="193"/>
      <c r="K200" s="194"/>
    </row>
    <row r="201" spans="1:11" ht="20.100000000000001" customHeight="1" x14ac:dyDescent="0.2">
      <c r="A201" s="170" t="s">
        <v>804</v>
      </c>
      <c r="B201" s="153" t="s">
        <v>386</v>
      </c>
      <c r="C201" s="154" t="s">
        <v>387</v>
      </c>
      <c r="D201" s="192">
        <f>VLOOKUP($C201,'04'!$C$8:$K$254,2,FALSE)+VLOOKUP($C201,'05'!$C$8:$N$226,2,FALSE)+VLOOKUP($C201,'06'!$C$8:$K$229,2,FALSE)+VLOOKUP($C201,'07'!$C$8:$K$241,2,FALSE)</f>
        <v>0</v>
      </c>
      <c r="E201" s="192">
        <f>VLOOKUP($C201,'04'!$C$8:$K$254,3,FALSE)+VLOOKUP($C201,'05'!$C$8:$N$226,6,FALSE)+VLOOKUP($C201,'06'!$C$8:$K$229,3,FALSE)+VLOOKUP($C201,'07'!$C$8:$K$241,3,FALSE)</f>
        <v>0</v>
      </c>
      <c r="F201" s="190"/>
      <c r="G201" s="190"/>
      <c r="H201" s="190"/>
      <c r="I201" s="190"/>
      <c r="J201" s="190"/>
      <c r="K201" s="194"/>
    </row>
    <row r="202" spans="1:11" ht="20.100000000000001" customHeight="1" x14ac:dyDescent="0.2">
      <c r="A202" s="170" t="s">
        <v>805</v>
      </c>
      <c r="B202" s="147" t="s">
        <v>389</v>
      </c>
      <c r="C202" s="154" t="s">
        <v>388</v>
      </c>
      <c r="D202" s="192">
        <f>VLOOKUP($C202,'04'!$C$8:$K$254,2,FALSE)+VLOOKUP($C202,'05'!$C$8:$N$226,2,FALSE)+VLOOKUP($C202,'06'!$C$8:$K$229,2,FALSE)+VLOOKUP($C202,'07'!$C$8:$K$241,2,FALSE)</f>
        <v>0</v>
      </c>
      <c r="E202" s="192">
        <f>VLOOKUP($C202,'04'!$C$8:$K$254,3,FALSE)+VLOOKUP($C202,'05'!$C$8:$N$226,6,FALSE)+VLOOKUP($C202,'06'!$C$8:$K$229,3,FALSE)+VLOOKUP($C202,'07'!$C$8:$K$241,3,FALSE)</f>
        <v>0</v>
      </c>
      <c r="F202" s="190"/>
      <c r="G202" s="190"/>
      <c r="H202" s="190"/>
      <c r="I202" s="190"/>
      <c r="J202" s="190"/>
      <c r="K202" s="194"/>
    </row>
    <row r="203" spans="1:11" ht="20.100000000000001" customHeight="1" x14ac:dyDescent="0.2">
      <c r="A203" s="170" t="s">
        <v>806</v>
      </c>
      <c r="B203" s="147" t="s">
        <v>745</v>
      </c>
      <c r="C203" s="154" t="s">
        <v>390</v>
      </c>
      <c r="D203" s="192">
        <f>VLOOKUP($C203,'04'!$C$8:$K$254,2,FALSE)+VLOOKUP($C203,'05'!$C$8:$N$226,2,FALSE)+VLOOKUP($C203,'06'!$C$8:$K$229,2,FALSE)+VLOOKUP($C203,'07'!$C$8:$K$241,2,FALSE)</f>
        <v>0</v>
      </c>
      <c r="E203" s="192">
        <f>VLOOKUP($C203,'04'!$C$8:$K$254,3,FALSE)+VLOOKUP($C203,'05'!$C$8:$N$226,6,FALSE)+VLOOKUP($C203,'06'!$C$8:$K$229,3,FALSE)+VLOOKUP($C203,'07'!$C$8:$K$241,3,FALSE)</f>
        <v>0</v>
      </c>
      <c r="F203" s="190"/>
      <c r="G203" s="190"/>
      <c r="H203" s="190"/>
      <c r="I203" s="190"/>
      <c r="J203" s="190"/>
      <c r="K203" s="194"/>
    </row>
    <row r="204" spans="1:11" ht="20.100000000000001" customHeight="1" x14ac:dyDescent="0.2">
      <c r="A204" s="170" t="s">
        <v>807</v>
      </c>
      <c r="B204" s="147" t="s">
        <v>746</v>
      </c>
      <c r="C204" s="154" t="s">
        <v>391</v>
      </c>
      <c r="D204" s="192">
        <f>VLOOKUP($C204,'04'!$C$8:$K$254,2,FALSE)+VLOOKUP($C204,'05'!$C$8:$N$226,2,FALSE)+VLOOKUP($C204,'06'!$C$8:$K$229,2,FALSE)+VLOOKUP($C204,'07'!$C$8:$K$241,2,FALSE)</f>
        <v>0</v>
      </c>
      <c r="E204" s="192">
        <f>VLOOKUP($C204,'04'!$C$8:$K$254,3,FALSE)+VLOOKUP($C204,'05'!$C$8:$N$226,6,FALSE)+VLOOKUP($C204,'06'!$C$8:$K$229,3,FALSE)+VLOOKUP($C204,'07'!$C$8:$K$241,3,FALSE)</f>
        <v>0</v>
      </c>
      <c r="F204" s="190"/>
      <c r="G204" s="190"/>
      <c r="H204" s="190"/>
      <c r="I204" s="190"/>
      <c r="J204" s="190"/>
      <c r="K204" s="194"/>
    </row>
    <row r="205" spans="1:11" ht="20.100000000000001" customHeight="1" x14ac:dyDescent="0.2">
      <c r="A205" s="170" t="s">
        <v>808</v>
      </c>
      <c r="B205" s="147" t="s">
        <v>747</v>
      </c>
      <c r="C205" s="154" t="s">
        <v>748</v>
      </c>
      <c r="D205" s="192">
        <f>VLOOKUP($C205,'04'!$C$8:$K$254,2,FALSE)+VLOOKUP($C205,'05'!$C$8:$N$226,2,FALSE)+VLOOKUP($C205,'06'!$C$8:$K$229,2,FALSE)+VLOOKUP($C205,'07'!$C$8:$K$241,2,FALSE)</f>
        <v>0</v>
      </c>
      <c r="E205" s="192">
        <f>VLOOKUP($C205,'04'!$C$8:$K$254,3,FALSE)+VLOOKUP($C205,'05'!$C$8:$N$226,6,FALSE)+VLOOKUP($C205,'06'!$C$8:$K$229,3,FALSE)+VLOOKUP($C205,'07'!$C$8:$K$241,3,FALSE)</f>
        <v>0</v>
      </c>
      <c r="F205" s="190"/>
      <c r="G205" s="190"/>
      <c r="H205" s="190"/>
      <c r="I205" s="190"/>
      <c r="J205" s="190"/>
      <c r="K205" s="194"/>
    </row>
    <row r="206" spans="1:11" ht="20.100000000000001" customHeight="1" x14ac:dyDescent="0.2">
      <c r="A206" s="171" t="s">
        <v>809</v>
      </c>
      <c r="B206" s="159" t="s">
        <v>835</v>
      </c>
      <c r="C206" s="158" t="s">
        <v>392</v>
      </c>
      <c r="D206" s="175">
        <f>SUM(D201:D205)</f>
        <v>0</v>
      </c>
      <c r="E206" s="193">
        <f>SUM(E201:E205)</f>
        <v>0</v>
      </c>
      <c r="F206" s="193"/>
      <c r="G206" s="193"/>
      <c r="H206" s="193"/>
      <c r="I206" s="193"/>
      <c r="J206" s="193"/>
      <c r="K206" s="194"/>
    </row>
    <row r="207" spans="1:11" ht="20.100000000000001" customHeight="1" x14ac:dyDescent="0.2">
      <c r="A207" s="170" t="s">
        <v>810</v>
      </c>
      <c r="B207" s="153" t="s">
        <v>393</v>
      </c>
      <c r="C207" s="154" t="s">
        <v>394</v>
      </c>
      <c r="D207" s="192">
        <f>VLOOKUP($C207,'04'!$C$8:$K$254,2,FALSE)+VLOOKUP($C207,'05'!$C$8:$N$226,2,FALSE)+VLOOKUP($C207,'06'!$C$8:$K$229,2,FALSE)+VLOOKUP($C207,'07'!$C$8:$K$241,2,FALSE)</f>
        <v>0</v>
      </c>
      <c r="E207" s="192">
        <f>VLOOKUP($C207,'04'!$C$8:$K$254,3,FALSE)+VLOOKUP($C207,'05'!$C$8:$N$226,6,FALSE)+VLOOKUP($C207,'06'!$C$8:$K$229,3,FALSE)+VLOOKUP($C207,'07'!$C$8:$K$241,3,FALSE)</f>
        <v>0</v>
      </c>
      <c r="F207" s="190"/>
      <c r="G207" s="190"/>
      <c r="H207" s="190"/>
      <c r="I207" s="190"/>
      <c r="J207" s="190"/>
      <c r="K207" s="191"/>
    </row>
    <row r="208" spans="1:11" ht="20.100000000000001" customHeight="1" x14ac:dyDescent="0.2">
      <c r="A208" s="170" t="s">
        <v>811</v>
      </c>
      <c r="B208" s="153" t="s">
        <v>395</v>
      </c>
      <c r="C208" s="154" t="s">
        <v>396</v>
      </c>
      <c r="D208" s="192">
        <f>VLOOKUP($C208,'04'!$C$8:$K$254,2,FALSE)+VLOOKUP($C208,'05'!$C$8:$N$226,2,FALSE)+VLOOKUP($C208,'06'!$C$8:$K$229,2,FALSE)+VLOOKUP($C208,'07'!$C$8:$K$241,2,FALSE)</f>
        <v>6910249</v>
      </c>
      <c r="E208" s="192">
        <f>VLOOKUP($C208,'04'!$C$8:$K$254,3,FALSE)+VLOOKUP($C208,'05'!$C$8:$N$226,6,FALSE)+VLOOKUP($C208,'06'!$C$8:$K$229,3,FALSE)+VLOOKUP($C208,'07'!$C$8:$K$241,3,FALSE)</f>
        <v>7186829</v>
      </c>
      <c r="F208" s="190"/>
      <c r="G208" s="190"/>
      <c r="H208" s="190"/>
      <c r="I208" s="190"/>
      <c r="J208" s="190"/>
      <c r="K208" s="191"/>
    </row>
    <row r="209" spans="1:11" ht="20.100000000000001" customHeight="1" x14ac:dyDescent="0.2">
      <c r="A209" s="170" t="s">
        <v>812</v>
      </c>
      <c r="B209" s="153" t="s">
        <v>397</v>
      </c>
      <c r="C209" s="154" t="s">
        <v>398</v>
      </c>
      <c r="D209" s="192">
        <f>VLOOKUP($C209,'04'!$C$8:$K$254,2,FALSE)+VLOOKUP($C209,'05'!$C$8:$N$226,2,FALSE)+VLOOKUP($C209,'06'!$C$8:$K$229,2,FALSE)+VLOOKUP($C209,'07'!$C$8:$K$241,2,FALSE)</f>
        <v>195194468</v>
      </c>
      <c r="E209" s="192">
        <f>VLOOKUP($C209,'04'!$C$8:$K$254,3,FALSE)+VLOOKUP($C209,'05'!$C$8:$N$226,6,FALSE)+VLOOKUP($C209,'06'!$C$8:$K$229,3,FALSE)+VLOOKUP($C209,'07'!$C$8:$K$241,3,FALSE)</f>
        <v>194952719</v>
      </c>
      <c r="F209" s="190"/>
      <c r="G209" s="195"/>
      <c r="H209" s="190"/>
      <c r="I209" s="195"/>
      <c r="J209" s="190"/>
      <c r="K209" s="191"/>
    </row>
    <row r="210" spans="1:11" ht="20.100000000000001" customHeight="1" x14ac:dyDescent="0.2">
      <c r="A210" s="170" t="s">
        <v>813</v>
      </c>
      <c r="B210" s="153" t="s">
        <v>749</v>
      </c>
      <c r="C210" s="154" t="s">
        <v>399</v>
      </c>
      <c r="D210" s="192">
        <f>VLOOKUP($C210,'04'!$C$8:$K$254,2,FALSE)+VLOOKUP($C210,'05'!$C$8:$N$226,2,FALSE)+VLOOKUP($C210,'06'!$C$8:$K$229,2,FALSE)+VLOOKUP($C210,'07'!$C$8:$K$241,2,FALSE)</f>
        <v>0</v>
      </c>
      <c r="E210" s="192">
        <f>VLOOKUP($C210,'04'!$C$8:$K$254,3,FALSE)+VLOOKUP($C210,'05'!$C$8:$N$226,6,FALSE)+VLOOKUP($C210,'06'!$C$8:$K$229,3,FALSE)+VLOOKUP($C210,'07'!$C$8:$K$241,3,FALSE)</f>
        <v>0</v>
      </c>
      <c r="F210" s="190"/>
      <c r="G210" s="190"/>
      <c r="H210" s="190"/>
      <c r="I210" s="190"/>
      <c r="J210" s="190"/>
      <c r="K210" s="191"/>
    </row>
    <row r="211" spans="1:11" ht="20.100000000000001" customHeight="1" x14ac:dyDescent="0.2">
      <c r="A211" s="170" t="s">
        <v>814</v>
      </c>
      <c r="B211" s="153" t="s">
        <v>400</v>
      </c>
      <c r="C211" s="154" t="s">
        <v>401</v>
      </c>
      <c r="D211" s="192">
        <f>VLOOKUP($C211,'04'!$C$8:$K$254,2,FALSE)+VLOOKUP($C211,'05'!$C$8:$N$226,2,FALSE)+VLOOKUP($C211,'06'!$C$8:$K$229,2,FALSE)+VLOOKUP($C211,'07'!$C$8:$K$241,2,FALSE)</f>
        <v>0</v>
      </c>
      <c r="E211" s="192">
        <f>VLOOKUP($C211,'04'!$C$8:$K$254,3,FALSE)+VLOOKUP($C211,'05'!$C$8:$N$226,6,FALSE)+VLOOKUP($C211,'06'!$C$8:$K$229,3,FALSE)+VLOOKUP($C211,'07'!$C$8:$K$241,3,FALSE)</f>
        <v>0</v>
      </c>
      <c r="F211" s="190"/>
      <c r="G211" s="190"/>
      <c r="H211" s="190"/>
      <c r="I211" s="190"/>
      <c r="J211" s="190"/>
      <c r="K211" s="191"/>
    </row>
    <row r="212" spans="1:11" ht="20.100000000000001" customHeight="1" x14ac:dyDescent="0.2">
      <c r="A212" s="170" t="s">
        <v>815</v>
      </c>
      <c r="B212" s="153" t="s">
        <v>402</v>
      </c>
      <c r="C212" s="154" t="s">
        <v>403</v>
      </c>
      <c r="D212" s="192">
        <f>VLOOKUP($C212,'04'!$C$8:$K$254,2,FALSE)+VLOOKUP($C212,'05'!$C$8:$N$226,2,FALSE)+VLOOKUP($C212,'06'!$C$8:$K$229,2,FALSE)+VLOOKUP($C212,'07'!$C$8:$K$241,2,FALSE)</f>
        <v>0</v>
      </c>
      <c r="E212" s="192">
        <f>VLOOKUP($C212,'04'!$C$8:$K$254,3,FALSE)+VLOOKUP($C212,'05'!$C$8:$N$226,6,FALSE)+VLOOKUP($C212,'06'!$C$8:$K$229,3,FALSE)+VLOOKUP($C212,'07'!$C$8:$K$241,3,FALSE)</f>
        <v>0</v>
      </c>
      <c r="F212" s="190"/>
      <c r="G212" s="190"/>
      <c r="H212" s="190"/>
      <c r="I212" s="190"/>
      <c r="J212" s="190"/>
      <c r="K212" s="191"/>
    </row>
    <row r="213" spans="1:11" ht="20.100000000000001" customHeight="1" x14ac:dyDescent="0.2">
      <c r="A213" s="170" t="s">
        <v>816</v>
      </c>
      <c r="B213" s="153" t="s">
        <v>752</v>
      </c>
      <c r="C213" s="154" t="s">
        <v>753</v>
      </c>
      <c r="D213" s="192">
        <f>VLOOKUP($C213,'04'!$C$8:$K$254,2,FALSE)+VLOOKUP($C213,'05'!$C$8:$N$226,2,FALSE)+VLOOKUP($C213,'06'!$C$8:$K$229,2,FALSE)+VLOOKUP($C213,'07'!$C$8:$K$241,2,FALSE)</f>
        <v>0</v>
      </c>
      <c r="E213" s="192">
        <f>VLOOKUP($C213,'04'!$C$8:$K$254,3,FALSE)+VLOOKUP($C213,'05'!$C$8:$N$226,6,FALSE)+VLOOKUP($C213,'06'!$C$8:$K$229,3,FALSE)+VLOOKUP($C213,'07'!$C$8:$K$241,3,FALSE)</f>
        <v>0</v>
      </c>
      <c r="F213" s="190"/>
      <c r="G213" s="190"/>
      <c r="H213" s="190"/>
      <c r="I213" s="190"/>
      <c r="J213" s="190"/>
      <c r="K213" s="191"/>
    </row>
    <row r="214" spans="1:11" ht="20.100000000000001" customHeight="1" x14ac:dyDescent="0.2">
      <c r="A214" s="170" t="s">
        <v>817</v>
      </c>
      <c r="B214" s="153" t="s">
        <v>751</v>
      </c>
      <c r="C214" s="154" t="s">
        <v>754</v>
      </c>
      <c r="D214" s="192">
        <f>VLOOKUP($C214,'04'!$C$8:$K$254,2,FALSE)+VLOOKUP($C214,'05'!$C$8:$N$226,2,FALSE)+VLOOKUP($C214,'06'!$C$8:$K$229,2,FALSE)+VLOOKUP($C214,'07'!$C$8:$K$241,2,FALSE)</f>
        <v>0</v>
      </c>
      <c r="E214" s="192">
        <f>VLOOKUP($C214,'04'!$C$8:$K$254,3,FALSE)+VLOOKUP($C214,'05'!$C$8:$N$226,6,FALSE)+VLOOKUP($C214,'06'!$C$8:$K$229,3,FALSE)+VLOOKUP($C214,'07'!$C$8:$K$241,3,FALSE)</f>
        <v>0</v>
      </c>
      <c r="F214" s="190"/>
      <c r="G214" s="190"/>
      <c r="H214" s="190"/>
      <c r="I214" s="190"/>
      <c r="J214" s="190"/>
      <c r="K214" s="191"/>
    </row>
    <row r="215" spans="1:11" s="3" customFormat="1" ht="20.100000000000001" customHeight="1" x14ac:dyDescent="0.2">
      <c r="A215" s="171" t="s">
        <v>818</v>
      </c>
      <c r="B215" s="159" t="s">
        <v>836</v>
      </c>
      <c r="C215" s="158" t="s">
        <v>750</v>
      </c>
      <c r="D215" s="175">
        <f>SUM(D213:D214)</f>
        <v>0</v>
      </c>
      <c r="E215" s="193">
        <f>SUM(E213:E214)</f>
        <v>0</v>
      </c>
      <c r="F215" s="193"/>
      <c r="G215" s="193"/>
      <c r="H215" s="193"/>
      <c r="I215" s="193"/>
      <c r="J215" s="193"/>
      <c r="K215" s="194"/>
    </row>
    <row r="216" spans="1:11" ht="20.100000000000001" customHeight="1" x14ac:dyDescent="0.2">
      <c r="A216" s="171" t="s">
        <v>819</v>
      </c>
      <c r="B216" s="159" t="s">
        <v>837</v>
      </c>
      <c r="C216" s="158" t="s">
        <v>404</v>
      </c>
      <c r="D216" s="175">
        <f>D200+SUM(D206:D212)+D215</f>
        <v>202104717</v>
      </c>
      <c r="E216" s="193">
        <f>E200+SUM(E206:E212)+E215</f>
        <v>202139548</v>
      </c>
      <c r="F216" s="193"/>
      <c r="G216" s="193"/>
      <c r="H216" s="193"/>
      <c r="I216" s="193"/>
      <c r="J216" s="193"/>
      <c r="K216" s="194"/>
    </row>
    <row r="217" spans="1:11" ht="20.100000000000001" customHeight="1" x14ac:dyDescent="0.2">
      <c r="A217" s="170" t="s">
        <v>820</v>
      </c>
      <c r="B217" s="153" t="s">
        <v>405</v>
      </c>
      <c r="C217" s="154" t="s">
        <v>406</v>
      </c>
      <c r="D217" s="192">
        <f>VLOOKUP($C217,'04'!$C$8:$K$254,2,FALSE)+VLOOKUP($C217,'05'!$C$8:$N$226,2,FALSE)+VLOOKUP($C217,'06'!$C$8:$K$229,2,FALSE)+VLOOKUP($C217,'07'!$C$8:$K$241,2,FALSE)</f>
        <v>0</v>
      </c>
      <c r="E217" s="192">
        <f>VLOOKUP($C217,'04'!$C$8:$K$254,3,FALSE)+VLOOKUP($C217,'05'!$C$8:$N$226,6,FALSE)+VLOOKUP($C217,'06'!$C$8:$K$229,3,FALSE)+VLOOKUP($C217,'07'!$C$8:$K$241,3,FALSE)</f>
        <v>0</v>
      </c>
      <c r="F217" s="190"/>
      <c r="G217" s="190"/>
      <c r="H217" s="190"/>
      <c r="I217" s="190"/>
      <c r="J217" s="190"/>
      <c r="K217" s="194"/>
    </row>
    <row r="218" spans="1:11" ht="20.100000000000001" customHeight="1" x14ac:dyDescent="0.2">
      <c r="A218" s="170" t="s">
        <v>821</v>
      </c>
      <c r="B218" s="147" t="s">
        <v>407</v>
      </c>
      <c r="C218" s="154" t="s">
        <v>408</v>
      </c>
      <c r="D218" s="192">
        <f>VLOOKUP($C218,'04'!$C$8:$K$254,2,FALSE)+VLOOKUP($C218,'05'!$C$8:$N$226,2,FALSE)+VLOOKUP($C218,'06'!$C$8:$K$229,2,FALSE)+VLOOKUP($C218,'07'!$C$8:$K$241,2,FALSE)</f>
        <v>0</v>
      </c>
      <c r="E218" s="192">
        <f>VLOOKUP($C218,'04'!$C$8:$K$254,3,FALSE)+VLOOKUP($C218,'05'!$C$8:$N$226,6,FALSE)+VLOOKUP($C218,'06'!$C$8:$K$229,3,FALSE)+VLOOKUP($C218,'07'!$C$8:$K$241,3,FALSE)</f>
        <v>0</v>
      </c>
      <c r="F218" s="190"/>
      <c r="G218" s="190"/>
      <c r="H218" s="190"/>
      <c r="I218" s="190"/>
      <c r="J218" s="190"/>
      <c r="K218" s="194"/>
    </row>
    <row r="219" spans="1:11" ht="20.100000000000001" customHeight="1" x14ac:dyDescent="0.2">
      <c r="A219" s="170" t="s">
        <v>822</v>
      </c>
      <c r="B219" s="153" t="s">
        <v>409</v>
      </c>
      <c r="C219" s="154" t="s">
        <v>410</v>
      </c>
      <c r="D219" s="192">
        <f>VLOOKUP($C219,'04'!$C$8:$K$254,2,FALSE)+VLOOKUP($C219,'05'!$C$8:$N$226,2,FALSE)+VLOOKUP($C219,'06'!$C$8:$K$229,2,FALSE)+VLOOKUP($C219,'07'!$C$8:$K$241,2,FALSE)</f>
        <v>0</v>
      </c>
      <c r="E219" s="192">
        <f>VLOOKUP($C219,'04'!$C$8:$K$254,3,FALSE)+VLOOKUP($C219,'05'!$C$8:$N$226,6,FALSE)+VLOOKUP($C219,'06'!$C$8:$K$229,3,FALSE)+VLOOKUP($C219,'07'!$C$8:$K$241,3,FALSE)</f>
        <v>0</v>
      </c>
      <c r="F219" s="190"/>
      <c r="G219" s="190"/>
      <c r="H219" s="190"/>
      <c r="I219" s="190"/>
      <c r="J219" s="190"/>
      <c r="K219" s="194"/>
    </row>
    <row r="220" spans="1:11" ht="20.100000000000001" customHeight="1" x14ac:dyDescent="0.2">
      <c r="A220" s="170" t="s">
        <v>823</v>
      </c>
      <c r="B220" s="153" t="s">
        <v>757</v>
      </c>
      <c r="C220" s="154" t="s">
        <v>411</v>
      </c>
      <c r="D220" s="192">
        <f>VLOOKUP($C220,'04'!$C$8:$K$254,2,FALSE)+VLOOKUP($C220,'05'!$C$8:$N$226,2,FALSE)+VLOOKUP($C220,'06'!$C$8:$K$229,2,FALSE)+VLOOKUP($C220,'07'!$C$8:$K$241,2,FALSE)</f>
        <v>0</v>
      </c>
      <c r="E220" s="192">
        <f>VLOOKUP($C220,'04'!$C$8:$K$254,3,FALSE)+VLOOKUP($C220,'05'!$C$8:$N$226,6,FALSE)+VLOOKUP($C220,'06'!$C$8:$K$229,3,FALSE)+VLOOKUP($C220,'07'!$C$8:$K$241,3,FALSE)</f>
        <v>0</v>
      </c>
      <c r="F220" s="190"/>
      <c r="G220" s="190"/>
      <c r="H220" s="190"/>
      <c r="I220" s="190"/>
      <c r="J220" s="190"/>
      <c r="K220" s="194"/>
    </row>
    <row r="221" spans="1:11" ht="20.100000000000001" customHeight="1" x14ac:dyDescent="0.2">
      <c r="A221" s="170" t="s">
        <v>824</v>
      </c>
      <c r="B221" s="153" t="s">
        <v>755</v>
      </c>
      <c r="C221" s="154" t="s">
        <v>756</v>
      </c>
      <c r="D221" s="192">
        <f>VLOOKUP($C221,'04'!$C$8:$K$254,2,FALSE)+VLOOKUP($C221,'05'!$C$8:$N$226,2,FALSE)+VLOOKUP($C221,'06'!$C$8:$K$229,2,FALSE)+VLOOKUP($C221,'07'!$C$8:$K$241,2,FALSE)</f>
        <v>0</v>
      </c>
      <c r="E221" s="192">
        <f>VLOOKUP($C221,'04'!$C$8:$K$254,3,FALSE)+VLOOKUP($C221,'05'!$C$8:$N$226,6,FALSE)+VLOOKUP($C221,'06'!$C$8:$K$229,3,FALSE)+VLOOKUP($C221,'07'!$C$8:$K$241,3,FALSE)</f>
        <v>0</v>
      </c>
      <c r="F221" s="190"/>
      <c r="G221" s="190"/>
      <c r="H221" s="190"/>
      <c r="I221" s="190"/>
      <c r="J221" s="190"/>
      <c r="K221" s="194"/>
    </row>
    <row r="222" spans="1:11" s="3" customFormat="1" ht="20.100000000000001" customHeight="1" x14ac:dyDescent="0.2">
      <c r="A222" s="171" t="s">
        <v>825</v>
      </c>
      <c r="B222" s="159" t="s">
        <v>838</v>
      </c>
      <c r="C222" s="158" t="s">
        <v>412</v>
      </c>
      <c r="D222" s="175">
        <f>SUM(D217:D221)</f>
        <v>0</v>
      </c>
      <c r="E222" s="193">
        <f>SUM(E217:E221)</f>
        <v>0</v>
      </c>
      <c r="F222" s="193"/>
      <c r="G222" s="193"/>
      <c r="H222" s="193"/>
      <c r="I222" s="193"/>
      <c r="J222" s="193"/>
      <c r="K222" s="194"/>
    </row>
    <row r="223" spans="1:11" ht="20.100000000000001" customHeight="1" x14ac:dyDescent="0.2">
      <c r="A223" s="170" t="s">
        <v>826</v>
      </c>
      <c r="B223" s="147" t="s">
        <v>413</v>
      </c>
      <c r="C223" s="154" t="s">
        <v>414</v>
      </c>
      <c r="D223" s="192">
        <f>VLOOKUP($C223,'04'!$C$8:$K$254,2,FALSE)+VLOOKUP($C223,'05'!$C$8:$N$226,2,FALSE)+VLOOKUP($C223,'06'!$C$8:$K$229,2,FALSE)+VLOOKUP($C223,'07'!$C$8:$K$241,2,FALSE)</f>
        <v>0</v>
      </c>
      <c r="E223" s="192">
        <f>VLOOKUP($C223,'04'!$C$8:$K$254,3,FALSE)+VLOOKUP($C223,'05'!$C$8:$N$226,6,FALSE)+VLOOKUP($C223,'06'!$C$8:$K$229,3,FALSE)+VLOOKUP($C223,'07'!$C$8:$K$241,3,FALSE)</f>
        <v>0</v>
      </c>
      <c r="F223" s="190"/>
      <c r="G223" s="190"/>
      <c r="H223" s="190"/>
      <c r="I223" s="190"/>
      <c r="J223" s="190"/>
      <c r="K223" s="191"/>
    </row>
    <row r="224" spans="1:11" ht="20.100000000000001" customHeight="1" x14ac:dyDescent="0.2">
      <c r="A224" s="170" t="s">
        <v>827</v>
      </c>
      <c r="B224" s="147" t="s">
        <v>758</v>
      </c>
      <c r="C224" s="154" t="s">
        <v>759</v>
      </c>
      <c r="D224" s="192">
        <f>VLOOKUP($C224,'04'!$C$8:$K$254,2,FALSE)+VLOOKUP($C224,'05'!$C$8:$N$226,2,FALSE)+VLOOKUP($C224,'06'!$C$8:$K$229,2,FALSE)+VLOOKUP($C224,'07'!$C$8:$K$241,2,FALSE)</f>
        <v>0</v>
      </c>
      <c r="E224" s="192">
        <f>VLOOKUP($C224,'04'!$C$8:$K$254,3,FALSE)+VLOOKUP($C224,'05'!$C$8:$N$226,6,FALSE)+VLOOKUP($C224,'06'!$C$8:$K$229,3,FALSE)+VLOOKUP($C224,'07'!$C$8:$K$241,3,FALSE)</f>
        <v>0</v>
      </c>
      <c r="F224" s="190"/>
      <c r="G224" s="190"/>
      <c r="H224" s="190"/>
      <c r="I224" s="190"/>
      <c r="J224" s="190"/>
      <c r="K224" s="191"/>
    </row>
    <row r="225" spans="1:11" s="3" customFormat="1" ht="20.100000000000001" customHeight="1" x14ac:dyDescent="0.2">
      <c r="A225" s="173" t="s">
        <v>828</v>
      </c>
      <c r="B225" s="162" t="s">
        <v>839</v>
      </c>
      <c r="C225" s="163" t="s">
        <v>415</v>
      </c>
      <c r="D225" s="176">
        <f>SUM(D216,D222,D223,D224)</f>
        <v>202104717</v>
      </c>
      <c r="E225" s="188">
        <f>SUM(E216,E222,E223,E224)</f>
        <v>202139548</v>
      </c>
      <c r="F225" s="188"/>
      <c r="G225" s="188"/>
      <c r="H225" s="188"/>
      <c r="I225" s="188"/>
      <c r="J225" s="188"/>
      <c r="K225" s="189"/>
    </row>
    <row r="226" spans="1:11" s="3" customFormat="1" ht="20.100000000000001" customHeight="1" x14ac:dyDescent="0.2">
      <c r="A226" s="160" t="s">
        <v>829</v>
      </c>
      <c r="B226" s="180" t="s">
        <v>840</v>
      </c>
      <c r="C226" s="181"/>
      <c r="D226" s="178">
        <f>D196+D225</f>
        <v>872817111.99627662</v>
      </c>
      <c r="E226" s="185">
        <f>E196+E225</f>
        <v>894092157</v>
      </c>
      <c r="F226" s="185"/>
      <c r="G226" s="185"/>
      <c r="H226" s="185"/>
      <c r="I226" s="185"/>
      <c r="J226" s="185"/>
      <c r="K226" s="186"/>
    </row>
    <row r="228" spans="1:11" x14ac:dyDescent="0.2">
      <c r="C228" s="179"/>
      <c r="D228" s="177">
        <f>D226-D102</f>
        <v>-3.7233829498291016E-3</v>
      </c>
      <c r="E228" s="177">
        <f>E226-E102</f>
        <v>0</v>
      </c>
      <c r="F228" s="182"/>
      <c r="G228" s="182"/>
      <c r="H228" s="182"/>
      <c r="I228" s="182"/>
      <c r="J228" s="183">
        <f>J102-J226</f>
        <v>0</v>
      </c>
      <c r="K228" s="184"/>
    </row>
  </sheetData>
  <sheetProtection password="C58E" sheet="1" formatCells="0" formatColumns="0" formatRows="0" insertColumns="0" insertRows="0" insertHyperlinks="0" deleteColumns="0" deleteRows="0" sort="0" autoFilter="0" pivotTables="0"/>
  <mergeCells count="11">
    <mergeCell ref="A1:K1"/>
    <mergeCell ref="A2:K2"/>
    <mergeCell ref="A3:K3"/>
    <mergeCell ref="A4:K4"/>
    <mergeCell ref="A5:A6"/>
    <mergeCell ref="B5:B6"/>
    <mergeCell ref="C5:C6"/>
    <mergeCell ref="D5:E5"/>
    <mergeCell ref="F5:I5"/>
    <mergeCell ref="J5:J6"/>
    <mergeCell ref="K5:K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10" manualBreakCount="10">
    <brk id="26" max="59" man="1"/>
    <brk id="46" max="59" man="1"/>
    <brk id="58" max="59" man="1"/>
    <brk id="75" max="59" man="1"/>
    <brk id="102" max="16383" man="1"/>
    <brk id="122" max="59" man="1"/>
    <brk id="137" max="59" man="1"/>
    <brk id="177" max="59" man="1"/>
    <brk id="189" max="59" man="1"/>
    <brk id="206" max="5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I14"/>
  <sheetViews>
    <sheetView showGridLines="0" view="pageBreakPreview" zoomScaleSheetLayoutView="100" workbookViewId="0">
      <selection sqref="A1:I1"/>
    </sheetView>
  </sheetViews>
  <sheetFormatPr defaultColWidth="9.140625" defaultRowHeight="12.75" x14ac:dyDescent="0.2"/>
  <cols>
    <col min="1" max="1" width="6.28515625" style="4" customWidth="1"/>
    <col min="2" max="2" width="36.85546875" style="1" customWidth="1"/>
    <col min="3" max="3" width="11.140625" style="1" customWidth="1"/>
    <col min="4" max="4" width="11.7109375" style="1" customWidth="1"/>
    <col min="5" max="5" width="15" style="1" customWidth="1"/>
    <col min="6" max="6" width="39.140625" style="1" customWidth="1"/>
    <col min="7" max="7" width="11" style="1" customWidth="1"/>
    <col min="8" max="8" width="12.7109375" style="1" customWidth="1"/>
    <col min="9" max="9" width="10.5703125" style="1" customWidth="1"/>
    <col min="10" max="16384" width="9.140625" style="1"/>
  </cols>
  <sheetData>
    <row r="1" spans="1:9" ht="28.5" customHeight="1" x14ac:dyDescent="0.2">
      <c r="A1" s="423" t="s">
        <v>945</v>
      </c>
      <c r="B1" s="423"/>
      <c r="C1" s="423"/>
      <c r="D1" s="423"/>
      <c r="E1" s="423"/>
      <c r="F1" s="423"/>
      <c r="G1" s="423"/>
      <c r="H1" s="423"/>
      <c r="I1" s="423"/>
    </row>
    <row r="2" spans="1:9" ht="28.5" customHeight="1" x14ac:dyDescent="0.2">
      <c r="A2" s="412" t="s">
        <v>514</v>
      </c>
      <c r="B2" s="428"/>
      <c r="C2" s="428"/>
      <c r="D2" s="428"/>
      <c r="E2" s="428"/>
      <c r="F2" s="428"/>
      <c r="G2" s="428"/>
      <c r="H2" s="428"/>
      <c r="I2" s="428"/>
    </row>
    <row r="3" spans="1:9" ht="15" customHeight="1" x14ac:dyDescent="0.2">
      <c r="A3" s="414" t="s">
        <v>573</v>
      </c>
      <c r="B3" s="429"/>
      <c r="C3" s="429"/>
      <c r="D3" s="429"/>
      <c r="E3" s="429"/>
      <c r="F3" s="429"/>
      <c r="G3" s="429"/>
      <c r="H3" s="429"/>
      <c r="I3" s="429"/>
    </row>
    <row r="4" spans="1:9" ht="15.95" customHeight="1" x14ac:dyDescent="0.2">
      <c r="A4" s="430" t="s">
        <v>659</v>
      </c>
      <c r="B4" s="430"/>
      <c r="C4" s="430"/>
      <c r="D4" s="430"/>
      <c r="E4" s="430"/>
      <c r="F4" s="430"/>
      <c r="G4" s="430"/>
      <c r="H4" s="430"/>
      <c r="I4" s="430"/>
    </row>
    <row r="5" spans="1:9" s="7" customFormat="1" ht="20.100000000000001" customHeight="1" x14ac:dyDescent="0.2">
      <c r="A5" s="418" t="s">
        <v>441</v>
      </c>
      <c r="B5" s="419" t="s">
        <v>464</v>
      </c>
      <c r="C5" s="419"/>
      <c r="D5" s="419"/>
      <c r="E5" s="419"/>
      <c r="F5" s="419" t="s">
        <v>465</v>
      </c>
      <c r="G5" s="419"/>
      <c r="H5" s="419"/>
      <c r="I5" s="419"/>
    </row>
    <row r="6" spans="1:9" s="7" customFormat="1" ht="20.100000000000001" customHeight="1" x14ac:dyDescent="0.2">
      <c r="A6" s="418"/>
      <c r="B6" s="282" t="s">
        <v>542</v>
      </c>
      <c r="C6" s="336" t="s">
        <v>854</v>
      </c>
      <c r="D6" s="336" t="s">
        <v>855</v>
      </c>
      <c r="E6" s="336" t="s">
        <v>438</v>
      </c>
      <c r="F6" s="283" t="s">
        <v>542</v>
      </c>
      <c r="G6" s="336" t="s">
        <v>854</v>
      </c>
      <c r="H6" s="336" t="s">
        <v>855</v>
      </c>
      <c r="I6" s="336" t="s">
        <v>438</v>
      </c>
    </row>
    <row r="7" spans="1:9" s="7" customFormat="1" ht="12.75" customHeight="1" x14ac:dyDescent="0.2">
      <c r="A7" s="356" t="s">
        <v>176</v>
      </c>
      <c r="B7" s="355" t="s">
        <v>177</v>
      </c>
      <c r="C7" s="355" t="s">
        <v>178</v>
      </c>
      <c r="D7" s="355" t="s">
        <v>175</v>
      </c>
      <c r="E7" s="355" t="s">
        <v>440</v>
      </c>
      <c r="F7" s="355" t="s">
        <v>552</v>
      </c>
      <c r="G7" s="355" t="s">
        <v>553</v>
      </c>
      <c r="H7" s="355" t="s">
        <v>567</v>
      </c>
      <c r="I7" s="355" t="s">
        <v>568</v>
      </c>
    </row>
    <row r="8" spans="1:9" s="7" customFormat="1" ht="20.100000000000001" customHeight="1" x14ac:dyDescent="0.2">
      <c r="A8" s="341" t="s">
        <v>0</v>
      </c>
      <c r="B8" s="349"/>
      <c r="C8" s="343"/>
      <c r="D8" s="343"/>
      <c r="E8" s="343"/>
      <c r="F8" s="349"/>
      <c r="G8" s="342"/>
      <c r="H8" s="342"/>
      <c r="I8" s="342"/>
    </row>
    <row r="9" spans="1:9" s="7" customFormat="1" ht="20.100000000000001" customHeight="1" x14ac:dyDescent="0.2">
      <c r="A9" s="341" t="s">
        <v>1</v>
      </c>
      <c r="B9" s="349"/>
      <c r="C9" s="343"/>
      <c r="D9" s="343"/>
      <c r="E9" s="344"/>
      <c r="F9" s="349"/>
      <c r="G9" s="342"/>
      <c r="H9" s="342"/>
      <c r="I9" s="342"/>
    </row>
    <row r="10" spans="1:9" s="7" customFormat="1" ht="20.100000000000001" customHeight="1" x14ac:dyDescent="0.2">
      <c r="A10" s="341" t="s">
        <v>2</v>
      </c>
      <c r="B10" s="349"/>
      <c r="C10" s="343"/>
      <c r="D10" s="343"/>
      <c r="E10" s="344"/>
      <c r="F10" s="349"/>
      <c r="G10" s="342"/>
      <c r="H10" s="342"/>
      <c r="I10" s="350"/>
    </row>
    <row r="11" spans="1:9" s="7" customFormat="1" ht="20.100000000000001" customHeight="1" x14ac:dyDescent="0.2">
      <c r="A11" s="341" t="s">
        <v>3</v>
      </c>
      <c r="B11" s="349"/>
      <c r="C11" s="343"/>
      <c r="D11" s="343"/>
      <c r="E11" s="344"/>
      <c r="F11" s="349"/>
      <c r="G11" s="342"/>
      <c r="H11" s="342"/>
      <c r="I11" s="350"/>
    </row>
    <row r="12" spans="1:9" s="7" customFormat="1" ht="20.100000000000001" customHeight="1" x14ac:dyDescent="0.2">
      <c r="A12" s="341" t="s">
        <v>4</v>
      </c>
      <c r="B12" s="349"/>
      <c r="C12" s="343"/>
      <c r="D12" s="343"/>
      <c r="E12" s="344"/>
      <c r="F12" s="349"/>
      <c r="G12" s="342"/>
      <c r="H12" s="342"/>
      <c r="I12" s="350"/>
    </row>
    <row r="13" spans="1:9" s="7" customFormat="1" ht="20.100000000000001" customHeight="1" x14ac:dyDescent="0.2">
      <c r="A13" s="345" t="s">
        <v>5</v>
      </c>
      <c r="B13" s="346" t="s">
        <v>547</v>
      </c>
      <c r="C13" s="347">
        <f>SUM(C8:C12)</f>
        <v>0</v>
      </c>
      <c r="D13" s="347">
        <f>SUM(D8:D12)</f>
        <v>0</v>
      </c>
      <c r="E13" s="347">
        <f>SUM(E8:E12)</f>
        <v>0</v>
      </c>
      <c r="F13" s="352" t="s">
        <v>549</v>
      </c>
      <c r="G13" s="319">
        <f>SUM(G8:G12)</f>
        <v>0</v>
      </c>
      <c r="H13" s="319">
        <f>SUM(H8:H12)</f>
        <v>0</v>
      </c>
      <c r="I13" s="339">
        <f>G13-H13</f>
        <v>0</v>
      </c>
    </row>
    <row r="14" spans="1:9" ht="20.100000000000001" customHeight="1" x14ac:dyDescent="0.2">
      <c r="A14" s="353"/>
      <c r="B14" s="351"/>
      <c r="C14" s="354"/>
      <c r="D14" s="354"/>
      <c r="E14" s="354"/>
      <c r="F14" s="351"/>
      <c r="G14" s="256"/>
      <c r="H14" s="256"/>
      <c r="I14" s="256"/>
    </row>
  </sheetData>
  <mergeCells count="7">
    <mergeCell ref="A1:I1"/>
    <mergeCell ref="A2:I2"/>
    <mergeCell ref="A3:I3"/>
    <mergeCell ref="A4:I4"/>
    <mergeCell ref="A5:A6"/>
    <mergeCell ref="B5:E5"/>
    <mergeCell ref="F5:I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I14"/>
  <sheetViews>
    <sheetView showGridLines="0" view="pageBreakPreview" zoomScaleSheetLayoutView="100" workbookViewId="0">
      <selection sqref="A1:I1"/>
    </sheetView>
  </sheetViews>
  <sheetFormatPr defaultColWidth="9.140625" defaultRowHeight="12.75" x14ac:dyDescent="0.2"/>
  <cols>
    <col min="1" max="1" width="6" style="4" customWidth="1"/>
    <col min="2" max="2" width="31.42578125" style="1" customWidth="1"/>
    <col min="3" max="3" width="9.5703125" style="1" customWidth="1"/>
    <col min="4" max="4" width="11" style="1" customWidth="1"/>
    <col min="5" max="5" width="10" style="1" customWidth="1"/>
    <col min="6" max="6" width="35" style="1" customWidth="1"/>
    <col min="7" max="7" width="13.5703125" style="1" customWidth="1"/>
    <col min="8" max="8" width="17.140625" style="1" customWidth="1"/>
    <col min="9" max="9" width="13.42578125" style="1" customWidth="1"/>
    <col min="10" max="16384" width="9.140625" style="1"/>
  </cols>
  <sheetData>
    <row r="1" spans="1:9" ht="28.5" customHeight="1" x14ac:dyDescent="0.2">
      <c r="A1" s="423" t="s">
        <v>946</v>
      </c>
      <c r="B1" s="423"/>
      <c r="C1" s="423"/>
      <c r="D1" s="423"/>
      <c r="E1" s="423"/>
      <c r="F1" s="423"/>
      <c r="G1" s="423"/>
      <c r="H1" s="423"/>
      <c r="I1" s="423"/>
    </row>
    <row r="2" spans="1:9" ht="28.5" customHeight="1" x14ac:dyDescent="0.2">
      <c r="A2" s="412" t="s">
        <v>881</v>
      </c>
      <c r="B2" s="428"/>
      <c r="C2" s="428"/>
      <c r="D2" s="428"/>
      <c r="E2" s="428"/>
      <c r="F2" s="428"/>
      <c r="G2" s="428"/>
      <c r="H2" s="428"/>
      <c r="I2" s="428"/>
    </row>
    <row r="3" spans="1:9" ht="15" customHeight="1" x14ac:dyDescent="0.2">
      <c r="A3" s="414" t="s">
        <v>573</v>
      </c>
      <c r="B3" s="429"/>
      <c r="C3" s="429"/>
      <c r="D3" s="429"/>
      <c r="E3" s="429"/>
      <c r="F3" s="429"/>
      <c r="G3" s="429"/>
      <c r="H3" s="429"/>
      <c r="I3" s="429"/>
    </row>
    <row r="4" spans="1:9" ht="15.95" customHeight="1" x14ac:dyDescent="0.2">
      <c r="A4" s="430" t="s">
        <v>659</v>
      </c>
      <c r="B4" s="430"/>
      <c r="C4" s="430"/>
      <c r="D4" s="430"/>
      <c r="E4" s="430"/>
      <c r="F4" s="430"/>
      <c r="G4" s="430"/>
      <c r="H4" s="430"/>
      <c r="I4" s="430"/>
    </row>
    <row r="5" spans="1:9" s="7" customFormat="1" ht="20.100000000000001" customHeight="1" x14ac:dyDescent="0.2">
      <c r="A5" s="418" t="s">
        <v>441</v>
      </c>
      <c r="B5" s="419" t="s">
        <v>464</v>
      </c>
      <c r="C5" s="419"/>
      <c r="D5" s="419"/>
      <c r="E5" s="419"/>
      <c r="F5" s="419" t="s">
        <v>465</v>
      </c>
      <c r="G5" s="419"/>
      <c r="H5" s="419"/>
      <c r="I5" s="419"/>
    </row>
    <row r="6" spans="1:9" s="7" customFormat="1" ht="20.100000000000001" customHeight="1" x14ac:dyDescent="0.2">
      <c r="A6" s="418"/>
      <c r="B6" s="282" t="s">
        <v>542</v>
      </c>
      <c r="C6" s="336" t="s">
        <v>854</v>
      </c>
      <c r="D6" s="336" t="s">
        <v>855</v>
      </c>
      <c r="E6" s="336" t="s">
        <v>438</v>
      </c>
      <c r="F6" s="283" t="s">
        <v>542</v>
      </c>
      <c r="G6" s="336" t="s">
        <v>854</v>
      </c>
      <c r="H6" s="336" t="s">
        <v>855</v>
      </c>
      <c r="I6" s="336" t="s">
        <v>438</v>
      </c>
    </row>
    <row r="7" spans="1:9" s="7" customFormat="1" ht="12.75" customHeight="1" x14ac:dyDescent="0.2">
      <c r="A7" s="356" t="s">
        <v>176</v>
      </c>
      <c r="B7" s="355" t="s">
        <v>177</v>
      </c>
      <c r="C7" s="355" t="s">
        <v>178</v>
      </c>
      <c r="D7" s="355" t="s">
        <v>175</v>
      </c>
      <c r="E7" s="355" t="s">
        <v>440</v>
      </c>
      <c r="F7" s="355" t="s">
        <v>552</v>
      </c>
      <c r="G7" s="355" t="s">
        <v>553</v>
      </c>
      <c r="H7" s="355" t="s">
        <v>567</v>
      </c>
      <c r="I7" s="355" t="s">
        <v>568</v>
      </c>
    </row>
    <row r="8" spans="1:9" s="7" customFormat="1" ht="20.100000000000001" customHeight="1" x14ac:dyDescent="0.2">
      <c r="A8" s="341" t="s">
        <v>0</v>
      </c>
      <c r="B8" s="349" t="s">
        <v>932</v>
      </c>
      <c r="C8" s="343">
        <v>0</v>
      </c>
      <c r="D8" s="343">
        <v>40000</v>
      </c>
      <c r="E8" s="343"/>
      <c r="F8" s="349"/>
      <c r="G8" s="342"/>
      <c r="H8" s="342"/>
      <c r="I8" s="342"/>
    </row>
    <row r="9" spans="1:9" s="7" customFormat="1" ht="20.100000000000001" customHeight="1" x14ac:dyDescent="0.2">
      <c r="A9" s="341" t="s">
        <v>1</v>
      </c>
      <c r="B9" s="374" t="s">
        <v>934</v>
      </c>
      <c r="C9" s="343">
        <v>0</v>
      </c>
      <c r="D9" s="343">
        <v>85000</v>
      </c>
      <c r="E9" s="344"/>
      <c r="F9" s="349"/>
      <c r="G9" s="342"/>
      <c r="H9" s="342"/>
      <c r="I9" s="342"/>
    </row>
    <row r="10" spans="1:9" s="7" customFormat="1" ht="20.100000000000001" customHeight="1" x14ac:dyDescent="0.2">
      <c r="A10" s="341" t="s">
        <v>2</v>
      </c>
      <c r="B10" s="349"/>
      <c r="C10" s="343"/>
      <c r="D10" s="343"/>
      <c r="E10" s="344"/>
      <c r="F10" s="349"/>
      <c r="G10" s="342"/>
      <c r="H10" s="342"/>
      <c r="I10" s="350"/>
    </row>
    <row r="11" spans="1:9" s="7" customFormat="1" ht="20.100000000000001" customHeight="1" x14ac:dyDescent="0.2">
      <c r="A11" s="341" t="s">
        <v>3</v>
      </c>
      <c r="B11" s="349"/>
      <c r="C11" s="343"/>
      <c r="D11" s="343"/>
      <c r="E11" s="344"/>
      <c r="F11" s="349"/>
      <c r="G11" s="342"/>
      <c r="H11" s="342"/>
      <c r="I11" s="350"/>
    </row>
    <row r="12" spans="1:9" s="7" customFormat="1" ht="20.100000000000001" customHeight="1" x14ac:dyDescent="0.2">
      <c r="A12" s="341" t="s">
        <v>4</v>
      </c>
      <c r="B12" s="349"/>
      <c r="C12" s="343"/>
      <c r="D12" s="343"/>
      <c r="E12" s="344"/>
      <c r="F12" s="349"/>
      <c r="G12" s="342"/>
      <c r="H12" s="342"/>
      <c r="I12" s="350"/>
    </row>
    <row r="13" spans="1:9" s="7" customFormat="1" ht="25.5" customHeight="1" x14ac:dyDescent="0.2">
      <c r="A13" s="345" t="s">
        <v>5</v>
      </c>
      <c r="B13" s="346" t="s">
        <v>547</v>
      </c>
      <c r="C13" s="347">
        <f>SUM(C8:C12)</f>
        <v>0</v>
      </c>
      <c r="D13" s="347">
        <f>SUM(D8:D12)</f>
        <v>125000</v>
      </c>
      <c r="E13" s="347">
        <f>SUM(E8:E12)</f>
        <v>0</v>
      </c>
      <c r="F13" s="352" t="s">
        <v>549</v>
      </c>
      <c r="G13" s="319">
        <f>SUM(G8:G12)</f>
        <v>0</v>
      </c>
      <c r="H13" s="319">
        <f>SUM(H8:H12)</f>
        <v>0</v>
      </c>
      <c r="I13" s="319">
        <f>SUM(I8:I12)</f>
        <v>0</v>
      </c>
    </row>
    <row r="14" spans="1:9" ht="20.100000000000001" customHeight="1" x14ac:dyDescent="0.2">
      <c r="A14" s="353"/>
      <c r="B14" s="351"/>
      <c r="C14" s="354"/>
      <c r="D14" s="354"/>
      <c r="E14" s="354"/>
      <c r="F14" s="351"/>
      <c r="G14" s="256"/>
      <c r="H14" s="256"/>
      <c r="I14" s="256"/>
    </row>
  </sheetData>
  <mergeCells count="7">
    <mergeCell ref="A1:I1"/>
    <mergeCell ref="A2:I2"/>
    <mergeCell ref="A3:I3"/>
    <mergeCell ref="A4:I4"/>
    <mergeCell ref="A5:A6"/>
    <mergeCell ref="B5:E5"/>
    <mergeCell ref="F5:I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BF14"/>
  <sheetViews>
    <sheetView view="pageBreakPreview" zoomScaleNormal="100" zoomScaleSheetLayoutView="100" workbookViewId="0">
      <selection sqref="A1:BE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14" width="2.7109375" style="1" customWidth="1"/>
    <col min="15" max="15" width="0.5703125" style="1" customWidth="1"/>
    <col min="16" max="18" width="2.7109375" style="1" customWidth="1"/>
    <col min="19" max="19" width="2.28515625" style="1" customWidth="1"/>
    <col min="20" max="20" width="2.7109375" style="1" hidden="1" customWidth="1"/>
    <col min="21" max="21" width="4.5703125" style="1" customWidth="1"/>
    <col min="22" max="31" width="2.7109375" style="1" customWidth="1"/>
    <col min="32" max="32" width="0.42578125" style="1" customWidth="1"/>
    <col min="33" max="33" width="1.42578125" style="1" hidden="1" customWidth="1"/>
    <col min="34" max="35" width="2.7109375" style="1" hidden="1" customWidth="1"/>
    <col min="36" max="36" width="2.7109375" style="1" customWidth="1"/>
    <col min="37" max="37" width="1.5703125" style="1" customWidth="1"/>
    <col min="38" max="39" width="2.7109375" style="1" hidden="1" customWidth="1"/>
    <col min="40" max="40" width="8.28515625" style="1" customWidth="1"/>
    <col min="41" max="42" width="2.7109375" style="1" customWidth="1"/>
    <col min="43" max="43" width="1" style="1" hidden="1" customWidth="1"/>
    <col min="44" max="44" width="3.28515625" style="1" hidden="1" customWidth="1"/>
    <col min="45" max="45" width="2.7109375" style="1" hidden="1" customWidth="1"/>
    <col min="46" max="46" width="2.7109375" style="1" customWidth="1"/>
    <col min="47" max="48" width="3.7109375" style="1" customWidth="1"/>
    <col min="49" max="57" width="2.7109375" style="1" customWidth="1"/>
    <col min="58" max="16384" width="9.140625" style="1"/>
  </cols>
  <sheetData>
    <row r="1" spans="1:58" ht="28.5" customHeight="1" x14ac:dyDescent="0.2">
      <c r="A1" s="423" t="s">
        <v>947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373"/>
    </row>
    <row r="2" spans="1:58" ht="28.5" customHeight="1" x14ac:dyDescent="0.2">
      <c r="A2" s="412" t="s">
        <v>875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31"/>
    </row>
    <row r="3" spans="1:58" ht="15" customHeight="1" x14ac:dyDescent="0.2">
      <c r="A3" s="414" t="s">
        <v>573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32"/>
    </row>
    <row r="4" spans="1:58" ht="15.95" customHeight="1" x14ac:dyDescent="0.2">
      <c r="A4" s="433" t="s">
        <v>659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</row>
    <row r="5" spans="1:58" s="7" customFormat="1" ht="20.100000000000001" customHeight="1" x14ac:dyDescent="0.2">
      <c r="A5" s="418" t="s">
        <v>441</v>
      </c>
      <c r="B5" s="418"/>
      <c r="C5" s="419" t="s">
        <v>464</v>
      </c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 t="s">
        <v>465</v>
      </c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</row>
    <row r="6" spans="1:58" s="7" customFormat="1" ht="20.100000000000001" customHeight="1" x14ac:dyDescent="0.2">
      <c r="A6" s="418"/>
      <c r="B6" s="418"/>
      <c r="C6" s="419" t="s">
        <v>542</v>
      </c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22" t="s">
        <v>854</v>
      </c>
      <c r="S6" s="421"/>
      <c r="T6" s="421"/>
      <c r="U6" s="421"/>
      <c r="V6" s="422" t="s">
        <v>855</v>
      </c>
      <c r="W6" s="421"/>
      <c r="X6" s="421"/>
      <c r="Y6" s="421"/>
      <c r="Z6" s="422" t="s">
        <v>438</v>
      </c>
      <c r="AA6" s="421"/>
      <c r="AB6" s="421"/>
      <c r="AC6" s="421"/>
      <c r="AD6" s="421" t="s">
        <v>542</v>
      </c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2" t="s">
        <v>854</v>
      </c>
      <c r="AU6" s="421"/>
      <c r="AV6" s="421"/>
      <c r="AW6" s="421"/>
      <c r="AX6" s="422" t="s">
        <v>855</v>
      </c>
      <c r="AY6" s="421"/>
      <c r="AZ6" s="421"/>
      <c r="BA6" s="421"/>
      <c r="BB6" s="422" t="s">
        <v>438</v>
      </c>
      <c r="BC6" s="421"/>
      <c r="BD6" s="421"/>
      <c r="BE6" s="421"/>
    </row>
    <row r="7" spans="1:58" s="7" customFormat="1" ht="12.75" customHeight="1" x14ac:dyDescent="0.2">
      <c r="A7" s="439" t="s">
        <v>176</v>
      </c>
      <c r="B7" s="439"/>
      <c r="C7" s="434" t="s">
        <v>177</v>
      </c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 t="s">
        <v>178</v>
      </c>
      <c r="S7" s="434"/>
      <c r="T7" s="434"/>
      <c r="U7" s="434"/>
      <c r="V7" s="434" t="s">
        <v>175</v>
      </c>
      <c r="W7" s="434"/>
      <c r="X7" s="434"/>
      <c r="Y7" s="434"/>
      <c r="Z7" s="434" t="s">
        <v>440</v>
      </c>
      <c r="AA7" s="434"/>
      <c r="AB7" s="434"/>
      <c r="AC7" s="434"/>
      <c r="AD7" s="434" t="s">
        <v>552</v>
      </c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 t="s">
        <v>553</v>
      </c>
      <c r="AU7" s="434"/>
      <c r="AV7" s="434"/>
      <c r="AW7" s="434"/>
      <c r="AX7" s="434" t="s">
        <v>567</v>
      </c>
      <c r="AY7" s="434"/>
      <c r="AZ7" s="434"/>
      <c r="BA7" s="434"/>
      <c r="BB7" s="434" t="s">
        <v>568</v>
      </c>
      <c r="BC7" s="434"/>
      <c r="BD7" s="434"/>
      <c r="BE7" s="434"/>
    </row>
    <row r="8" spans="1:58" s="7" customFormat="1" ht="20.100000000000001" customHeight="1" x14ac:dyDescent="0.2">
      <c r="A8" s="435" t="s">
        <v>0</v>
      </c>
      <c r="B8" s="436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8">
        <v>0</v>
      </c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</row>
    <row r="9" spans="1:58" s="7" customFormat="1" ht="20.100000000000001" customHeight="1" x14ac:dyDescent="0.2">
      <c r="A9" s="435" t="s">
        <v>1</v>
      </c>
      <c r="B9" s="436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8">
        <v>0</v>
      </c>
      <c r="S9" s="438"/>
      <c r="T9" s="438"/>
      <c r="U9" s="438"/>
      <c r="V9" s="438"/>
      <c r="W9" s="438"/>
      <c r="X9" s="438"/>
      <c r="Y9" s="438"/>
      <c r="Z9" s="441"/>
      <c r="AA9" s="442"/>
      <c r="AB9" s="442"/>
      <c r="AC9" s="443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</row>
    <row r="10" spans="1:58" s="7" customFormat="1" ht="26.25" customHeight="1" x14ac:dyDescent="0.2">
      <c r="A10" s="435" t="s">
        <v>2</v>
      </c>
      <c r="B10" s="436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8">
        <v>0</v>
      </c>
      <c r="S10" s="438"/>
      <c r="T10" s="438"/>
      <c r="U10" s="438"/>
      <c r="V10" s="438"/>
      <c r="W10" s="438"/>
      <c r="X10" s="438"/>
      <c r="Y10" s="438"/>
      <c r="Z10" s="441"/>
      <c r="AA10" s="442"/>
      <c r="AB10" s="442"/>
      <c r="AC10" s="443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40"/>
      <c r="AU10" s="440"/>
      <c r="AV10" s="440"/>
      <c r="AW10" s="440"/>
      <c r="AX10" s="440"/>
      <c r="AY10" s="440"/>
      <c r="AZ10" s="440"/>
      <c r="BA10" s="440"/>
      <c r="BB10" s="444"/>
      <c r="BC10" s="445"/>
      <c r="BD10" s="445"/>
      <c r="BE10" s="446"/>
    </row>
    <row r="11" spans="1:58" s="7" customFormat="1" ht="20.100000000000001" customHeight="1" x14ac:dyDescent="0.2">
      <c r="A11" s="435" t="s">
        <v>3</v>
      </c>
      <c r="B11" s="436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8">
        <v>0</v>
      </c>
      <c r="S11" s="438"/>
      <c r="T11" s="438"/>
      <c r="U11" s="438"/>
      <c r="V11" s="438"/>
      <c r="W11" s="438"/>
      <c r="X11" s="438"/>
      <c r="Y11" s="438"/>
      <c r="Z11" s="441"/>
      <c r="AA11" s="442"/>
      <c r="AB11" s="442"/>
      <c r="AC11" s="443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40"/>
      <c r="AU11" s="440"/>
      <c r="AV11" s="440"/>
      <c r="AW11" s="440"/>
      <c r="AX11" s="440"/>
      <c r="AY11" s="440"/>
      <c r="AZ11" s="440"/>
      <c r="BA11" s="440"/>
      <c r="BB11" s="444"/>
      <c r="BC11" s="445"/>
      <c r="BD11" s="445"/>
      <c r="BE11" s="446"/>
    </row>
    <row r="12" spans="1:58" s="7" customFormat="1" ht="29.25" customHeight="1" x14ac:dyDescent="0.2">
      <c r="A12" s="435" t="s">
        <v>4</v>
      </c>
      <c r="B12" s="436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8">
        <v>0</v>
      </c>
      <c r="S12" s="438"/>
      <c r="T12" s="438"/>
      <c r="U12" s="438"/>
      <c r="V12" s="438"/>
      <c r="W12" s="438"/>
      <c r="X12" s="438"/>
      <c r="Y12" s="438"/>
      <c r="Z12" s="441"/>
      <c r="AA12" s="442"/>
      <c r="AB12" s="442"/>
      <c r="AC12" s="443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40"/>
      <c r="AU12" s="440"/>
      <c r="AV12" s="440"/>
      <c r="AW12" s="440"/>
      <c r="AX12" s="440"/>
      <c r="AY12" s="440"/>
      <c r="AZ12" s="440"/>
      <c r="BA12" s="440"/>
      <c r="BB12" s="444"/>
      <c r="BC12" s="445"/>
      <c r="BD12" s="445"/>
      <c r="BE12" s="446"/>
    </row>
    <row r="13" spans="1:58" s="7" customFormat="1" ht="28.5" customHeight="1" x14ac:dyDescent="0.2">
      <c r="A13" s="447" t="s">
        <v>5</v>
      </c>
      <c r="B13" s="448"/>
      <c r="C13" s="449" t="s">
        <v>933</v>
      </c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50">
        <f>SUM(R8:U11)</f>
        <v>0</v>
      </c>
      <c r="S13" s="450"/>
      <c r="T13" s="450"/>
      <c r="U13" s="450"/>
      <c r="V13" s="450">
        <f>SUM(V8:Y12)</f>
        <v>0</v>
      </c>
      <c r="W13" s="450"/>
      <c r="X13" s="450"/>
      <c r="Y13" s="450"/>
      <c r="Z13" s="450">
        <f>SUM(Z8:AC12)</f>
        <v>0</v>
      </c>
      <c r="AA13" s="450"/>
      <c r="AB13" s="450"/>
      <c r="AC13" s="450"/>
      <c r="AD13" s="451" t="s">
        <v>549</v>
      </c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3"/>
      <c r="AT13" s="454">
        <f>SUM(AT8:AW12)</f>
        <v>0</v>
      </c>
      <c r="AU13" s="454"/>
      <c r="AV13" s="454"/>
      <c r="AW13" s="454"/>
      <c r="AX13" s="454">
        <f>SUM(AX8:BA12)</f>
        <v>0</v>
      </c>
      <c r="AY13" s="454"/>
      <c r="AZ13" s="454"/>
      <c r="BA13" s="454"/>
      <c r="BB13" s="454">
        <f>SUM(BB8:BE12)</f>
        <v>0</v>
      </c>
      <c r="BC13" s="454"/>
      <c r="BD13" s="454"/>
      <c r="BE13" s="454"/>
    </row>
    <row r="14" spans="1:58" ht="20.100000000000001" customHeight="1" x14ac:dyDescent="0.2">
      <c r="A14" s="455"/>
      <c r="B14" s="455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351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</row>
  </sheetData>
  <mergeCells count="87">
    <mergeCell ref="BB14:BE14"/>
    <mergeCell ref="AX13:BA13"/>
    <mergeCell ref="BB13:BE13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9:B9"/>
    <mergeCell ref="C9:Q9"/>
    <mergeCell ref="R9:U9"/>
    <mergeCell ref="V9:Y9"/>
    <mergeCell ref="Z9:AC9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"/>
  <sheetViews>
    <sheetView showGridLines="0" view="pageBreakPreview" zoomScaleSheetLayoutView="100" workbookViewId="0">
      <selection sqref="A1:F1"/>
    </sheetView>
  </sheetViews>
  <sheetFormatPr defaultColWidth="9.140625" defaultRowHeight="12.75" x14ac:dyDescent="0.2"/>
  <cols>
    <col min="1" max="1" width="4.85546875" style="4" customWidth="1"/>
    <col min="2" max="2" width="37.7109375" style="4" customWidth="1"/>
    <col min="3" max="6" width="20.7109375" style="1" customWidth="1"/>
    <col min="7" max="16384" width="9.140625" style="1"/>
  </cols>
  <sheetData>
    <row r="1" spans="1:6" ht="28.5" customHeight="1" x14ac:dyDescent="0.2">
      <c r="A1" s="389" t="s">
        <v>948</v>
      </c>
      <c r="B1" s="389"/>
      <c r="C1" s="389"/>
      <c r="D1" s="389"/>
      <c r="E1" s="389"/>
      <c r="F1" s="389"/>
    </row>
    <row r="2" spans="1:6" ht="28.5" customHeight="1" x14ac:dyDescent="0.2">
      <c r="A2" s="412" t="s">
        <v>574</v>
      </c>
      <c r="B2" s="428"/>
      <c r="C2" s="428"/>
      <c r="D2" s="428"/>
      <c r="E2" s="428"/>
      <c r="F2" s="431"/>
    </row>
    <row r="3" spans="1:6" ht="15.95" customHeight="1" x14ac:dyDescent="0.2">
      <c r="A3" s="458"/>
      <c r="B3" s="458"/>
      <c r="C3" s="458"/>
      <c r="D3" s="458"/>
      <c r="E3" s="458"/>
      <c r="F3" s="458"/>
    </row>
    <row r="4" spans="1:6" ht="15.95" customHeight="1" x14ac:dyDescent="0.2">
      <c r="A4" s="34" t="s">
        <v>586</v>
      </c>
      <c r="B4" s="91"/>
      <c r="C4" s="91"/>
      <c r="D4" s="91"/>
      <c r="E4" s="91"/>
      <c r="F4" s="91"/>
    </row>
    <row r="5" spans="1:6" ht="15.95" customHeight="1" x14ac:dyDescent="0.2">
      <c r="A5" s="34" t="s">
        <v>587</v>
      </c>
      <c r="B5" s="91"/>
      <c r="C5" s="91"/>
      <c r="D5" s="91"/>
      <c r="E5" s="91"/>
      <c r="F5" s="91"/>
    </row>
    <row r="6" spans="1:6" ht="20.100000000000001" customHeight="1" x14ac:dyDescent="0.2">
      <c r="A6" s="430" t="s">
        <v>659</v>
      </c>
      <c r="B6" s="430"/>
      <c r="C6" s="430"/>
      <c r="D6" s="430"/>
      <c r="E6" s="430"/>
      <c r="F6" s="430"/>
    </row>
    <row r="7" spans="1:6" ht="30" customHeight="1" x14ac:dyDescent="0.2">
      <c r="A7" s="35" t="s">
        <v>441</v>
      </c>
      <c r="B7" s="35" t="s">
        <v>575</v>
      </c>
      <c r="C7" s="35" t="s">
        <v>576</v>
      </c>
      <c r="D7" s="35" t="s">
        <v>577</v>
      </c>
      <c r="E7" s="35" t="s">
        <v>578</v>
      </c>
      <c r="F7" s="35" t="s">
        <v>551</v>
      </c>
    </row>
    <row r="8" spans="1:6" ht="30" customHeight="1" x14ac:dyDescent="0.2">
      <c r="A8" s="36">
        <v>1</v>
      </c>
      <c r="B8" s="37" t="s">
        <v>579</v>
      </c>
      <c r="C8" s="37"/>
      <c r="D8" s="37"/>
      <c r="E8" s="37"/>
      <c r="F8" s="38"/>
    </row>
    <row r="9" spans="1:6" ht="30" customHeight="1" x14ac:dyDescent="0.2">
      <c r="A9" s="36">
        <v>2</v>
      </c>
      <c r="B9" s="39" t="s">
        <v>580</v>
      </c>
      <c r="C9" s="37"/>
      <c r="D9" s="37"/>
      <c r="E9" s="37"/>
      <c r="F9" s="38"/>
    </row>
    <row r="10" spans="1:6" ht="30" customHeight="1" x14ac:dyDescent="0.2">
      <c r="A10" s="36">
        <v>3</v>
      </c>
      <c r="B10" s="39" t="s">
        <v>581</v>
      </c>
      <c r="C10" s="37"/>
      <c r="D10" s="37"/>
      <c r="E10" s="37"/>
      <c r="F10" s="38"/>
    </row>
    <row r="11" spans="1:6" ht="30" customHeight="1" x14ac:dyDescent="0.2">
      <c r="A11" s="36">
        <v>4</v>
      </c>
      <c r="B11" s="37" t="s">
        <v>582</v>
      </c>
      <c r="C11" s="37"/>
      <c r="D11" s="37"/>
      <c r="E11" s="37"/>
      <c r="F11" s="38"/>
    </row>
    <row r="12" spans="1:6" ht="30" customHeight="1" x14ac:dyDescent="0.2">
      <c r="A12" s="36">
        <v>5</v>
      </c>
      <c r="B12" s="39" t="s">
        <v>583</v>
      </c>
      <c r="C12" s="37"/>
      <c r="D12" s="37"/>
      <c r="E12" s="37"/>
      <c r="F12" s="38"/>
    </row>
    <row r="13" spans="1:6" ht="30" customHeight="1" x14ac:dyDescent="0.2">
      <c r="A13" s="36">
        <v>6</v>
      </c>
      <c r="B13" s="39" t="s">
        <v>584</v>
      </c>
      <c r="C13" s="37"/>
      <c r="D13" s="37"/>
      <c r="E13" s="37"/>
      <c r="F13" s="38"/>
    </row>
    <row r="14" spans="1:6" ht="30" customHeight="1" x14ac:dyDescent="0.2">
      <c r="A14" s="40"/>
      <c r="B14" s="41" t="s">
        <v>585</v>
      </c>
      <c r="C14" s="38"/>
      <c r="D14" s="38"/>
      <c r="E14" s="38"/>
      <c r="F14" s="42"/>
    </row>
  </sheetData>
  <mergeCells count="4">
    <mergeCell ref="A6:F6"/>
    <mergeCell ref="A1:F1"/>
    <mergeCell ref="A2:F2"/>
    <mergeCell ref="A3:F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0"/>
  <sheetViews>
    <sheetView showGridLines="0" view="pageBreakPreview" zoomScaleSheetLayoutView="100" workbookViewId="0">
      <selection sqref="A1:C1"/>
    </sheetView>
  </sheetViews>
  <sheetFormatPr defaultColWidth="9.140625" defaultRowHeight="12.75" x14ac:dyDescent="0.2"/>
  <cols>
    <col min="1" max="1" width="4.85546875" style="4" customWidth="1"/>
    <col min="2" max="2" width="53.5703125" style="4" customWidth="1"/>
    <col min="3" max="3" width="26" style="1" customWidth="1"/>
    <col min="4" max="16384" width="9.140625" style="1"/>
  </cols>
  <sheetData>
    <row r="1" spans="1:3" ht="28.5" customHeight="1" x14ac:dyDescent="0.2">
      <c r="A1" s="423" t="s">
        <v>949</v>
      </c>
      <c r="B1" s="423"/>
      <c r="C1" s="423"/>
    </row>
    <row r="2" spans="1:3" ht="28.5" customHeight="1" x14ac:dyDescent="0.2">
      <c r="A2" s="461" t="s">
        <v>862</v>
      </c>
      <c r="B2" s="462"/>
      <c r="C2" s="463"/>
    </row>
    <row r="3" spans="1:3" ht="20.100000000000001" customHeight="1" x14ac:dyDescent="0.2">
      <c r="A3" s="430" t="s">
        <v>659</v>
      </c>
      <c r="B3" s="430"/>
      <c r="C3" s="430"/>
    </row>
    <row r="4" spans="1:3" ht="20.100000000000001" customHeight="1" x14ac:dyDescent="0.2">
      <c r="A4" s="459" t="s">
        <v>441</v>
      </c>
      <c r="B4" s="459" t="s">
        <v>864</v>
      </c>
      <c r="C4" s="460" t="s">
        <v>863</v>
      </c>
    </row>
    <row r="5" spans="1:3" ht="20.100000000000001" customHeight="1" x14ac:dyDescent="0.2">
      <c r="A5" s="459"/>
      <c r="B5" s="459"/>
      <c r="C5" s="460"/>
    </row>
    <row r="6" spans="1:3" ht="20.100000000000001" customHeight="1" x14ac:dyDescent="0.2">
      <c r="A6" s="31">
        <v>1</v>
      </c>
      <c r="B6" s="101"/>
      <c r="C6" s="99"/>
    </row>
    <row r="7" spans="1:3" ht="20.100000000000001" customHeight="1" x14ac:dyDescent="0.2">
      <c r="A7" s="31">
        <v>2</v>
      </c>
      <c r="B7" s="100"/>
      <c r="C7" s="99"/>
    </row>
    <row r="8" spans="1:3" ht="20.100000000000001" customHeight="1" x14ac:dyDescent="0.2">
      <c r="A8" s="32"/>
      <c r="B8" s="33" t="s">
        <v>585</v>
      </c>
      <c r="C8" s="49">
        <f>SUM(C6:C7)</f>
        <v>0</v>
      </c>
    </row>
    <row r="10" spans="1:3" ht="12.75" customHeight="1" x14ac:dyDescent="0.2"/>
  </sheetData>
  <mergeCells count="6">
    <mergeCell ref="A1:C1"/>
    <mergeCell ref="A4:A5"/>
    <mergeCell ref="B4:B5"/>
    <mergeCell ref="C4:C5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6"/>
  <sheetViews>
    <sheetView showGridLines="0" view="pageBreakPreview" zoomScaleSheetLayoutView="100" workbookViewId="0">
      <selection sqref="A1:H1"/>
    </sheetView>
  </sheetViews>
  <sheetFormatPr defaultColWidth="9.140625" defaultRowHeight="12.75" x14ac:dyDescent="0.2"/>
  <cols>
    <col min="1" max="1" width="4.85546875" style="4" customWidth="1"/>
    <col min="2" max="2" width="37.7109375" style="4" customWidth="1"/>
    <col min="3" max="8" width="12.7109375" style="1" customWidth="1"/>
    <col min="9" max="16384" width="9.140625" style="1"/>
  </cols>
  <sheetData>
    <row r="1" spans="1:8" ht="28.5" customHeight="1" x14ac:dyDescent="0.2">
      <c r="A1" s="464" t="s">
        <v>950</v>
      </c>
      <c r="B1" s="464"/>
      <c r="C1" s="464"/>
      <c r="D1" s="464"/>
      <c r="E1" s="464"/>
      <c r="F1" s="464"/>
      <c r="G1" s="464"/>
      <c r="H1" s="464"/>
    </row>
    <row r="2" spans="1:8" ht="37.5" customHeight="1" x14ac:dyDescent="0.2">
      <c r="A2" s="468" t="s">
        <v>595</v>
      </c>
      <c r="B2" s="462"/>
      <c r="C2" s="462"/>
      <c r="D2" s="462"/>
      <c r="E2" s="462"/>
      <c r="F2" s="462"/>
      <c r="G2" s="462"/>
      <c r="H2" s="463"/>
    </row>
    <row r="3" spans="1:8" ht="15.95" customHeight="1" x14ac:dyDescent="0.2">
      <c r="A3" s="416" t="s">
        <v>659</v>
      </c>
      <c r="B3" s="416"/>
      <c r="C3" s="416"/>
      <c r="D3" s="416"/>
      <c r="E3" s="416"/>
      <c r="F3" s="416"/>
      <c r="G3" s="416"/>
      <c r="H3" s="416"/>
    </row>
    <row r="4" spans="1:8" ht="20.100000000000001" customHeight="1" x14ac:dyDescent="0.2">
      <c r="A4" s="465" t="s">
        <v>441</v>
      </c>
      <c r="B4" s="466" t="s">
        <v>588</v>
      </c>
      <c r="C4" s="465" t="s">
        <v>589</v>
      </c>
      <c r="D4" s="465" t="s">
        <v>590</v>
      </c>
      <c r="E4" s="466" t="s">
        <v>591</v>
      </c>
      <c r="F4" s="466"/>
      <c r="G4" s="466"/>
      <c r="H4" s="466"/>
    </row>
    <row r="5" spans="1:8" ht="20.100000000000001" customHeight="1" x14ac:dyDescent="0.2">
      <c r="A5" s="465"/>
      <c r="B5" s="467"/>
      <c r="C5" s="467"/>
      <c r="D5" s="467"/>
      <c r="E5" s="43">
        <v>2019</v>
      </c>
      <c r="F5" s="109">
        <v>2020</v>
      </c>
      <c r="G5" s="109">
        <v>2021</v>
      </c>
      <c r="H5" s="109">
        <v>2022</v>
      </c>
    </row>
    <row r="6" spans="1:8" s="3" customFormat="1" ht="20.100000000000001" customHeight="1" x14ac:dyDescent="0.2">
      <c r="A6" s="50">
        <v>1</v>
      </c>
      <c r="B6" s="51" t="s">
        <v>592</v>
      </c>
      <c r="C6" s="52"/>
      <c r="D6" s="52"/>
      <c r="E6" s="97"/>
      <c r="F6" s="97"/>
      <c r="G6" s="97"/>
      <c r="H6" s="97"/>
    </row>
    <row r="7" spans="1:8" ht="21" customHeight="1" x14ac:dyDescent="0.2">
      <c r="A7" s="44">
        <v>2</v>
      </c>
      <c r="B7" s="96"/>
      <c r="C7" s="44"/>
      <c r="D7" s="44"/>
      <c r="E7" s="95"/>
      <c r="F7" s="95"/>
      <c r="G7" s="95"/>
      <c r="H7" s="95"/>
    </row>
    <row r="8" spans="1:8" ht="20.100000000000001" customHeight="1" x14ac:dyDescent="0.2">
      <c r="A8" s="44">
        <v>3</v>
      </c>
      <c r="B8" s="45"/>
      <c r="C8" s="46"/>
      <c r="D8" s="46"/>
      <c r="E8" s="46"/>
      <c r="F8" s="46"/>
      <c r="G8" s="46"/>
      <c r="H8" s="46"/>
    </row>
    <row r="9" spans="1:8" ht="20.100000000000001" customHeight="1" x14ac:dyDescent="0.2">
      <c r="A9" s="44">
        <v>4</v>
      </c>
      <c r="B9" s="45"/>
      <c r="C9" s="46"/>
      <c r="D9" s="46"/>
      <c r="E9" s="46"/>
      <c r="F9" s="46"/>
      <c r="G9" s="46"/>
      <c r="H9" s="46"/>
    </row>
    <row r="10" spans="1:8" ht="20.100000000000001" customHeight="1" x14ac:dyDescent="0.2">
      <c r="A10" s="44">
        <v>5</v>
      </c>
      <c r="B10" s="45"/>
      <c r="C10" s="46"/>
      <c r="D10" s="46"/>
      <c r="E10" s="46"/>
      <c r="F10" s="46"/>
      <c r="G10" s="46"/>
      <c r="H10" s="46"/>
    </row>
    <row r="11" spans="1:8" s="3" customFormat="1" ht="20.100000000000001" customHeight="1" x14ac:dyDescent="0.2">
      <c r="A11" s="50">
        <v>6</v>
      </c>
      <c r="B11" s="51" t="s">
        <v>593</v>
      </c>
      <c r="C11" s="52"/>
      <c r="D11" s="52"/>
      <c r="E11" s="97"/>
      <c r="F11" s="97"/>
      <c r="G11" s="97"/>
      <c r="H11" s="97"/>
    </row>
    <row r="12" spans="1:8" ht="20.100000000000001" customHeight="1" x14ac:dyDescent="0.2">
      <c r="A12" s="44">
        <v>7</v>
      </c>
      <c r="B12" s="45"/>
      <c r="C12" s="46"/>
      <c r="D12" s="46"/>
      <c r="E12" s="46"/>
      <c r="F12" s="46"/>
      <c r="G12" s="46"/>
      <c r="H12" s="46"/>
    </row>
    <row r="13" spans="1:8" ht="20.100000000000001" customHeight="1" x14ac:dyDescent="0.2">
      <c r="A13" s="44">
        <v>8</v>
      </c>
      <c r="B13" s="45"/>
      <c r="C13" s="46"/>
      <c r="D13" s="46"/>
      <c r="E13" s="46"/>
      <c r="F13" s="46"/>
      <c r="G13" s="46"/>
      <c r="H13" s="46"/>
    </row>
    <row r="14" spans="1:8" ht="20.100000000000001" customHeight="1" x14ac:dyDescent="0.2">
      <c r="A14" s="44">
        <v>9</v>
      </c>
      <c r="B14" s="45"/>
      <c r="C14" s="46"/>
      <c r="D14" s="46"/>
      <c r="E14" s="46"/>
      <c r="F14" s="46"/>
      <c r="G14" s="46"/>
      <c r="H14" s="46"/>
    </row>
    <row r="15" spans="1:8" ht="20.100000000000001" customHeight="1" x14ac:dyDescent="0.2">
      <c r="A15" s="44">
        <v>10</v>
      </c>
      <c r="B15" s="45"/>
      <c r="C15" s="46"/>
      <c r="D15" s="46"/>
      <c r="E15" s="46"/>
      <c r="F15" s="46"/>
      <c r="G15" s="46"/>
      <c r="H15" s="46"/>
    </row>
    <row r="16" spans="1:8" s="3" customFormat="1" ht="20.100000000000001" customHeight="1" x14ac:dyDescent="0.2">
      <c r="A16" s="43">
        <v>11</v>
      </c>
      <c r="B16" s="47" t="s">
        <v>594</v>
      </c>
      <c r="C16" s="48"/>
      <c r="D16" s="48"/>
      <c r="E16" s="98"/>
      <c r="F16" s="98"/>
      <c r="G16" s="98"/>
      <c r="H16" s="98"/>
    </row>
  </sheetData>
  <mergeCells count="8">
    <mergeCell ref="A1:H1"/>
    <mergeCell ref="A3:H3"/>
    <mergeCell ref="A4:A5"/>
    <mergeCell ref="B4:B5"/>
    <mergeCell ref="C4:C5"/>
    <mergeCell ref="D4:D5"/>
    <mergeCell ref="E4:H4"/>
    <mergeCell ref="A2:H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"/>
  <sheetViews>
    <sheetView showGridLines="0" view="pageBreakPreview" zoomScaleSheetLayoutView="100" workbookViewId="0">
      <selection sqref="A1:C1"/>
    </sheetView>
  </sheetViews>
  <sheetFormatPr defaultColWidth="9.140625" defaultRowHeight="12.75" x14ac:dyDescent="0.2"/>
  <cols>
    <col min="1" max="1" width="4.85546875" style="4" customWidth="1"/>
    <col min="2" max="2" width="47" style="4" customWidth="1"/>
    <col min="3" max="3" width="22" style="1" customWidth="1"/>
    <col min="4" max="16384" width="9.140625" style="1"/>
  </cols>
  <sheetData>
    <row r="1" spans="1:3" ht="28.5" customHeight="1" x14ac:dyDescent="0.2">
      <c r="A1" s="464" t="s">
        <v>951</v>
      </c>
      <c r="B1" s="464"/>
      <c r="C1" s="464"/>
    </row>
    <row r="2" spans="1:3" ht="27.75" customHeight="1" x14ac:dyDescent="0.2">
      <c r="A2" s="469" t="s">
        <v>599</v>
      </c>
      <c r="B2" s="470"/>
      <c r="C2" s="471"/>
    </row>
    <row r="3" spans="1:3" ht="15.95" customHeight="1" x14ac:dyDescent="0.2">
      <c r="A3" s="472" t="s">
        <v>659</v>
      </c>
      <c r="B3" s="472"/>
      <c r="C3" s="472"/>
    </row>
    <row r="4" spans="1:3" ht="57.75" customHeight="1" x14ac:dyDescent="0.2">
      <c r="A4" s="35" t="s">
        <v>441</v>
      </c>
      <c r="B4" s="59" t="s">
        <v>596</v>
      </c>
      <c r="C4" s="60" t="s">
        <v>597</v>
      </c>
    </row>
    <row r="5" spans="1:3" ht="20.100000000000001" customHeight="1" x14ac:dyDescent="0.2">
      <c r="A5" s="36">
        <v>1</v>
      </c>
      <c r="B5" s="37" t="s">
        <v>598</v>
      </c>
      <c r="C5" s="61">
        <v>480000</v>
      </c>
    </row>
    <row r="6" spans="1:3" s="3" customFormat="1" ht="20.100000000000001" customHeight="1" x14ac:dyDescent="0.2">
      <c r="A6" s="36">
        <v>2</v>
      </c>
      <c r="B6" s="37" t="s">
        <v>859</v>
      </c>
      <c r="C6" s="62">
        <v>168000</v>
      </c>
    </row>
    <row r="7" spans="1:3" ht="20.100000000000001" customHeight="1" x14ac:dyDescent="0.2">
      <c r="A7" s="36">
        <v>3</v>
      </c>
      <c r="B7" s="63" t="s">
        <v>857</v>
      </c>
      <c r="C7" s="61">
        <v>575160</v>
      </c>
    </row>
    <row r="8" spans="1:3" s="3" customFormat="1" ht="20.100000000000001" customHeight="1" x14ac:dyDescent="0.2">
      <c r="A8" s="36">
        <v>4</v>
      </c>
      <c r="B8" s="37" t="s">
        <v>858</v>
      </c>
      <c r="C8" s="61">
        <v>300960</v>
      </c>
    </row>
    <row r="9" spans="1:3" ht="20.100000000000001" customHeight="1" x14ac:dyDescent="0.2">
      <c r="A9" s="59"/>
      <c r="B9" s="64" t="s">
        <v>585</v>
      </c>
      <c r="C9" s="65">
        <f>SUM(C5:C8)</f>
        <v>1524120</v>
      </c>
    </row>
  </sheetData>
  <mergeCells count="3">
    <mergeCell ref="A1:C1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/>
  </sheetPr>
  <dimension ref="A1:D12"/>
  <sheetViews>
    <sheetView view="pageBreakPreview" zoomScaleSheetLayoutView="100" workbookViewId="0">
      <selection sqref="A1:D1"/>
    </sheetView>
  </sheetViews>
  <sheetFormatPr defaultColWidth="9.140625" defaultRowHeight="12.75" x14ac:dyDescent="0.2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4" ht="28.5" customHeight="1" x14ac:dyDescent="0.2">
      <c r="A1" s="423" t="s">
        <v>952</v>
      </c>
      <c r="B1" s="423"/>
      <c r="C1" s="423"/>
      <c r="D1" s="423"/>
    </row>
    <row r="2" spans="1:4" ht="27.75" customHeight="1" x14ac:dyDescent="0.2">
      <c r="A2" s="473" t="s">
        <v>617</v>
      </c>
      <c r="B2" s="474"/>
      <c r="C2" s="474"/>
      <c r="D2" s="475"/>
    </row>
    <row r="3" spans="1:4" ht="13.5" customHeight="1" x14ac:dyDescent="0.2">
      <c r="A3" s="414" t="s">
        <v>616</v>
      </c>
      <c r="B3" s="415"/>
      <c r="C3" s="415"/>
      <c r="D3" s="476"/>
    </row>
    <row r="4" spans="1:4" ht="15.95" customHeight="1" x14ac:dyDescent="0.2">
      <c r="A4" s="472"/>
      <c r="B4" s="472"/>
      <c r="C4" s="472"/>
      <c r="D4" s="472"/>
    </row>
    <row r="5" spans="1:4" ht="20.100000000000001" customHeight="1" x14ac:dyDescent="0.2">
      <c r="A5" s="67"/>
      <c r="B5" s="68" t="s">
        <v>897</v>
      </c>
      <c r="C5" s="68" t="s">
        <v>898</v>
      </c>
      <c r="D5" s="68" t="s">
        <v>600</v>
      </c>
    </row>
    <row r="6" spans="1:4" ht="20.100000000000001" customHeight="1" x14ac:dyDescent="0.2">
      <c r="A6" s="69" t="s">
        <v>443</v>
      </c>
      <c r="B6" s="70">
        <f>'17'!B15</f>
        <v>10.5</v>
      </c>
      <c r="C6" s="70">
        <f>'17'!C15</f>
        <v>10.5</v>
      </c>
      <c r="D6" s="71">
        <f>(B6+C6)/2</f>
        <v>10.5</v>
      </c>
    </row>
    <row r="7" spans="1:4" ht="20.100000000000001" customHeight="1" x14ac:dyDescent="0.2">
      <c r="A7" s="72" t="s">
        <v>602</v>
      </c>
      <c r="B7" s="70">
        <v>15</v>
      </c>
      <c r="C7" s="70">
        <v>15</v>
      </c>
      <c r="D7" s="71">
        <f>(B7+C7)/2</f>
        <v>15</v>
      </c>
    </row>
    <row r="8" spans="1:4" s="3" customFormat="1" ht="20.100000000000001" customHeight="1" x14ac:dyDescent="0.2">
      <c r="A8" s="69" t="s">
        <v>601</v>
      </c>
      <c r="B8" s="73">
        <v>17.5</v>
      </c>
      <c r="C8" s="70">
        <v>17.5</v>
      </c>
      <c r="D8" s="71">
        <f>(B8+C8)/2</f>
        <v>17.5</v>
      </c>
    </row>
    <row r="9" spans="1:4" ht="20.100000000000001" customHeight="1" x14ac:dyDescent="0.2">
      <c r="A9" s="69" t="s">
        <v>887</v>
      </c>
      <c r="B9" s="70">
        <v>11</v>
      </c>
      <c r="C9" s="70">
        <v>11</v>
      </c>
      <c r="D9" s="71">
        <f>(B9+C9)/2</f>
        <v>11</v>
      </c>
    </row>
    <row r="10" spans="1:4" ht="20.100000000000001" customHeight="1" x14ac:dyDescent="0.2">
      <c r="A10" s="69" t="s">
        <v>880</v>
      </c>
      <c r="B10" s="70">
        <f>'17'!B55</f>
        <v>8</v>
      </c>
      <c r="C10" s="70">
        <f>'17'!C55</f>
        <v>8</v>
      </c>
      <c r="D10" s="71">
        <f>(B10+C10)/2</f>
        <v>8</v>
      </c>
    </row>
    <row r="11" spans="1:4" ht="20.100000000000001" customHeight="1" x14ac:dyDescent="0.2">
      <c r="A11" s="74" t="s">
        <v>585</v>
      </c>
      <c r="B11" s="75">
        <f>SUM(B6:B10)</f>
        <v>62</v>
      </c>
      <c r="C11" s="75">
        <f t="shared" ref="C11:D11" si="0">SUM(C6:C10)</f>
        <v>62</v>
      </c>
      <c r="D11" s="75">
        <f t="shared" si="0"/>
        <v>62</v>
      </c>
    </row>
    <row r="12" spans="1:4" ht="20.100000000000001" customHeight="1" x14ac:dyDescent="0.2"/>
  </sheetData>
  <mergeCells count="4">
    <mergeCell ref="A2:D2"/>
    <mergeCell ref="A4:D4"/>
    <mergeCell ref="A1:D1"/>
    <mergeCell ref="A3:D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/>
  </sheetPr>
  <dimension ref="A1:G55"/>
  <sheetViews>
    <sheetView showGridLines="0" view="pageBreakPreview" zoomScaleSheetLayoutView="100" workbookViewId="0">
      <selection sqref="A1:D1"/>
    </sheetView>
  </sheetViews>
  <sheetFormatPr defaultColWidth="9.140625" defaultRowHeight="12.75" x14ac:dyDescent="0.2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7" ht="28.5" customHeight="1" x14ac:dyDescent="0.2">
      <c r="A1" s="423" t="s">
        <v>953</v>
      </c>
      <c r="B1" s="423"/>
      <c r="C1" s="423"/>
      <c r="D1" s="423"/>
    </row>
    <row r="2" spans="1:7" ht="27.75" customHeight="1" x14ac:dyDescent="0.2">
      <c r="A2" s="473" t="s">
        <v>619</v>
      </c>
      <c r="B2" s="474"/>
      <c r="C2" s="474"/>
      <c r="D2" s="475"/>
    </row>
    <row r="3" spans="1:7" ht="12" customHeight="1" x14ac:dyDescent="0.2">
      <c r="A3" s="414" t="s">
        <v>618</v>
      </c>
      <c r="B3" s="415"/>
      <c r="C3" s="415"/>
      <c r="D3" s="476"/>
    </row>
    <row r="4" spans="1:7" ht="13.5" customHeight="1" x14ac:dyDescent="0.2">
      <c r="A4" s="472"/>
      <c r="B4" s="472"/>
      <c r="C4" s="472"/>
      <c r="D4" s="472"/>
      <c r="E4" s="53"/>
      <c r="F4" s="53"/>
      <c r="G4" s="53"/>
    </row>
    <row r="5" spans="1:7" ht="20.100000000000001" customHeight="1" x14ac:dyDescent="0.2">
      <c r="A5" s="74"/>
      <c r="B5" s="68" t="s">
        <v>897</v>
      </c>
      <c r="C5" s="68" t="s">
        <v>898</v>
      </c>
      <c r="D5" s="55" t="s">
        <v>600</v>
      </c>
    </row>
    <row r="6" spans="1:7" ht="20.100000000000001" customHeight="1" x14ac:dyDescent="0.2">
      <c r="A6" s="76" t="s">
        <v>603</v>
      </c>
      <c r="B6" s="70">
        <v>1</v>
      </c>
      <c r="C6" s="70">
        <v>1</v>
      </c>
      <c r="D6" s="71">
        <f>(B6+C6)/2</f>
        <v>1</v>
      </c>
    </row>
    <row r="7" spans="1:7" ht="20.100000000000001" customHeight="1" x14ac:dyDescent="0.2">
      <c r="A7" s="76" t="s">
        <v>604</v>
      </c>
      <c r="B7" s="70">
        <v>1</v>
      </c>
      <c r="C7" s="70">
        <v>1</v>
      </c>
      <c r="D7" s="71">
        <f t="shared" ref="D7:D14" si="0">(B7+C7)/2</f>
        <v>1</v>
      </c>
    </row>
    <row r="8" spans="1:7" ht="20.100000000000001" customHeight="1" x14ac:dyDescent="0.2">
      <c r="A8" s="76" t="s">
        <v>605</v>
      </c>
      <c r="B8" s="70">
        <v>1</v>
      </c>
      <c r="C8" s="70">
        <v>1</v>
      </c>
      <c r="D8" s="71">
        <f t="shared" si="0"/>
        <v>1</v>
      </c>
    </row>
    <row r="9" spans="1:7" ht="20.100000000000001" customHeight="1" x14ac:dyDescent="0.2">
      <c r="A9" s="76" t="s">
        <v>893</v>
      </c>
      <c r="B9" s="70">
        <v>3</v>
      </c>
      <c r="C9" s="70">
        <v>3</v>
      </c>
      <c r="D9" s="71">
        <f t="shared" si="0"/>
        <v>3</v>
      </c>
    </row>
    <row r="10" spans="1:7" ht="20.100000000000001" customHeight="1" x14ac:dyDescent="0.2">
      <c r="A10" s="76" t="s">
        <v>876</v>
      </c>
      <c r="B10" s="70">
        <v>0.5</v>
      </c>
      <c r="C10" s="70">
        <v>0.5</v>
      </c>
      <c r="D10" s="71">
        <f t="shared" si="0"/>
        <v>0.5</v>
      </c>
    </row>
    <row r="11" spans="1:7" ht="20.100000000000001" customHeight="1" x14ac:dyDescent="0.2">
      <c r="A11" s="76" t="s">
        <v>877</v>
      </c>
      <c r="B11" s="70">
        <v>0.5</v>
      </c>
      <c r="C11" s="70">
        <v>0.5</v>
      </c>
      <c r="D11" s="71">
        <f t="shared" si="0"/>
        <v>0.5</v>
      </c>
    </row>
    <row r="12" spans="1:7" ht="20.100000000000001" customHeight="1" x14ac:dyDescent="0.2">
      <c r="A12" s="69" t="s">
        <v>878</v>
      </c>
      <c r="B12" s="73">
        <v>2</v>
      </c>
      <c r="C12" s="73">
        <v>2</v>
      </c>
      <c r="D12" s="71">
        <f t="shared" si="0"/>
        <v>2</v>
      </c>
    </row>
    <row r="13" spans="1:7" ht="20.100000000000001" customHeight="1" x14ac:dyDescent="0.2">
      <c r="A13" s="69" t="s">
        <v>879</v>
      </c>
      <c r="B13" s="73">
        <v>1</v>
      </c>
      <c r="C13" s="73">
        <v>1</v>
      </c>
      <c r="D13" s="71">
        <f t="shared" si="0"/>
        <v>1</v>
      </c>
    </row>
    <row r="14" spans="1:7" ht="20.100000000000001" customHeight="1" x14ac:dyDescent="0.2">
      <c r="A14" s="69" t="s">
        <v>607</v>
      </c>
      <c r="B14" s="73">
        <v>0.5</v>
      </c>
      <c r="C14" s="73">
        <v>0.5</v>
      </c>
      <c r="D14" s="71">
        <f t="shared" si="0"/>
        <v>0.5</v>
      </c>
    </row>
    <row r="15" spans="1:7" ht="20.100000000000001" customHeight="1" x14ac:dyDescent="0.2">
      <c r="A15" s="74" t="s">
        <v>585</v>
      </c>
      <c r="B15" s="77">
        <f>SUM(B6:B14)</f>
        <v>10.5</v>
      </c>
      <c r="C15" s="77">
        <f>SUM(C6:C14)</f>
        <v>10.5</v>
      </c>
      <c r="D15" s="77">
        <f>SUM(D6:D14)</f>
        <v>10.5</v>
      </c>
    </row>
    <row r="17" spans="1:4" ht="27.75" customHeight="1" x14ac:dyDescent="0.2">
      <c r="A17" s="473" t="s">
        <v>620</v>
      </c>
      <c r="B17" s="474"/>
      <c r="C17" s="474"/>
      <c r="D17" s="475"/>
    </row>
    <row r="18" spans="1:4" ht="14.25" customHeight="1" x14ac:dyDescent="0.2">
      <c r="A18" s="414" t="s">
        <v>618</v>
      </c>
      <c r="B18" s="415"/>
      <c r="C18" s="415"/>
      <c r="D18" s="476"/>
    </row>
    <row r="19" spans="1:4" x14ac:dyDescent="0.2">
      <c r="A19" s="458"/>
      <c r="B19" s="458"/>
      <c r="C19" s="458"/>
      <c r="D19" s="458"/>
    </row>
    <row r="20" spans="1:4" ht="20.100000000000001" customHeight="1" x14ac:dyDescent="0.2">
      <c r="A20" s="74"/>
      <c r="B20" s="68" t="s">
        <v>897</v>
      </c>
      <c r="C20" s="68" t="s">
        <v>898</v>
      </c>
      <c r="D20" s="55" t="s">
        <v>600</v>
      </c>
    </row>
    <row r="21" spans="1:4" ht="20.100000000000001" customHeight="1" x14ac:dyDescent="0.2">
      <c r="A21" s="69" t="s">
        <v>608</v>
      </c>
      <c r="B21" s="70">
        <v>15</v>
      </c>
      <c r="C21" s="70">
        <v>15</v>
      </c>
      <c r="D21" s="71">
        <f>(B21+C21)/2</f>
        <v>15</v>
      </c>
    </row>
    <row r="22" spans="1:4" ht="20.100000000000001" customHeight="1" x14ac:dyDescent="0.2">
      <c r="A22" s="74" t="s">
        <v>585</v>
      </c>
      <c r="B22" s="77">
        <f>SUM(B21:B21)</f>
        <v>15</v>
      </c>
      <c r="C22" s="77">
        <f>SUM(C21:C21)</f>
        <v>15</v>
      </c>
      <c r="D22" s="77">
        <f>SUM(D21:D21)</f>
        <v>15</v>
      </c>
    </row>
    <row r="23" spans="1:4" ht="20.100000000000001" customHeight="1" x14ac:dyDescent="0.2"/>
    <row r="24" spans="1:4" ht="27.75" customHeight="1" x14ac:dyDescent="0.2">
      <c r="A24" s="473" t="s">
        <v>621</v>
      </c>
      <c r="B24" s="474"/>
      <c r="C24" s="474"/>
      <c r="D24" s="475"/>
    </row>
    <row r="25" spans="1:4" ht="11.25" customHeight="1" x14ac:dyDescent="0.2">
      <c r="A25" s="414" t="s">
        <v>618</v>
      </c>
      <c r="B25" s="415"/>
      <c r="C25" s="415"/>
      <c r="D25" s="476"/>
    </row>
    <row r="26" spans="1:4" x14ac:dyDescent="0.2">
      <c r="A26" s="458"/>
      <c r="B26" s="458"/>
      <c r="C26" s="458"/>
      <c r="D26" s="458"/>
    </row>
    <row r="27" spans="1:4" ht="20.100000000000001" customHeight="1" x14ac:dyDescent="0.2">
      <c r="A27" s="78"/>
      <c r="B27" s="68" t="s">
        <v>897</v>
      </c>
      <c r="C27" s="68" t="s">
        <v>898</v>
      </c>
      <c r="D27" s="55" t="s">
        <v>600</v>
      </c>
    </row>
    <row r="28" spans="1:4" ht="20.100000000000001" customHeight="1" x14ac:dyDescent="0.2">
      <c r="A28" s="69" t="s">
        <v>609</v>
      </c>
      <c r="B28" s="79">
        <v>10</v>
      </c>
      <c r="C28" s="79">
        <v>10</v>
      </c>
      <c r="D28" s="80">
        <f>(B28+C28)/2</f>
        <v>10</v>
      </c>
    </row>
    <row r="29" spans="1:4" ht="20.100000000000001" customHeight="1" x14ac:dyDescent="0.2">
      <c r="A29" s="69" t="s">
        <v>610</v>
      </c>
      <c r="B29" s="73">
        <v>7</v>
      </c>
      <c r="C29" s="73">
        <v>7</v>
      </c>
      <c r="D29" s="80">
        <f>(B29+C29)/2</f>
        <v>7</v>
      </c>
    </row>
    <row r="30" spans="1:4" ht="20.100000000000001" customHeight="1" x14ac:dyDescent="0.2">
      <c r="A30" s="69" t="s">
        <v>611</v>
      </c>
      <c r="B30" s="73">
        <v>0.5</v>
      </c>
      <c r="C30" s="73">
        <v>0.5</v>
      </c>
      <c r="D30" s="80">
        <f>(B30+C30)/2</f>
        <v>0.5</v>
      </c>
    </row>
    <row r="31" spans="1:4" ht="20.100000000000001" customHeight="1" x14ac:dyDescent="0.2">
      <c r="A31" s="69" t="s">
        <v>899</v>
      </c>
      <c r="B31" s="73"/>
      <c r="C31" s="73"/>
      <c r="D31" s="80">
        <f>(B31+C31)/2</f>
        <v>0</v>
      </c>
    </row>
    <row r="32" spans="1:4" ht="20.100000000000001" customHeight="1" x14ac:dyDescent="0.2">
      <c r="A32" s="74" t="s">
        <v>585</v>
      </c>
      <c r="B32" s="77">
        <f>SUM(B28:B31)</f>
        <v>17.5</v>
      </c>
      <c r="C32" s="77">
        <f t="shared" ref="C32:D32" si="1">SUM(C28:C31)</f>
        <v>17.5</v>
      </c>
      <c r="D32" s="77">
        <f t="shared" si="1"/>
        <v>17.5</v>
      </c>
    </row>
    <row r="33" spans="1:5" ht="20.100000000000001" customHeight="1" x14ac:dyDescent="0.2"/>
    <row r="34" spans="1:5" ht="20.100000000000001" customHeight="1" x14ac:dyDescent="0.2"/>
    <row r="35" spans="1:5" ht="27.75" customHeight="1" x14ac:dyDescent="0.2">
      <c r="A35" s="473" t="s">
        <v>882</v>
      </c>
      <c r="B35" s="474"/>
      <c r="C35" s="474"/>
      <c r="D35" s="475"/>
      <c r="E35"/>
    </row>
    <row r="36" spans="1:5" ht="12.75" customHeight="1" x14ac:dyDescent="0.2">
      <c r="A36" s="414" t="s">
        <v>618</v>
      </c>
      <c r="B36" s="415"/>
      <c r="C36" s="415"/>
      <c r="D36" s="476"/>
      <c r="E36"/>
    </row>
    <row r="37" spans="1:5" x14ac:dyDescent="0.2">
      <c r="A37" s="458"/>
      <c r="B37" s="458"/>
      <c r="C37" s="458"/>
      <c r="D37" s="458"/>
      <c r="E37"/>
    </row>
    <row r="38" spans="1:5" ht="20.100000000000001" customHeight="1" x14ac:dyDescent="0.2">
      <c r="A38" s="74" t="s">
        <v>612</v>
      </c>
      <c r="B38" s="68" t="s">
        <v>897</v>
      </c>
      <c r="C38" s="68" t="s">
        <v>898</v>
      </c>
      <c r="D38" s="55" t="s">
        <v>600</v>
      </c>
      <c r="E38" s="54"/>
    </row>
    <row r="39" spans="1:5" ht="20.100000000000001" customHeight="1" x14ac:dyDescent="0.2">
      <c r="A39" s="69" t="s">
        <v>613</v>
      </c>
      <c r="B39" s="73">
        <v>6</v>
      </c>
      <c r="C39" s="73">
        <v>6</v>
      </c>
      <c r="D39" s="81">
        <f>(B39+C39)/2</f>
        <v>6</v>
      </c>
      <c r="E39" s="54"/>
    </row>
    <row r="40" spans="1:5" ht="20.100000000000001" customHeight="1" x14ac:dyDescent="0.2">
      <c r="A40" s="69" t="s">
        <v>614</v>
      </c>
      <c r="B40" s="73">
        <v>3</v>
      </c>
      <c r="C40" s="73">
        <v>3</v>
      </c>
      <c r="D40" s="81">
        <f>(B40+C40)/2</f>
        <v>3</v>
      </c>
      <c r="E40" s="54"/>
    </row>
    <row r="41" spans="1:5" ht="20.100000000000001" customHeight="1" x14ac:dyDescent="0.2">
      <c r="A41" s="69" t="s">
        <v>615</v>
      </c>
      <c r="B41" s="73">
        <v>1</v>
      </c>
      <c r="C41" s="73">
        <v>1</v>
      </c>
      <c r="D41" s="81">
        <f>(B41+C41)/2</f>
        <v>1</v>
      </c>
      <c r="E41" s="54"/>
    </row>
    <row r="42" spans="1:5" ht="20.100000000000001" customHeight="1" x14ac:dyDescent="0.2">
      <c r="A42" s="69" t="s">
        <v>886</v>
      </c>
      <c r="B42" s="70">
        <v>1</v>
      </c>
      <c r="C42" s="70">
        <v>1</v>
      </c>
      <c r="D42" s="81">
        <f>(B42+C42)/2</f>
        <v>1</v>
      </c>
      <c r="E42" s="54"/>
    </row>
    <row r="43" spans="1:5" ht="20.100000000000001" customHeight="1" x14ac:dyDescent="0.2">
      <c r="A43" s="82" t="s">
        <v>585</v>
      </c>
      <c r="B43" s="77">
        <f>SUM(B39:B42)</f>
        <v>11</v>
      </c>
      <c r="C43" s="77">
        <f>SUM(C39:C42)</f>
        <v>11</v>
      </c>
      <c r="D43" s="77">
        <f>SUM(D39:D42)</f>
        <v>11</v>
      </c>
      <c r="E43" s="54"/>
    </row>
    <row r="44" spans="1:5" ht="20.100000000000001" customHeight="1" x14ac:dyDescent="0.2"/>
    <row r="45" spans="1:5" ht="20.100000000000001" customHeight="1" x14ac:dyDescent="0.2"/>
    <row r="46" spans="1:5" ht="20.100000000000001" customHeight="1" x14ac:dyDescent="0.2">
      <c r="A46" s="473" t="s">
        <v>880</v>
      </c>
      <c r="B46" s="474"/>
      <c r="C46" s="474"/>
      <c r="D46" s="475"/>
    </row>
    <row r="47" spans="1:5" ht="12.75" customHeight="1" x14ac:dyDescent="0.2">
      <c r="A47" s="414" t="s">
        <v>618</v>
      </c>
      <c r="B47" s="415"/>
      <c r="C47" s="415"/>
      <c r="D47" s="476"/>
    </row>
    <row r="48" spans="1:5" x14ac:dyDescent="0.2">
      <c r="A48" s="458"/>
      <c r="B48" s="458"/>
      <c r="C48" s="458"/>
      <c r="D48" s="458"/>
    </row>
    <row r="49" spans="1:4" ht="20.100000000000001" customHeight="1" x14ac:dyDescent="0.2">
      <c r="A49" s="74" t="s">
        <v>612</v>
      </c>
      <c r="B49" s="68" t="s">
        <v>897</v>
      </c>
      <c r="C49" s="68" t="s">
        <v>898</v>
      </c>
      <c r="D49" s="108" t="s">
        <v>600</v>
      </c>
    </row>
    <row r="50" spans="1:4" ht="20.100000000000001" customHeight="1" x14ac:dyDescent="0.2">
      <c r="A50" s="69" t="s">
        <v>883</v>
      </c>
      <c r="B50" s="73">
        <v>1</v>
      </c>
      <c r="C50" s="73">
        <v>1</v>
      </c>
      <c r="D50" s="81">
        <f>(B50+C50)/2</f>
        <v>1</v>
      </c>
    </row>
    <row r="51" spans="1:4" ht="20.100000000000001" customHeight="1" x14ac:dyDescent="0.2">
      <c r="A51" s="69" t="s">
        <v>884</v>
      </c>
      <c r="B51" s="73">
        <v>3</v>
      </c>
      <c r="C51" s="73">
        <v>3</v>
      </c>
      <c r="D51" s="81">
        <f>(B51+C51)/2</f>
        <v>3</v>
      </c>
    </row>
    <row r="52" spans="1:4" ht="20.100000000000001" customHeight="1" x14ac:dyDescent="0.2">
      <c r="A52" s="69" t="s">
        <v>885</v>
      </c>
      <c r="B52" s="73">
        <v>2</v>
      </c>
      <c r="C52" s="73">
        <v>2</v>
      </c>
      <c r="D52" s="81">
        <f>(B52+C52)/2</f>
        <v>2</v>
      </c>
    </row>
    <row r="53" spans="1:4" ht="20.100000000000001" customHeight="1" x14ac:dyDescent="0.2">
      <c r="A53" s="69" t="s">
        <v>607</v>
      </c>
      <c r="B53" s="73">
        <v>1</v>
      </c>
      <c r="C53" s="73">
        <v>1</v>
      </c>
      <c r="D53" s="81">
        <f>(B53+C53)/2</f>
        <v>1</v>
      </c>
    </row>
    <row r="54" spans="1:4" ht="20.100000000000001" customHeight="1" x14ac:dyDescent="0.2">
      <c r="A54" s="69" t="s">
        <v>878</v>
      </c>
      <c r="B54" s="70">
        <v>1</v>
      </c>
      <c r="C54" s="70">
        <v>1</v>
      </c>
      <c r="D54" s="81">
        <f>(B54+C54)/2</f>
        <v>1</v>
      </c>
    </row>
    <row r="55" spans="1:4" ht="20.100000000000001" customHeight="1" x14ac:dyDescent="0.2">
      <c r="A55" s="82" t="s">
        <v>585</v>
      </c>
      <c r="B55" s="77">
        <f>SUM(B50:B54)</f>
        <v>8</v>
      </c>
      <c r="C55" s="77">
        <f>SUM(C50:C54)</f>
        <v>8</v>
      </c>
      <c r="D55" s="77">
        <f>SUM(D50:D54)</f>
        <v>8</v>
      </c>
    </row>
  </sheetData>
  <mergeCells count="16">
    <mergeCell ref="A46:D46"/>
    <mergeCell ref="A47:D47"/>
    <mergeCell ref="A48:D48"/>
    <mergeCell ref="A37:D37"/>
    <mergeCell ref="A18:D18"/>
    <mergeCell ref="A25:D25"/>
    <mergeCell ref="A36:D36"/>
    <mergeCell ref="A19:D19"/>
    <mergeCell ref="A24:D24"/>
    <mergeCell ref="A26:D26"/>
    <mergeCell ref="A35:D35"/>
    <mergeCell ref="A1:D1"/>
    <mergeCell ref="A3:D3"/>
    <mergeCell ref="A2:D2"/>
    <mergeCell ref="A4:D4"/>
    <mergeCell ref="A17:D17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1" manualBreakCount="1">
    <brk id="23" max="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2"/>
  <sheetViews>
    <sheetView view="pageBreakPreview" zoomScaleSheetLayoutView="100" workbookViewId="0">
      <selection sqref="A1:M1"/>
    </sheetView>
  </sheetViews>
  <sheetFormatPr defaultColWidth="9.140625" defaultRowHeight="12.75" x14ac:dyDescent="0.2"/>
  <cols>
    <col min="1" max="1" width="5.7109375" style="4" customWidth="1"/>
    <col min="2" max="2" width="34.42578125" style="1" customWidth="1"/>
    <col min="3" max="3" width="2.7109375" style="1" hidden="1" customWidth="1"/>
    <col min="4" max="5" width="11.5703125" style="1" customWidth="1"/>
    <col min="6" max="6" width="12.5703125" style="1" customWidth="1"/>
    <col min="7" max="7" width="8.85546875" style="1" customWidth="1"/>
    <col min="8" max="8" width="33" style="1" customWidth="1"/>
    <col min="9" max="9" width="2.7109375" style="1" hidden="1" customWidth="1"/>
    <col min="10" max="10" width="13.28515625" style="1" customWidth="1"/>
    <col min="11" max="11" width="12.5703125" style="1" customWidth="1"/>
    <col min="12" max="12" width="13.7109375" style="1" customWidth="1"/>
    <col min="13" max="13" width="8" style="1" customWidth="1"/>
    <col min="14" max="16384" width="9.140625" style="1"/>
  </cols>
  <sheetData>
    <row r="1" spans="1:13" ht="28.5" customHeight="1" x14ac:dyDescent="0.2">
      <c r="A1" s="479" t="s">
        <v>954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ht="28.5" customHeight="1" x14ac:dyDescent="0.2">
      <c r="A2" s="390" t="s">
        <v>443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3" ht="15" customHeight="1" x14ac:dyDescent="0.2">
      <c r="A3" s="392" t="s">
        <v>631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 ht="15.95" customHeight="1" x14ac:dyDescent="0.2">
      <c r="A4" s="405" t="s">
        <v>659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</row>
    <row r="5" spans="1:13" ht="15.95" customHeight="1" x14ac:dyDescent="0.2">
      <c r="A5" s="396" t="s">
        <v>441</v>
      </c>
      <c r="B5" s="406" t="s">
        <v>444</v>
      </c>
      <c r="C5" s="406"/>
      <c r="D5" s="406"/>
      <c r="E5" s="406"/>
      <c r="F5" s="406"/>
      <c r="G5" s="406"/>
      <c r="H5" s="477" t="s">
        <v>445</v>
      </c>
      <c r="I5" s="478"/>
      <c r="J5" s="478"/>
      <c r="K5" s="478"/>
      <c r="L5" s="478"/>
      <c r="M5" s="478"/>
    </row>
    <row r="6" spans="1:13" ht="35.1" customHeight="1" x14ac:dyDescent="0.2">
      <c r="A6" s="396"/>
      <c r="B6" s="371" t="s">
        <v>630</v>
      </c>
      <c r="C6" s="29"/>
      <c r="D6" s="215" t="s">
        <v>241</v>
      </c>
      <c r="E6" s="215" t="s">
        <v>437</v>
      </c>
      <c r="F6" s="215" t="s">
        <v>438</v>
      </c>
      <c r="G6" s="215" t="s">
        <v>439</v>
      </c>
      <c r="H6" s="214" t="s">
        <v>26</v>
      </c>
      <c r="I6" s="28"/>
      <c r="J6" s="361" t="s">
        <v>241</v>
      </c>
      <c r="K6" s="361" t="s">
        <v>437</v>
      </c>
      <c r="L6" s="361" t="s">
        <v>438</v>
      </c>
      <c r="M6" s="361" t="s">
        <v>439</v>
      </c>
    </row>
    <row r="7" spans="1:13" x14ac:dyDescent="0.2">
      <c r="A7" s="250" t="s">
        <v>176</v>
      </c>
      <c r="B7" s="216" t="s">
        <v>177</v>
      </c>
      <c r="C7" s="26"/>
      <c r="D7" s="237" t="s">
        <v>178</v>
      </c>
      <c r="E7" s="237" t="s">
        <v>175</v>
      </c>
      <c r="F7" s="237" t="s">
        <v>440</v>
      </c>
      <c r="G7" s="237" t="s">
        <v>552</v>
      </c>
      <c r="H7" s="216" t="s">
        <v>553</v>
      </c>
      <c r="I7" s="26"/>
      <c r="J7" s="360" t="s">
        <v>567</v>
      </c>
      <c r="K7" s="360" t="s">
        <v>568</v>
      </c>
      <c r="L7" s="360" t="s">
        <v>569</v>
      </c>
      <c r="M7" s="360" t="s">
        <v>570</v>
      </c>
    </row>
    <row r="8" spans="1:13" ht="20.100000000000001" customHeight="1" x14ac:dyDescent="0.2">
      <c r="A8" s="249" t="s">
        <v>0</v>
      </c>
      <c r="B8" s="221" t="s">
        <v>629</v>
      </c>
      <c r="C8" s="10" t="s">
        <v>262</v>
      </c>
      <c r="D8" s="219">
        <f>'19'!D8+'19'!D19+'19'!D30+'19'!D41</f>
        <v>675449895.0715009</v>
      </c>
      <c r="E8" s="219">
        <f>'19'!E8+'19'!E19+'19'!E30+'19'!E41</f>
        <v>692090089.14949882</v>
      </c>
      <c r="F8" s="219"/>
      <c r="G8" s="234">
        <f>IF(E8&lt;&gt;"",F8/E8,"n.é.")</f>
        <v>0</v>
      </c>
      <c r="H8" s="221" t="s">
        <v>628</v>
      </c>
      <c r="I8" s="10" t="s">
        <v>32</v>
      </c>
      <c r="J8" s="235">
        <f>'19'!J8+'19'!J19+'19'!J30+'19'!J41</f>
        <v>677174106.6581279</v>
      </c>
      <c r="K8" s="235">
        <f>'19'!K8+'19'!K19+'19'!K30+'19'!K41</f>
        <v>693730432.14949882</v>
      </c>
      <c r="L8" s="235"/>
      <c r="M8" s="234">
        <f>IF(K8&lt;&gt;"",L8/K8,"n.é.")</f>
        <v>0</v>
      </c>
    </row>
    <row r="9" spans="1:13" ht="20.100000000000001" customHeight="1" x14ac:dyDescent="0.2">
      <c r="A9" s="249" t="s">
        <v>1</v>
      </c>
      <c r="B9" s="221" t="s">
        <v>627</v>
      </c>
      <c r="C9" s="10" t="s">
        <v>299</v>
      </c>
      <c r="D9" s="219">
        <f>'19'!D42+'19'!D31+'19'!D20+'19'!D9</f>
        <v>197367216.9284991</v>
      </c>
      <c r="E9" s="219">
        <f>'19'!E20+'19'!E31+'19'!E42+'19'!E9</f>
        <v>199717630.85050124</v>
      </c>
      <c r="F9" s="219"/>
      <c r="G9" s="191">
        <f>IF(E9&lt;&gt;"",F9/E9,"n.é.")</f>
        <v>0</v>
      </c>
      <c r="H9" s="221" t="s">
        <v>626</v>
      </c>
      <c r="I9" s="10" t="s">
        <v>52</v>
      </c>
      <c r="J9" s="235">
        <f>'19'!J9+'19'!J20+'19'!J31+'19'!J42</f>
        <v>195643005.34187222</v>
      </c>
      <c r="K9" s="235">
        <f>'19'!K9+'19'!K20+'19'!K31+'19'!K42</f>
        <v>198077287.85050124</v>
      </c>
      <c r="L9" s="235"/>
      <c r="M9" s="191">
        <f>IF(K9&lt;&gt;"",L9/K9,"n.é.")</f>
        <v>0</v>
      </c>
    </row>
    <row r="10" spans="1:13" ht="29.25" customHeight="1" x14ac:dyDescent="0.2">
      <c r="A10" s="249" t="s">
        <v>2</v>
      </c>
      <c r="B10" s="221" t="s">
        <v>625</v>
      </c>
      <c r="C10" s="10" t="s">
        <v>320</v>
      </c>
      <c r="D10" s="219"/>
      <c r="E10" s="219"/>
      <c r="F10" s="219"/>
      <c r="G10" s="191" t="str">
        <f>IF(E10&lt;&gt;"",F10/E10,"n.é.")</f>
        <v>n.é.</v>
      </c>
      <c r="H10" s="221" t="s">
        <v>624</v>
      </c>
      <c r="I10" s="10" t="s">
        <v>57</v>
      </c>
      <c r="J10" s="235"/>
      <c r="K10" s="235"/>
      <c r="L10" s="235"/>
      <c r="M10" s="191" t="str">
        <f>IF(K10&lt;&gt;"",L10/K10,"n.é.")</f>
        <v>n.é.</v>
      </c>
    </row>
    <row r="11" spans="1:13" s="3" customFormat="1" ht="20.100000000000001" customHeight="1" x14ac:dyDescent="0.2">
      <c r="A11" s="251" t="s">
        <v>3</v>
      </c>
      <c r="B11" s="225" t="s">
        <v>623</v>
      </c>
      <c r="C11" s="56"/>
      <c r="D11" s="245">
        <f>SUM(D8:D10)</f>
        <v>872817112</v>
      </c>
      <c r="E11" s="245">
        <f>SUM(E8:E10)</f>
        <v>891807720</v>
      </c>
      <c r="F11" s="245"/>
      <c r="G11" s="217">
        <f>IF(E11&lt;&gt;"",F11/E11,"n.é.")</f>
        <v>0</v>
      </c>
      <c r="H11" s="225" t="s">
        <v>622</v>
      </c>
      <c r="I11" s="30"/>
      <c r="J11" s="357">
        <f>SUM(J8:J10)</f>
        <v>872817112.00000012</v>
      </c>
      <c r="K11" s="357">
        <f>SUM(K8:K10)</f>
        <v>891807720</v>
      </c>
      <c r="L11" s="357"/>
      <c r="M11" s="217">
        <f>IF(K11&lt;&gt;"",L11/K11,"n.é.")</f>
        <v>0</v>
      </c>
    </row>
    <row r="12" spans="1:13" ht="20.100000000000001" customHeight="1" x14ac:dyDescent="0.2">
      <c r="A12" s="252"/>
      <c r="B12" s="359"/>
      <c r="C12" s="25"/>
      <c r="D12" s="241"/>
      <c r="E12" s="241"/>
      <c r="F12" s="241"/>
      <c r="G12" s="253"/>
      <c r="H12" s="359"/>
      <c r="I12" s="25"/>
      <c r="J12" s="358"/>
      <c r="K12" s="358"/>
      <c r="L12" s="358"/>
      <c r="M12" s="358"/>
    </row>
  </sheetData>
  <sheetProtection formatCells="0" formatColumns="0" formatRows="0" insertColumns="0" insertRows="0" insertHyperlinks="0" deleteColumns="0" deleteRows="0" sort="0" autoFilter="0" pivotTables="0"/>
  <mergeCells count="7">
    <mergeCell ref="H5:M5"/>
    <mergeCell ref="A1:M1"/>
    <mergeCell ref="A2:M2"/>
    <mergeCell ref="A3:M3"/>
    <mergeCell ref="A4:M4"/>
    <mergeCell ref="A5:A6"/>
    <mergeCell ref="B5:G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M35"/>
  <sheetViews>
    <sheetView showGridLines="0" view="pageBreakPreview" zoomScale="90" zoomScaleSheetLayoutView="90" workbookViewId="0">
      <selection sqref="A1:M1"/>
    </sheetView>
  </sheetViews>
  <sheetFormatPr defaultColWidth="9.140625" defaultRowHeight="12.75" x14ac:dyDescent="0.2"/>
  <cols>
    <col min="1" max="1" width="7.140625" style="4" customWidth="1"/>
    <col min="2" max="2" width="47.28515625" style="1" customWidth="1"/>
    <col min="3" max="3" width="5" style="1" customWidth="1"/>
    <col min="4" max="4" width="15.5703125" style="1" customWidth="1"/>
    <col min="5" max="5" width="12.140625" style="1" customWidth="1"/>
    <col min="6" max="6" width="12.7109375" style="1" customWidth="1"/>
    <col min="7" max="7" width="12.140625" style="1" customWidth="1"/>
    <col min="8" max="8" width="26.5703125" style="1" customWidth="1"/>
    <col min="9" max="9" width="5.42578125" style="18" customWidth="1"/>
    <col min="10" max="10" width="14" style="1" customWidth="1"/>
    <col min="11" max="11" width="12.5703125" style="1" customWidth="1"/>
    <col min="12" max="12" width="13.140625" style="1" customWidth="1"/>
    <col min="13" max="13" width="7.7109375" style="1" customWidth="1"/>
    <col min="14" max="16384" width="9.140625" style="1"/>
  </cols>
  <sheetData>
    <row r="1" spans="1:13" ht="28.5" customHeight="1" x14ac:dyDescent="0.2">
      <c r="A1" s="389" t="s">
        <v>937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28.5" customHeight="1" x14ac:dyDescent="0.2">
      <c r="A2" s="390" t="s">
        <v>443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3" ht="15" customHeight="1" x14ac:dyDescent="0.2">
      <c r="A3" s="392" t="s">
        <v>446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 ht="15.95" customHeight="1" x14ac:dyDescent="0.2">
      <c r="A4" s="405" t="s">
        <v>659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</row>
    <row r="5" spans="1:13" ht="15.95" customHeight="1" x14ac:dyDescent="0.2">
      <c r="A5" s="396" t="s">
        <v>441</v>
      </c>
      <c r="B5" s="406" t="s">
        <v>444</v>
      </c>
      <c r="C5" s="406"/>
      <c r="D5" s="406"/>
      <c r="E5" s="406"/>
      <c r="F5" s="406"/>
      <c r="G5" s="406"/>
      <c r="H5" s="406" t="s">
        <v>445</v>
      </c>
      <c r="I5" s="406"/>
      <c r="J5" s="406"/>
      <c r="K5" s="406"/>
      <c r="L5" s="406"/>
      <c r="M5" s="406"/>
    </row>
    <row r="6" spans="1:13" ht="35.1" customHeight="1" x14ac:dyDescent="0.2">
      <c r="A6" s="396"/>
      <c r="B6" s="371" t="s">
        <v>26</v>
      </c>
      <c r="C6" s="88"/>
      <c r="D6" s="215" t="s">
        <v>241</v>
      </c>
      <c r="E6" s="215" t="s">
        <v>437</v>
      </c>
      <c r="F6" s="215" t="s">
        <v>438</v>
      </c>
      <c r="G6" s="215" t="s">
        <v>439</v>
      </c>
      <c r="H6" s="213" t="s">
        <v>26</v>
      </c>
      <c r="I6" s="12"/>
      <c r="J6" s="215" t="s">
        <v>241</v>
      </c>
      <c r="K6" s="215" t="s">
        <v>437</v>
      </c>
      <c r="L6" s="215" t="s">
        <v>438</v>
      </c>
      <c r="M6" s="215" t="s">
        <v>439</v>
      </c>
    </row>
    <row r="7" spans="1:13" x14ac:dyDescent="0.2">
      <c r="A7" s="145" t="s">
        <v>176</v>
      </c>
      <c r="B7" s="216" t="s">
        <v>177</v>
      </c>
      <c r="C7" s="87"/>
      <c r="D7" s="237" t="s">
        <v>178</v>
      </c>
      <c r="E7" s="237" t="s">
        <v>175</v>
      </c>
      <c r="F7" s="237" t="s">
        <v>440</v>
      </c>
      <c r="G7" s="237" t="s">
        <v>552</v>
      </c>
      <c r="H7" s="237" t="s">
        <v>553</v>
      </c>
      <c r="I7" s="13"/>
      <c r="J7" s="236" t="s">
        <v>567</v>
      </c>
      <c r="K7" s="236" t="s">
        <v>568</v>
      </c>
      <c r="L7" s="236" t="s">
        <v>569</v>
      </c>
      <c r="M7" s="236" t="s">
        <v>570</v>
      </c>
    </row>
    <row r="8" spans="1:13" ht="20.100000000000001" customHeight="1" x14ac:dyDescent="0.2">
      <c r="A8" s="141" t="s">
        <v>0</v>
      </c>
      <c r="B8" s="221" t="s">
        <v>450</v>
      </c>
      <c r="C8" s="10" t="s">
        <v>262</v>
      </c>
      <c r="D8" s="219">
        <f>VLOOKUP($C8,'01'!$C$8:$K$226,2,FALSE)</f>
        <v>247348506</v>
      </c>
      <c r="E8" s="219">
        <f>VLOOKUP($C8,'01'!$C$8:$K$226,3,FALSE)</f>
        <v>259294469</v>
      </c>
      <c r="F8" s="219"/>
      <c r="G8" s="234">
        <f>IF(E8&lt;&gt;0,F8/E8,"n.é.")</f>
        <v>0</v>
      </c>
      <c r="H8" s="218" t="s">
        <v>452</v>
      </c>
      <c r="I8" s="10" t="s">
        <v>32</v>
      </c>
      <c r="J8" s="219">
        <f>VLOOKUP($I8,'01'!$C$8:$K$226,2,FALSE)</f>
        <v>196475249.02127659</v>
      </c>
      <c r="K8" s="219">
        <f>VLOOKUP($I8,'01'!$C$8:$K$226,3,FALSE)</f>
        <v>203972506</v>
      </c>
      <c r="L8" s="219"/>
      <c r="M8" s="234">
        <f t="shared" ref="M8:M13" si="0">IF(K8&lt;&gt;0,L8/K8,"n.é.")</f>
        <v>0</v>
      </c>
    </row>
    <row r="9" spans="1:13" ht="29.25" customHeight="1" x14ac:dyDescent="0.2">
      <c r="A9" s="141" t="s">
        <v>1</v>
      </c>
      <c r="B9" s="221" t="s">
        <v>447</v>
      </c>
      <c r="C9" s="10" t="s">
        <v>299</v>
      </c>
      <c r="D9" s="219">
        <f>VLOOKUP($C9,'01'!$C$8:$K$226,2,FALSE)</f>
        <v>110000000</v>
      </c>
      <c r="E9" s="219">
        <f>VLOOKUP($C9,'01'!$C$8:$K$226,3,FALSE)</f>
        <v>104379527</v>
      </c>
      <c r="F9" s="219"/>
      <c r="G9" s="234">
        <f>IF(E9&lt;&gt;0,F9/E9,"n.é.")</f>
        <v>0</v>
      </c>
      <c r="H9" s="218" t="s">
        <v>457</v>
      </c>
      <c r="I9" s="10" t="s">
        <v>52</v>
      </c>
      <c r="J9" s="219">
        <f>VLOOKUP($I9,'01'!$C$8:$K$226,2,FALSE)</f>
        <v>36723886.975000001</v>
      </c>
      <c r="K9" s="219">
        <f>VLOOKUP($I9,'01'!$C$8:$K$226,3,FALSE)</f>
        <v>36210625</v>
      </c>
      <c r="L9" s="219"/>
      <c r="M9" s="234">
        <f t="shared" si="0"/>
        <v>0</v>
      </c>
    </row>
    <row r="10" spans="1:13" ht="20.100000000000001" customHeight="1" x14ac:dyDescent="0.2">
      <c r="A10" s="141" t="s">
        <v>2</v>
      </c>
      <c r="B10" s="221" t="s">
        <v>448</v>
      </c>
      <c r="C10" s="10" t="s">
        <v>320</v>
      </c>
      <c r="D10" s="219">
        <f>VLOOKUP($C10,'01'!$C$8:$K$226,2,FALSE)</f>
        <v>38948623</v>
      </c>
      <c r="E10" s="219">
        <f>VLOOKUP($C10,'01'!$C$8:$K$226,3,FALSE)</f>
        <v>51946103</v>
      </c>
      <c r="F10" s="219"/>
      <c r="G10" s="234">
        <f>IF(E10&lt;&gt;0,F10/E10,"n.é.")</f>
        <v>0</v>
      </c>
      <c r="H10" s="218" t="s">
        <v>453</v>
      </c>
      <c r="I10" s="10" t="s">
        <v>57</v>
      </c>
      <c r="J10" s="219">
        <f>VLOOKUP($I10,'01'!$C$8:$K$226,2,FALSE)</f>
        <v>132873199</v>
      </c>
      <c r="K10" s="219">
        <f>VLOOKUP($I10,'01'!$C$8:$K$226,3,FALSE)</f>
        <v>141367555</v>
      </c>
      <c r="L10" s="219"/>
      <c r="M10" s="234">
        <f t="shared" si="0"/>
        <v>0</v>
      </c>
    </row>
    <row r="11" spans="1:13" ht="20.100000000000001" customHeight="1" x14ac:dyDescent="0.2">
      <c r="A11" s="141" t="s">
        <v>3</v>
      </c>
      <c r="B11" s="221" t="s">
        <v>449</v>
      </c>
      <c r="C11" s="10" t="s">
        <v>336</v>
      </c>
      <c r="D11" s="219">
        <f>VLOOKUP($C11,'01'!$C$8:$K$226,2,FALSE)</f>
        <v>2738781</v>
      </c>
      <c r="E11" s="219">
        <f>VLOOKUP($C11,'01'!$C$8:$K$226,3,FALSE)</f>
        <v>2738781</v>
      </c>
      <c r="F11" s="219"/>
      <c r="G11" s="234">
        <f>IF(E11&lt;&gt;0,F11/E11,"n.é.")</f>
        <v>0</v>
      </c>
      <c r="H11" s="218" t="s">
        <v>454</v>
      </c>
      <c r="I11" s="10" t="s">
        <v>58</v>
      </c>
      <c r="J11" s="219">
        <f>VLOOKUP($I11,'01'!$C$8:$K$226,2,FALSE)</f>
        <v>1600000</v>
      </c>
      <c r="K11" s="219">
        <f>VLOOKUP($I11,'01'!$C$8:$K$226,3,FALSE)</f>
        <v>2050000</v>
      </c>
      <c r="L11" s="219"/>
      <c r="M11" s="234">
        <f t="shared" si="0"/>
        <v>0</v>
      </c>
    </row>
    <row r="12" spans="1:13" ht="27.75" customHeight="1" x14ac:dyDescent="0.2">
      <c r="A12" s="141" t="s">
        <v>4</v>
      </c>
      <c r="B12" s="221"/>
      <c r="C12" s="10"/>
      <c r="D12" s="219"/>
      <c r="E12" s="235"/>
      <c r="F12" s="219"/>
      <c r="G12" s="191"/>
      <c r="H12" s="218" t="s">
        <v>455</v>
      </c>
      <c r="I12" s="10" t="s">
        <v>59</v>
      </c>
      <c r="J12" s="219">
        <f>VLOOKUP($I12,'01'!$C$8:$K$226,2,FALSE)</f>
        <v>13676690</v>
      </c>
      <c r="K12" s="219">
        <f>VLOOKUP($I12,'01'!$C$8:$K$226,3,FALSE)</f>
        <v>22937845</v>
      </c>
      <c r="L12" s="219"/>
      <c r="M12" s="234">
        <f t="shared" si="0"/>
        <v>0</v>
      </c>
    </row>
    <row r="13" spans="1:13" ht="26.25" customHeight="1" x14ac:dyDescent="0.2">
      <c r="A13" s="368" t="s">
        <v>5</v>
      </c>
      <c r="B13" s="372" t="s">
        <v>543</v>
      </c>
      <c r="C13" s="11"/>
      <c r="D13" s="247">
        <f>SUM(D8:D12)</f>
        <v>399035910</v>
      </c>
      <c r="E13" s="247">
        <f>SUM(E8:E12)</f>
        <v>418358880</v>
      </c>
      <c r="F13" s="248"/>
      <c r="G13" s="227">
        <f>IF(E13&lt;&gt;0,F13/E13,"n.é.")</f>
        <v>0</v>
      </c>
      <c r="H13" s="228" t="s">
        <v>545</v>
      </c>
      <c r="I13" s="14"/>
      <c r="J13" s="246">
        <f>SUM(J8:J12)</f>
        <v>381349024.99627662</v>
      </c>
      <c r="K13" s="246">
        <f>SUM(K8:K12)</f>
        <v>406538531</v>
      </c>
      <c r="L13" s="246"/>
      <c r="M13" s="227">
        <f t="shared" si="0"/>
        <v>0</v>
      </c>
    </row>
    <row r="14" spans="1:13" ht="20.100000000000001" customHeight="1" x14ac:dyDescent="0.2">
      <c r="A14" s="368" t="s">
        <v>6</v>
      </c>
      <c r="B14" s="372" t="s">
        <v>451</v>
      </c>
      <c r="C14" s="11" t="s">
        <v>380</v>
      </c>
      <c r="D14" s="248">
        <f>VLOOKUP($C14,'01'!$C$8:$K$226,2,FALSE)</f>
        <v>239301563</v>
      </c>
      <c r="E14" s="248">
        <f>VLOOKUP($C14,'01'!$C$8:$K$226,3,FALSE)</f>
        <v>241253638</v>
      </c>
      <c r="F14" s="247"/>
      <c r="G14" s="227">
        <f>IF(E14&lt;&gt;0,F14/E14,"n.é.")</f>
        <v>0</v>
      </c>
      <c r="H14" s="228" t="s">
        <v>456</v>
      </c>
      <c r="I14" s="14" t="s">
        <v>415</v>
      </c>
      <c r="J14" s="248">
        <f>VLOOKUP($I14,'01'!$C$8:$K$226,2,FALSE)</f>
        <v>202104717</v>
      </c>
      <c r="K14" s="248">
        <f>VLOOKUP($I14,'01'!$C$8:$K$226,3,FALSE)</f>
        <v>202139548</v>
      </c>
      <c r="L14" s="242"/>
      <c r="M14" s="227">
        <f>IF(K14&gt;0,L14/K14,"n.é.")</f>
        <v>0</v>
      </c>
    </row>
    <row r="15" spans="1:13" s="3" customFormat="1" ht="25.5" customHeight="1" x14ac:dyDescent="0.2">
      <c r="A15" s="369" t="s">
        <v>7</v>
      </c>
      <c r="B15" s="225" t="s">
        <v>544</v>
      </c>
      <c r="C15" s="89"/>
      <c r="D15" s="244">
        <f>D13+D14</f>
        <v>638337473</v>
      </c>
      <c r="E15" s="244">
        <f>E13+E14</f>
        <v>659612518</v>
      </c>
      <c r="F15" s="245"/>
      <c r="G15" s="217">
        <f>IF(E15&lt;&gt;0,F15/E15,"n.é.")</f>
        <v>0</v>
      </c>
      <c r="H15" s="225" t="s">
        <v>546</v>
      </c>
      <c r="I15" s="15"/>
      <c r="J15" s="254">
        <f>J13+J14</f>
        <v>583453741.99627662</v>
      </c>
      <c r="K15" s="254">
        <f>K13+K14</f>
        <v>608678079</v>
      </c>
      <c r="L15" s="254"/>
      <c r="M15" s="217">
        <f>IF(K15&gt;0,L15/K15,"n.é.")</f>
        <v>0</v>
      </c>
    </row>
    <row r="16" spans="1:13" ht="20.100000000000001" customHeight="1" x14ac:dyDescent="0.2">
      <c r="A16" s="141" t="s">
        <v>8</v>
      </c>
      <c r="B16" s="221" t="s">
        <v>458</v>
      </c>
      <c r="C16" s="85"/>
      <c r="D16" s="219" t="str">
        <f>IF(J15-D15&gt;0,J15-D15,"")</f>
        <v/>
      </c>
      <c r="E16" s="219" t="str">
        <f>IF(K15-E15&gt;0,K15-E15,"")</f>
        <v/>
      </c>
      <c r="F16" s="219" t="str">
        <f>IF(L15-F15&gt;0,L15-F15,"")</f>
        <v/>
      </c>
      <c r="G16" s="243"/>
      <c r="H16" s="221" t="s">
        <v>459</v>
      </c>
      <c r="I16" s="16"/>
      <c r="J16" s="219">
        <f>IF(D15-J15&gt;0,D15-J15,"")</f>
        <v>54883731.003723383</v>
      </c>
      <c r="K16" s="219">
        <f>IF(E15-K15&gt;0,E15-K15,"")</f>
        <v>50934439</v>
      </c>
      <c r="L16" s="219" t="str">
        <f>IF(F15-L15&gt;0,F15-L15,"")</f>
        <v/>
      </c>
      <c r="M16" s="239"/>
    </row>
    <row r="17" spans="1:13" ht="20.100000000000001" customHeight="1" x14ac:dyDescent="0.2">
      <c r="A17" s="370"/>
      <c r="B17" s="222"/>
      <c r="C17" s="86"/>
      <c r="D17" s="241"/>
      <c r="E17" s="241"/>
      <c r="F17" s="241"/>
      <c r="G17" s="253"/>
      <c r="H17" s="240"/>
      <c r="I17" s="17"/>
      <c r="J17" s="238"/>
      <c r="K17" s="238"/>
      <c r="L17" s="238"/>
      <c r="M17" s="238"/>
    </row>
    <row r="18" spans="1:13" ht="28.5" customHeight="1" x14ac:dyDescent="0.2">
      <c r="A18" s="390" t="s">
        <v>443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</row>
    <row r="19" spans="1:13" ht="15" customHeight="1" x14ac:dyDescent="0.2">
      <c r="A19" s="392" t="s">
        <v>460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</row>
    <row r="20" spans="1:13" ht="15.95" customHeight="1" x14ac:dyDescent="0.2">
      <c r="A20" s="405" t="s">
        <v>659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</row>
    <row r="21" spans="1:13" ht="15.95" customHeight="1" x14ac:dyDescent="0.2">
      <c r="A21" s="396" t="s">
        <v>441</v>
      </c>
      <c r="B21" s="406" t="s">
        <v>444</v>
      </c>
      <c r="C21" s="406"/>
      <c r="D21" s="406"/>
      <c r="E21" s="406"/>
      <c r="F21" s="406"/>
      <c r="G21" s="406"/>
      <c r="H21" s="406" t="s">
        <v>445</v>
      </c>
      <c r="I21" s="406"/>
      <c r="J21" s="406"/>
      <c r="K21" s="406"/>
      <c r="L21" s="406"/>
      <c r="M21" s="406"/>
    </row>
    <row r="22" spans="1:13" ht="35.1" customHeight="1" x14ac:dyDescent="0.2">
      <c r="A22" s="396"/>
      <c r="B22" s="371" t="s">
        <v>26</v>
      </c>
      <c r="C22" s="88"/>
      <c r="D22" s="215" t="s">
        <v>241</v>
      </c>
      <c r="E22" s="215" t="s">
        <v>437</v>
      </c>
      <c r="F22" s="215" t="s">
        <v>438</v>
      </c>
      <c r="G22" s="215" t="s">
        <v>439</v>
      </c>
      <c r="H22" s="213" t="s">
        <v>26</v>
      </c>
      <c r="I22" s="12"/>
      <c r="J22" s="215" t="s">
        <v>241</v>
      </c>
      <c r="K22" s="215" t="s">
        <v>437</v>
      </c>
      <c r="L22" s="215" t="s">
        <v>438</v>
      </c>
      <c r="M22" s="215" t="s">
        <v>439</v>
      </c>
    </row>
    <row r="23" spans="1:13" x14ac:dyDescent="0.2">
      <c r="A23" s="145" t="s">
        <v>176</v>
      </c>
      <c r="B23" s="216" t="s">
        <v>177</v>
      </c>
      <c r="C23" s="87"/>
      <c r="D23" s="237" t="s">
        <v>178</v>
      </c>
      <c r="E23" s="237" t="s">
        <v>175</v>
      </c>
      <c r="F23" s="237" t="s">
        <v>440</v>
      </c>
      <c r="G23" s="237" t="s">
        <v>552</v>
      </c>
      <c r="H23" s="237" t="s">
        <v>553</v>
      </c>
      <c r="I23" s="13"/>
      <c r="J23" s="236" t="s">
        <v>567</v>
      </c>
      <c r="K23" s="236" t="s">
        <v>568</v>
      </c>
      <c r="L23" s="236" t="s">
        <v>569</v>
      </c>
      <c r="M23" s="236" t="s">
        <v>570</v>
      </c>
    </row>
    <row r="24" spans="1:13" ht="20.100000000000001" customHeight="1" x14ac:dyDescent="0.2">
      <c r="A24" s="141" t="s">
        <v>0</v>
      </c>
      <c r="B24" s="221" t="s">
        <v>461</v>
      </c>
      <c r="C24" s="10" t="s">
        <v>271</v>
      </c>
      <c r="D24" s="219">
        <f>VLOOKUP($C24,'01'!$C$8:$K$226,3,FALSE)</f>
        <v>234479639</v>
      </c>
      <c r="E24" s="219">
        <f>VLOOKUP($C24,'01'!$C$8:$K$226,2,FALSE)</f>
        <v>234479639</v>
      </c>
      <c r="F24" s="219"/>
      <c r="G24" s="234">
        <f>IF(E24&lt;&gt;0,F24/E24,"n.é.")</f>
        <v>0</v>
      </c>
      <c r="H24" s="218" t="s">
        <v>464</v>
      </c>
      <c r="I24" s="19" t="s">
        <v>60</v>
      </c>
      <c r="J24" s="219">
        <f>VLOOKUP($I24,'01'!$C$8:$K$226,2,FALSE)</f>
        <v>24206310</v>
      </c>
      <c r="K24" s="219">
        <f>VLOOKUP($I24,'01'!$C$8:$K$226,3,FALSE)</f>
        <v>32748310</v>
      </c>
      <c r="L24" s="219"/>
      <c r="M24" s="234">
        <f>IF(K24&lt;&gt;0,L24/K24,"n.é.")</f>
        <v>0</v>
      </c>
    </row>
    <row r="25" spans="1:13" ht="20.100000000000001" customHeight="1" x14ac:dyDescent="0.2">
      <c r="A25" s="141" t="s">
        <v>1</v>
      </c>
      <c r="B25" s="221" t="s">
        <v>462</v>
      </c>
      <c r="C25" s="10" t="s">
        <v>331</v>
      </c>
      <c r="D25" s="219">
        <f>VLOOKUP($C25,'01'!$C$8:$K$226,2,FALSE)</f>
        <v>0</v>
      </c>
      <c r="E25" s="219">
        <f>VLOOKUP($C25,'01'!$C$8:$K$226,2,FALSE)</f>
        <v>0</v>
      </c>
      <c r="F25" s="219"/>
      <c r="G25" s="234" t="str">
        <f>IF(E25&gt;0,F25/E25,"n.é.")</f>
        <v>n.é.</v>
      </c>
      <c r="H25" s="218" t="s">
        <v>465</v>
      </c>
      <c r="I25" s="19" t="s">
        <v>61</v>
      </c>
      <c r="J25" s="219">
        <f>VLOOKUP($I25,'01'!$C$8:$K$226,2,FALSE)</f>
        <v>265157060</v>
      </c>
      <c r="K25" s="219">
        <f>VLOOKUP($I25,'01'!$C$8:$K$226,3,FALSE)</f>
        <v>252665768</v>
      </c>
      <c r="L25" s="219"/>
      <c r="M25" s="234">
        <f>IF(K25&lt;&gt;0,L25/K25,"n.é.")</f>
        <v>0</v>
      </c>
    </row>
    <row r="26" spans="1:13" ht="25.5" customHeight="1" x14ac:dyDescent="0.2">
      <c r="A26" s="141" t="s">
        <v>2</v>
      </c>
      <c r="B26" s="221" t="s">
        <v>463</v>
      </c>
      <c r="C26" s="10" t="s">
        <v>341</v>
      </c>
      <c r="D26" s="219">
        <f>VLOOKUP($C26,'01'!$C$8:$K$226,2,FALSE)</f>
        <v>0</v>
      </c>
      <c r="E26" s="219">
        <f>VLOOKUP($C26,'01'!$C$8:$K$226,2,FALSE)</f>
        <v>0</v>
      </c>
      <c r="F26" s="219"/>
      <c r="G26" s="234" t="str">
        <f>IF(E26&lt;&gt;0,F26/E26,"n.é.")</f>
        <v>n.é.</v>
      </c>
      <c r="H26" s="218" t="s">
        <v>466</v>
      </c>
      <c r="I26" s="19" t="s">
        <v>62</v>
      </c>
      <c r="J26" s="219">
        <f>VLOOKUP($I26,'01'!$C$8:$K$226,2,FALSE)</f>
        <v>0</v>
      </c>
      <c r="K26" s="219">
        <f>VLOOKUP($I26,'01'!$C$8:$K$226,3,FALSE)</f>
        <v>0</v>
      </c>
      <c r="L26" s="219"/>
      <c r="M26" s="234" t="str">
        <f>IF(K26&lt;&gt;0,L26/K26,"n.é.")</f>
        <v>n.é.</v>
      </c>
    </row>
    <row r="27" spans="1:13" ht="20.100000000000001" customHeight="1" x14ac:dyDescent="0.2">
      <c r="A27" s="141" t="s">
        <v>3</v>
      </c>
      <c r="B27" s="221"/>
      <c r="C27" s="85"/>
      <c r="D27" s="232"/>
      <c r="E27" s="232"/>
      <c r="F27" s="233"/>
      <c r="G27" s="220"/>
      <c r="H27" s="218"/>
      <c r="I27" s="19"/>
      <c r="J27" s="195"/>
      <c r="K27" s="195"/>
      <c r="L27" s="195"/>
      <c r="M27" s="195"/>
    </row>
    <row r="28" spans="1:13" ht="20.100000000000001" customHeight="1" x14ac:dyDescent="0.2">
      <c r="A28" s="141" t="s">
        <v>4</v>
      </c>
      <c r="B28" s="221"/>
      <c r="C28" s="85"/>
      <c r="D28" s="232"/>
      <c r="E28" s="232"/>
      <c r="F28" s="233"/>
      <c r="G28" s="220"/>
      <c r="H28" s="218"/>
      <c r="I28" s="19"/>
      <c r="J28" s="195"/>
      <c r="K28" s="195"/>
      <c r="L28" s="195"/>
      <c r="M28" s="195"/>
    </row>
    <row r="29" spans="1:13" ht="29.25" customHeight="1" x14ac:dyDescent="0.2">
      <c r="A29" s="368" t="s">
        <v>5</v>
      </c>
      <c r="B29" s="372" t="s">
        <v>543</v>
      </c>
      <c r="C29" s="90"/>
      <c r="D29" s="229">
        <f>SUM(D24:D28)</f>
        <v>234479639</v>
      </c>
      <c r="E29" s="229">
        <f>SUM(E24:E28)</f>
        <v>234479639</v>
      </c>
      <c r="F29" s="229"/>
      <c r="G29" s="227">
        <f>IF(E29&lt;&gt;0,F29/E29,"n.é.")</f>
        <v>0</v>
      </c>
      <c r="H29" s="228" t="s">
        <v>545</v>
      </c>
      <c r="I29" s="20"/>
      <c r="J29" s="231">
        <f>SUM(J24:J28)</f>
        <v>289363370</v>
      </c>
      <c r="K29" s="231">
        <f>SUM(K24:K28)</f>
        <v>285414078</v>
      </c>
      <c r="L29" s="231"/>
      <c r="M29" s="227">
        <f>IF(K29&lt;&gt;0,L29/K29,"n.é.")</f>
        <v>0</v>
      </c>
    </row>
    <row r="30" spans="1:13" ht="20.100000000000001" customHeight="1" x14ac:dyDescent="0.2">
      <c r="A30" s="368" t="s">
        <v>6</v>
      </c>
      <c r="B30" s="372" t="s">
        <v>451</v>
      </c>
      <c r="C30" s="90"/>
      <c r="D30" s="229">
        <v>0</v>
      </c>
      <c r="E30" s="229">
        <v>0</v>
      </c>
      <c r="F30" s="230"/>
      <c r="G30" s="227" t="str">
        <f>IF(E30&gt;0,F30/E30,"n.é.")</f>
        <v>n.é.</v>
      </c>
      <c r="H30" s="228" t="s">
        <v>456</v>
      </c>
      <c r="I30" s="20"/>
      <c r="J30" s="231">
        <v>0</v>
      </c>
      <c r="K30" s="231">
        <v>0</v>
      </c>
      <c r="L30" s="231"/>
      <c r="M30" s="227" t="str">
        <f>IF(K30&gt;0,L30/K30,"n.é.")</f>
        <v>n.é.</v>
      </c>
    </row>
    <row r="31" spans="1:13" s="3" customFormat="1" ht="26.25" customHeight="1" x14ac:dyDescent="0.2">
      <c r="A31" s="369" t="s">
        <v>7</v>
      </c>
      <c r="B31" s="225" t="s">
        <v>544</v>
      </c>
      <c r="C31" s="89"/>
      <c r="D31" s="224">
        <f>D29+D30</f>
        <v>234479639</v>
      </c>
      <c r="E31" s="224">
        <f>E29+E30</f>
        <v>234479639</v>
      </c>
      <c r="F31" s="224"/>
      <c r="G31" s="217">
        <f>IF(E31&lt;&gt;0,F31/E31,"n.é.")</f>
        <v>0</v>
      </c>
      <c r="H31" s="225" t="s">
        <v>546</v>
      </c>
      <c r="I31" s="21"/>
      <c r="J31" s="226">
        <f>J29+J30</f>
        <v>289363370</v>
      </c>
      <c r="K31" s="226">
        <f>K29+K30</f>
        <v>285414078</v>
      </c>
      <c r="L31" s="226"/>
      <c r="M31" s="217">
        <f>IF(K31&lt;&gt;0,L31/K31,"n.é.")</f>
        <v>0</v>
      </c>
    </row>
    <row r="32" spans="1:13" ht="20.100000000000001" customHeight="1" x14ac:dyDescent="0.2">
      <c r="A32" s="141" t="s">
        <v>8</v>
      </c>
      <c r="B32" s="221" t="s">
        <v>458</v>
      </c>
      <c r="C32" s="85"/>
      <c r="D32" s="219">
        <f>IF(J31-D31&gt;0,J31-D31,"")</f>
        <v>54883731</v>
      </c>
      <c r="E32" s="219">
        <f t="shared" ref="E32:F32" si="1">IF(K31-E31&gt;0,K31-E31,"")</f>
        <v>50934439</v>
      </c>
      <c r="F32" s="219" t="str">
        <f t="shared" si="1"/>
        <v/>
      </c>
      <c r="G32" s="220"/>
      <c r="H32" s="221" t="s">
        <v>459</v>
      </c>
      <c r="I32" s="22"/>
      <c r="J32" s="219" t="str">
        <f>IF(D31-J31&gt;0,D31-J31,"")</f>
        <v/>
      </c>
      <c r="K32" s="219" t="str">
        <f>IF(E31-K31&gt;0,E31-K31,"")</f>
        <v/>
      </c>
      <c r="L32" s="219"/>
      <c r="M32" s="195"/>
    </row>
    <row r="34" spans="4:13" x14ac:dyDescent="0.2">
      <c r="D34" s="255"/>
      <c r="E34" s="255"/>
      <c r="F34" s="255"/>
      <c r="G34" s="407"/>
      <c r="H34" s="408"/>
      <c r="I34" s="408"/>
      <c r="J34" s="408"/>
      <c r="K34" s="256"/>
      <c r="L34" s="256"/>
      <c r="M34" s="256"/>
    </row>
    <row r="35" spans="4:13" x14ac:dyDescent="0.2">
      <c r="D35" s="255">
        <f>D15+D31</f>
        <v>872817112</v>
      </c>
      <c r="E35" s="255"/>
      <c r="F35" s="255"/>
      <c r="J35" s="255">
        <f>J15+J31</f>
        <v>872817111.99627662</v>
      </c>
      <c r="K35" s="255"/>
      <c r="L35" s="255"/>
    </row>
  </sheetData>
  <sheetProtection password="C58E" sheet="1" formatCells="0" formatColumns="0" formatRows="0" insertColumns="0" insertRows="0" insertHyperlinks="0" deleteColumns="0" deleteRows="0" sort="0" autoFilter="0" pivotTables="0"/>
  <mergeCells count="15">
    <mergeCell ref="A21:A22"/>
    <mergeCell ref="B21:G21"/>
    <mergeCell ref="H21:M21"/>
    <mergeCell ref="G34:H34"/>
    <mergeCell ref="I34:J34"/>
    <mergeCell ref="A18:M18"/>
    <mergeCell ref="A19:M19"/>
    <mergeCell ref="A20:M20"/>
    <mergeCell ref="A2:M2"/>
    <mergeCell ref="A1:M1"/>
    <mergeCell ref="B5:G5"/>
    <mergeCell ref="H5:M5"/>
    <mergeCell ref="A5:A6"/>
    <mergeCell ref="A4:M4"/>
    <mergeCell ref="A3:M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59" fitToHeight="0" orientation="landscape" r:id="rId1"/>
  <headerFooter alignWithMargins="0">
    <oddFooter>&amp;P. oldal, összesen: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45"/>
  <sheetViews>
    <sheetView showGridLines="0" view="pageBreakPreview" zoomScale="90" zoomScaleSheetLayoutView="90" workbookViewId="0">
      <selection sqref="A1:M1"/>
    </sheetView>
  </sheetViews>
  <sheetFormatPr defaultColWidth="9.140625" defaultRowHeight="12.75" x14ac:dyDescent="0.2"/>
  <cols>
    <col min="1" max="1" width="5.5703125" style="4" customWidth="1"/>
    <col min="2" max="2" width="39.5703125" style="1" customWidth="1"/>
    <col min="3" max="3" width="2.7109375" style="1" hidden="1" customWidth="1"/>
    <col min="4" max="4" width="16" style="1" customWidth="1"/>
    <col min="5" max="5" width="13.140625" style="1" customWidth="1"/>
    <col min="6" max="6" width="13" style="1" customWidth="1"/>
    <col min="7" max="7" width="11.85546875" style="1" customWidth="1"/>
    <col min="8" max="8" width="37.85546875" style="1" customWidth="1"/>
    <col min="9" max="9" width="2.7109375" style="1" hidden="1" customWidth="1"/>
    <col min="10" max="10" width="15.28515625" style="1" customWidth="1"/>
    <col min="11" max="11" width="17" style="1" customWidth="1"/>
    <col min="12" max="12" width="13.140625" style="1" customWidth="1"/>
    <col min="13" max="13" width="8.7109375" style="1" customWidth="1"/>
    <col min="14" max="16384" width="9.140625" style="1"/>
  </cols>
  <sheetData>
    <row r="1" spans="1:13" ht="28.5" customHeight="1" x14ac:dyDescent="0.2">
      <c r="A1" s="479" t="s">
        <v>955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ht="28.5" customHeight="1" x14ac:dyDescent="0.2">
      <c r="A2" s="390" t="s">
        <v>443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3" ht="15" customHeight="1" x14ac:dyDescent="0.2">
      <c r="A3" s="392" t="s">
        <v>658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 ht="15.95" customHeight="1" x14ac:dyDescent="0.2">
      <c r="A4" s="405" t="s">
        <v>659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</row>
    <row r="5" spans="1:13" ht="15.95" customHeight="1" x14ac:dyDescent="0.2">
      <c r="A5" s="396" t="s">
        <v>441</v>
      </c>
      <c r="B5" s="406" t="s">
        <v>444</v>
      </c>
      <c r="C5" s="406"/>
      <c r="D5" s="406"/>
      <c r="E5" s="406"/>
      <c r="F5" s="406"/>
      <c r="G5" s="406"/>
      <c r="H5" s="477" t="s">
        <v>445</v>
      </c>
      <c r="I5" s="478"/>
      <c r="J5" s="478"/>
      <c r="K5" s="478"/>
      <c r="L5" s="478"/>
      <c r="M5" s="478"/>
    </row>
    <row r="6" spans="1:13" ht="35.1" customHeight="1" x14ac:dyDescent="0.2">
      <c r="A6" s="396"/>
      <c r="B6" s="212" t="s">
        <v>630</v>
      </c>
      <c r="C6" s="29"/>
      <c r="D6" s="215" t="s">
        <v>241</v>
      </c>
      <c r="E6" s="215" t="s">
        <v>437</v>
      </c>
      <c r="F6" s="215" t="s">
        <v>438</v>
      </c>
      <c r="G6" s="215" t="s">
        <v>439</v>
      </c>
      <c r="H6" s="214" t="s">
        <v>26</v>
      </c>
      <c r="I6" s="28"/>
      <c r="J6" s="361" t="s">
        <v>241</v>
      </c>
      <c r="K6" s="361" t="s">
        <v>437</v>
      </c>
      <c r="L6" s="361" t="s">
        <v>438</v>
      </c>
      <c r="M6" s="361" t="s">
        <v>439</v>
      </c>
    </row>
    <row r="7" spans="1:13" x14ac:dyDescent="0.2">
      <c r="A7" s="250" t="s">
        <v>176</v>
      </c>
      <c r="B7" s="237" t="s">
        <v>177</v>
      </c>
      <c r="C7" s="26"/>
      <c r="D7" s="237" t="s">
        <v>178</v>
      </c>
      <c r="E7" s="237" t="s">
        <v>175</v>
      </c>
      <c r="F7" s="237" t="s">
        <v>440</v>
      </c>
      <c r="G7" s="237" t="s">
        <v>552</v>
      </c>
      <c r="H7" s="216" t="s">
        <v>553</v>
      </c>
      <c r="I7" s="26"/>
      <c r="J7" s="360" t="s">
        <v>567</v>
      </c>
      <c r="K7" s="360" t="s">
        <v>568</v>
      </c>
      <c r="L7" s="360" t="s">
        <v>569</v>
      </c>
      <c r="M7" s="360" t="s">
        <v>570</v>
      </c>
    </row>
    <row r="8" spans="1:13" ht="20.100000000000001" customHeight="1" x14ac:dyDescent="0.2">
      <c r="A8" s="249" t="s">
        <v>0</v>
      </c>
      <c r="B8" s="218" t="s">
        <v>629</v>
      </c>
      <c r="C8" s="10" t="s">
        <v>262</v>
      </c>
      <c r="D8" s="235">
        <v>469846435.92200214</v>
      </c>
      <c r="E8" s="219">
        <v>476151526</v>
      </c>
      <c r="F8" s="219"/>
      <c r="G8" s="234">
        <f>IF(E8&lt;&gt;"",F8/E8,"n.é.")</f>
        <v>0</v>
      </c>
      <c r="H8" s="221" t="s">
        <v>628</v>
      </c>
      <c r="I8" s="10" t="s">
        <v>32</v>
      </c>
      <c r="J8" s="235">
        <v>463596648.50862902</v>
      </c>
      <c r="K8" s="219">
        <v>469817870</v>
      </c>
      <c r="L8" s="219"/>
      <c r="M8" s="234">
        <f>IF(K8&lt;&gt;"",L8/K8,"n.é.")</f>
        <v>0</v>
      </c>
    </row>
    <row r="9" spans="1:13" ht="20.100000000000001" customHeight="1" x14ac:dyDescent="0.2">
      <c r="A9" s="249" t="s">
        <v>1</v>
      </c>
      <c r="B9" s="218" t="s">
        <v>627</v>
      </c>
      <c r="C9" s="10" t="s">
        <v>299</v>
      </c>
      <c r="D9" s="235">
        <v>175149585.07799786</v>
      </c>
      <c r="E9" s="219">
        <v>177499999</v>
      </c>
      <c r="F9" s="219"/>
      <c r="G9" s="191">
        <f>IF(E9&lt;&gt;"",F9/E9,"n.é.")</f>
        <v>0</v>
      </c>
      <c r="H9" s="221" t="s">
        <v>626</v>
      </c>
      <c r="I9" s="10" t="s">
        <v>52</v>
      </c>
      <c r="J9" s="235">
        <v>181399372.49137098</v>
      </c>
      <c r="K9" s="219">
        <v>183833655</v>
      </c>
      <c r="L9" s="219"/>
      <c r="M9" s="191">
        <f>IF(K9&lt;&gt;"",L9/K9,"n.é.")</f>
        <v>0</v>
      </c>
    </row>
    <row r="10" spans="1:13" ht="29.25" customHeight="1" x14ac:dyDescent="0.2">
      <c r="A10" s="249" t="s">
        <v>2</v>
      </c>
      <c r="B10" s="218" t="s">
        <v>625</v>
      </c>
      <c r="C10" s="10" t="s">
        <v>320</v>
      </c>
      <c r="D10" s="219"/>
      <c r="E10" s="219"/>
      <c r="F10" s="219"/>
      <c r="G10" s="191" t="str">
        <f>IF(E10&lt;&gt;"",F10/E10,"n.é.")</f>
        <v>n.é.</v>
      </c>
      <c r="H10" s="221" t="s">
        <v>624</v>
      </c>
      <c r="I10" s="10" t="s">
        <v>57</v>
      </c>
      <c r="J10" s="235"/>
      <c r="K10" s="192"/>
      <c r="L10" s="219"/>
      <c r="M10" s="191" t="str">
        <f>IF(K10&lt;&gt;"",L10/K10,"n.é.")</f>
        <v>n.é.</v>
      </c>
    </row>
    <row r="11" spans="1:13" s="3" customFormat="1" ht="20.100000000000001" customHeight="1" x14ac:dyDescent="0.2">
      <c r="A11" s="251" t="s">
        <v>3</v>
      </c>
      <c r="B11" s="223" t="s">
        <v>623</v>
      </c>
      <c r="C11" s="56"/>
      <c r="D11" s="245">
        <f>SUM(D8:D10)</f>
        <v>644996021</v>
      </c>
      <c r="E11" s="245">
        <f>SUM(E8:E10)</f>
        <v>653651525</v>
      </c>
      <c r="F11" s="245"/>
      <c r="G11" s="217">
        <f>IF(E11&lt;&gt;"",F11/E11,"n.é.")</f>
        <v>0</v>
      </c>
      <c r="H11" s="225" t="s">
        <v>622</v>
      </c>
      <c r="I11" s="30"/>
      <c r="J11" s="357">
        <f>SUM(J8:J10)</f>
        <v>644996021</v>
      </c>
      <c r="K11" s="357">
        <f>SUM(K8:K10)</f>
        <v>653651525</v>
      </c>
      <c r="L11" s="357">
        <f>SUM(L8:L10)</f>
        <v>0</v>
      </c>
      <c r="M11" s="217">
        <f>IF(K11&lt;&gt;"",L11/K11,"n.é.")</f>
        <v>0</v>
      </c>
    </row>
    <row r="12" spans="1:13" ht="28.5" customHeight="1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28.5" customHeight="1" x14ac:dyDescent="0.2">
      <c r="A13" s="390" t="s">
        <v>601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</row>
    <row r="14" spans="1:13" ht="15" customHeight="1" x14ac:dyDescent="0.2">
      <c r="A14" s="392" t="s">
        <v>658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</row>
    <row r="15" spans="1:13" ht="15.95" customHeight="1" x14ac:dyDescent="0.2">
      <c r="A15" s="405" t="s">
        <v>659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</row>
    <row r="16" spans="1:13" ht="15.95" customHeight="1" x14ac:dyDescent="0.2">
      <c r="A16" s="396" t="s">
        <v>441</v>
      </c>
      <c r="B16" s="406" t="s">
        <v>444</v>
      </c>
      <c r="C16" s="406"/>
      <c r="D16" s="406"/>
      <c r="E16" s="406"/>
      <c r="F16" s="406"/>
      <c r="G16" s="406"/>
      <c r="H16" s="477" t="s">
        <v>445</v>
      </c>
      <c r="I16" s="478"/>
      <c r="J16" s="478"/>
      <c r="K16" s="478"/>
      <c r="L16" s="478"/>
      <c r="M16" s="478"/>
    </row>
    <row r="17" spans="1:13" ht="35.1" customHeight="1" x14ac:dyDescent="0.2">
      <c r="A17" s="396"/>
      <c r="B17" s="212" t="s">
        <v>630</v>
      </c>
      <c r="C17" s="29"/>
      <c r="D17" s="215" t="s">
        <v>241</v>
      </c>
      <c r="E17" s="215" t="s">
        <v>437</v>
      </c>
      <c r="F17" s="215" t="s">
        <v>438</v>
      </c>
      <c r="G17" s="215" t="s">
        <v>439</v>
      </c>
      <c r="H17" s="214" t="s">
        <v>26</v>
      </c>
      <c r="I17" s="28"/>
      <c r="J17" s="361" t="s">
        <v>241</v>
      </c>
      <c r="K17" s="361" t="s">
        <v>437</v>
      </c>
      <c r="L17" s="361" t="s">
        <v>438</v>
      </c>
      <c r="M17" s="361" t="s">
        <v>439</v>
      </c>
    </row>
    <row r="18" spans="1:13" x14ac:dyDescent="0.2">
      <c r="A18" s="250" t="s">
        <v>176</v>
      </c>
      <c r="B18" s="237" t="s">
        <v>177</v>
      </c>
      <c r="C18" s="26"/>
      <c r="D18" s="237" t="s">
        <v>178</v>
      </c>
      <c r="E18" s="237" t="s">
        <v>175</v>
      </c>
      <c r="F18" s="237" t="s">
        <v>440</v>
      </c>
      <c r="G18" s="237" t="s">
        <v>552</v>
      </c>
      <c r="H18" s="216" t="s">
        <v>553</v>
      </c>
      <c r="I18" s="26"/>
      <c r="J18" s="360" t="s">
        <v>567</v>
      </c>
      <c r="K18" s="360" t="s">
        <v>568</v>
      </c>
      <c r="L18" s="360" t="s">
        <v>569</v>
      </c>
      <c r="M18" s="360" t="s">
        <v>570</v>
      </c>
    </row>
    <row r="19" spans="1:13" ht="20.100000000000001" customHeight="1" x14ac:dyDescent="0.2">
      <c r="A19" s="249" t="s">
        <v>0</v>
      </c>
      <c r="B19" s="218" t="s">
        <v>629</v>
      </c>
      <c r="C19" s="10" t="s">
        <v>262</v>
      </c>
      <c r="D19" s="219">
        <v>105397741</v>
      </c>
      <c r="E19" s="219">
        <v>115732845</v>
      </c>
      <c r="F19" s="219"/>
      <c r="G19" s="191">
        <f>IF(E19&gt;0,F19/E19,"n.é.")</f>
        <v>0</v>
      </c>
      <c r="H19" s="221" t="s">
        <v>628</v>
      </c>
      <c r="I19" s="10" t="s">
        <v>32</v>
      </c>
      <c r="J19" s="219">
        <v>105397741</v>
      </c>
      <c r="K19" s="192">
        <v>115732845</v>
      </c>
      <c r="L19" s="192"/>
      <c r="M19" s="191">
        <f>IF(K19&gt;0,L19/K19,"n.é.")</f>
        <v>0</v>
      </c>
    </row>
    <row r="20" spans="1:13" ht="20.100000000000001" customHeight="1" x14ac:dyDescent="0.2">
      <c r="A20" s="249" t="s">
        <v>1</v>
      </c>
      <c r="B20" s="218" t="s">
        <v>627</v>
      </c>
      <c r="C20" s="10" t="s">
        <v>299</v>
      </c>
      <c r="D20" s="219"/>
      <c r="E20" s="219"/>
      <c r="F20" s="219"/>
      <c r="G20" s="191" t="str">
        <f>IF(E20&gt;0,F20/E20,"n.é.")</f>
        <v>n.é.</v>
      </c>
      <c r="H20" s="221" t="s">
        <v>626</v>
      </c>
      <c r="I20" s="10" t="s">
        <v>52</v>
      </c>
      <c r="J20" s="235"/>
      <c r="K20" s="192"/>
      <c r="L20" s="192"/>
      <c r="M20" s="191" t="str">
        <f>IF(K20&gt;0,L20/K20,"n.é.")</f>
        <v>n.é.</v>
      </c>
    </row>
    <row r="21" spans="1:13" ht="29.25" customHeight="1" x14ac:dyDescent="0.2">
      <c r="A21" s="249" t="s">
        <v>2</v>
      </c>
      <c r="B21" s="218" t="s">
        <v>625</v>
      </c>
      <c r="C21" s="10" t="s">
        <v>320</v>
      </c>
      <c r="D21" s="219"/>
      <c r="E21" s="219"/>
      <c r="F21" s="219"/>
      <c r="G21" s="191" t="str">
        <f>IF(E21&gt;0,F21/E21,"n.é.")</f>
        <v>n.é.</v>
      </c>
      <c r="H21" s="221" t="s">
        <v>624</v>
      </c>
      <c r="I21" s="10" t="s">
        <v>57</v>
      </c>
      <c r="J21" s="235"/>
      <c r="K21" s="192"/>
      <c r="L21" s="192"/>
      <c r="M21" s="191" t="str">
        <f>IF(K21&gt;0,L21/K21,"n.é.")</f>
        <v>n.é.</v>
      </c>
    </row>
    <row r="22" spans="1:13" s="3" customFormat="1" ht="20.100000000000001" customHeight="1" x14ac:dyDescent="0.2">
      <c r="A22" s="251" t="s">
        <v>3</v>
      </c>
      <c r="B22" s="223" t="s">
        <v>623</v>
      </c>
      <c r="C22" s="56"/>
      <c r="D22" s="245">
        <f>SUM(D19:D21)</f>
        <v>105397741</v>
      </c>
      <c r="E22" s="245">
        <f>SUM(E19:E21)</f>
        <v>115732845</v>
      </c>
      <c r="F22" s="245">
        <f>SUM(F19:F21)</f>
        <v>0</v>
      </c>
      <c r="G22" s="217">
        <f>IF(E22&gt;0,F22/E22,"n.é.")</f>
        <v>0</v>
      </c>
      <c r="H22" s="225" t="s">
        <v>622</v>
      </c>
      <c r="I22" s="30"/>
      <c r="J22" s="357">
        <f>SUM(J19:J21)</f>
        <v>105397741</v>
      </c>
      <c r="K22" s="357">
        <f>SUM(K19:K21)</f>
        <v>115732845</v>
      </c>
      <c r="L22" s="357">
        <f>SUM(L19:L21)</f>
        <v>0</v>
      </c>
      <c r="M22" s="217">
        <f>IF(K22&gt;0,L22/K22,"n.é.")</f>
        <v>0</v>
      </c>
    </row>
    <row r="23" spans="1:13" s="3" customFormat="1" ht="29.25" customHeight="1" x14ac:dyDescent="0.2">
      <c r="A23" s="110"/>
      <c r="B23" s="111"/>
      <c r="C23" s="112"/>
      <c r="D23" s="113"/>
      <c r="E23" s="113"/>
      <c r="F23" s="113"/>
      <c r="G23" s="114"/>
      <c r="H23" s="115"/>
      <c r="I23" s="111"/>
      <c r="J23" s="116"/>
      <c r="K23" s="116"/>
      <c r="L23" s="116"/>
      <c r="M23" s="117"/>
    </row>
    <row r="24" spans="1:13" s="3" customFormat="1" ht="20.100000000000001" customHeight="1" x14ac:dyDescent="0.2">
      <c r="A24" s="390" t="s">
        <v>888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</row>
    <row r="25" spans="1:13" s="3" customFormat="1" ht="20.100000000000001" customHeight="1" x14ac:dyDescent="0.2">
      <c r="A25" s="392" t="s">
        <v>658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</row>
    <row r="26" spans="1:13" s="3" customFormat="1" ht="20.100000000000001" customHeight="1" x14ac:dyDescent="0.2">
      <c r="A26" s="405" t="s">
        <v>659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</row>
    <row r="27" spans="1:13" s="3" customFormat="1" x14ac:dyDescent="0.2">
      <c r="A27" s="396" t="s">
        <v>441</v>
      </c>
      <c r="B27" s="406" t="s">
        <v>444</v>
      </c>
      <c r="C27" s="406"/>
      <c r="D27" s="406"/>
      <c r="E27" s="406"/>
      <c r="F27" s="406"/>
      <c r="G27" s="406"/>
      <c r="H27" s="477" t="s">
        <v>445</v>
      </c>
      <c r="I27" s="478"/>
      <c r="J27" s="478"/>
      <c r="K27" s="478"/>
      <c r="L27" s="478"/>
      <c r="M27" s="478"/>
    </row>
    <row r="28" spans="1:13" s="3" customFormat="1" ht="29.25" customHeight="1" x14ac:dyDescent="0.2">
      <c r="A28" s="396"/>
      <c r="B28" s="212" t="s">
        <v>630</v>
      </c>
      <c r="C28" s="104"/>
      <c r="D28" s="215" t="s">
        <v>241</v>
      </c>
      <c r="E28" s="215" t="s">
        <v>437</v>
      </c>
      <c r="F28" s="215" t="s">
        <v>438</v>
      </c>
      <c r="G28" s="215" t="s">
        <v>439</v>
      </c>
      <c r="H28" s="214" t="s">
        <v>26</v>
      </c>
      <c r="I28" s="105"/>
      <c r="J28" s="361" t="s">
        <v>241</v>
      </c>
      <c r="K28" s="361" t="s">
        <v>437</v>
      </c>
      <c r="L28" s="361" t="s">
        <v>438</v>
      </c>
      <c r="M28" s="361" t="s">
        <v>439</v>
      </c>
    </row>
    <row r="29" spans="1:13" s="3" customFormat="1" ht="20.100000000000001" customHeight="1" x14ac:dyDescent="0.2">
      <c r="A29" s="250" t="s">
        <v>176</v>
      </c>
      <c r="B29" s="237" t="s">
        <v>177</v>
      </c>
      <c r="C29" s="106"/>
      <c r="D29" s="237" t="s">
        <v>178</v>
      </c>
      <c r="E29" s="237" t="s">
        <v>175</v>
      </c>
      <c r="F29" s="237" t="s">
        <v>440</v>
      </c>
      <c r="G29" s="237" t="s">
        <v>552</v>
      </c>
      <c r="H29" s="216" t="s">
        <v>553</v>
      </c>
      <c r="I29" s="106"/>
      <c r="J29" s="360" t="s">
        <v>567</v>
      </c>
      <c r="K29" s="360" t="s">
        <v>568</v>
      </c>
      <c r="L29" s="360" t="s">
        <v>569</v>
      </c>
      <c r="M29" s="360" t="s">
        <v>570</v>
      </c>
    </row>
    <row r="30" spans="1:13" s="3" customFormat="1" ht="20.100000000000001" customHeight="1" x14ac:dyDescent="0.2">
      <c r="A30" s="249" t="s">
        <v>0</v>
      </c>
      <c r="B30" s="218" t="s">
        <v>629</v>
      </c>
      <c r="C30" s="10" t="s">
        <v>262</v>
      </c>
      <c r="D30" s="219">
        <v>54798281</v>
      </c>
      <c r="E30" s="219">
        <v>54798281</v>
      </c>
      <c r="F30" s="219"/>
      <c r="G30" s="191">
        <f>IF(E30&lt;&gt;"",F30/E30,"n.é.")</f>
        <v>0</v>
      </c>
      <c r="H30" s="221" t="s">
        <v>628</v>
      </c>
      <c r="I30" s="10" t="s">
        <v>32</v>
      </c>
      <c r="J30" s="219">
        <v>54798281</v>
      </c>
      <c r="K30" s="219">
        <v>54798281</v>
      </c>
      <c r="L30" s="219"/>
      <c r="M30" s="234">
        <f>IF(K30&lt;&gt;"",L30/K30,"n.é.")</f>
        <v>0</v>
      </c>
    </row>
    <row r="31" spans="1:13" s="3" customFormat="1" ht="20.100000000000001" customHeight="1" x14ac:dyDescent="0.2">
      <c r="A31" s="249" t="s">
        <v>1</v>
      </c>
      <c r="B31" s="218" t="s">
        <v>627</v>
      </c>
      <c r="C31" s="10" t="s">
        <v>299</v>
      </c>
      <c r="D31" s="219"/>
      <c r="E31" s="219"/>
      <c r="F31" s="219"/>
      <c r="G31" s="191" t="str">
        <f>IF(E31&lt;&gt;"",F31/E31,"n.é.")</f>
        <v>n.é.</v>
      </c>
      <c r="H31" s="221" t="s">
        <v>626</v>
      </c>
      <c r="I31" s="10" t="s">
        <v>52</v>
      </c>
      <c r="J31" s="219"/>
      <c r="K31" s="192"/>
      <c r="L31" s="219"/>
      <c r="M31" s="191" t="str">
        <f>IF(K31&lt;&gt;"",L31/K31,"n.é.")</f>
        <v>n.é.</v>
      </c>
    </row>
    <row r="32" spans="1:13" s="3" customFormat="1" ht="20.100000000000001" customHeight="1" x14ac:dyDescent="0.2">
      <c r="A32" s="249" t="s">
        <v>2</v>
      </c>
      <c r="B32" s="218" t="s">
        <v>625</v>
      </c>
      <c r="C32" s="10" t="s">
        <v>320</v>
      </c>
      <c r="D32" s="219"/>
      <c r="E32" s="219"/>
      <c r="F32" s="219"/>
      <c r="G32" s="191" t="str">
        <f>IF(E32&gt;0,F32/E32,"n.é.")</f>
        <v>n.é.</v>
      </c>
      <c r="H32" s="221" t="s">
        <v>624</v>
      </c>
      <c r="I32" s="10" t="s">
        <v>57</v>
      </c>
      <c r="J32" s="235"/>
      <c r="K32" s="192"/>
      <c r="L32" s="219"/>
      <c r="M32" s="191" t="str">
        <f>IF(K32&gt;0,L32/K32,"n.é.")</f>
        <v>n.é.</v>
      </c>
    </row>
    <row r="33" spans="1:13" s="3" customFormat="1" ht="20.100000000000001" customHeight="1" x14ac:dyDescent="0.2">
      <c r="A33" s="251" t="s">
        <v>3</v>
      </c>
      <c r="B33" s="223" t="s">
        <v>623</v>
      </c>
      <c r="C33" s="56"/>
      <c r="D33" s="245">
        <f>SUM(D30:D32)</f>
        <v>54798281</v>
      </c>
      <c r="E33" s="245">
        <f>SUM(E30:E32)</f>
        <v>54798281</v>
      </c>
      <c r="F33" s="245">
        <f>SUM(F30:F32)</f>
        <v>0</v>
      </c>
      <c r="G33" s="217">
        <f>IF(E33&gt;0,F33/E33,"n.é.")</f>
        <v>0</v>
      </c>
      <c r="H33" s="225" t="s">
        <v>622</v>
      </c>
      <c r="I33" s="107"/>
      <c r="J33" s="357">
        <f>SUM(J30:J32)</f>
        <v>54798281</v>
      </c>
      <c r="K33" s="357">
        <f>SUM(K30:K32)</f>
        <v>54798281</v>
      </c>
      <c r="L33" s="357">
        <f>SUM(L30:L32)</f>
        <v>0</v>
      </c>
      <c r="M33" s="217">
        <f>IF(K33&gt;0,L33/K33,"n.é.")</f>
        <v>0</v>
      </c>
    </row>
    <row r="34" spans="1:13" ht="27.75" customHeight="1" x14ac:dyDescent="0.2">
      <c r="A34" s="252"/>
      <c r="B34" s="240"/>
      <c r="C34" s="25"/>
      <c r="D34" s="241"/>
      <c r="E34" s="241"/>
      <c r="F34" s="241"/>
      <c r="G34" s="253"/>
      <c r="H34" s="359"/>
      <c r="I34" s="25"/>
      <c r="J34" s="358"/>
      <c r="K34" s="358"/>
      <c r="L34" s="358"/>
      <c r="M34" s="358"/>
    </row>
    <row r="35" spans="1:13" ht="28.5" customHeight="1" x14ac:dyDescent="0.2">
      <c r="A35" s="390" t="s">
        <v>880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</row>
    <row r="36" spans="1:13" ht="15" customHeight="1" x14ac:dyDescent="0.2">
      <c r="A36" s="392" t="s">
        <v>658</v>
      </c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</row>
    <row r="37" spans="1:13" ht="15.95" customHeight="1" x14ac:dyDescent="0.2">
      <c r="A37" s="405" t="s">
        <v>659</v>
      </c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</row>
    <row r="38" spans="1:13" x14ac:dyDescent="0.2">
      <c r="A38" s="396" t="s">
        <v>441</v>
      </c>
      <c r="B38" s="406" t="s">
        <v>444</v>
      </c>
      <c r="C38" s="406"/>
      <c r="D38" s="406"/>
      <c r="E38" s="406"/>
      <c r="F38" s="406"/>
      <c r="G38" s="406"/>
      <c r="H38" s="477" t="s">
        <v>445</v>
      </c>
      <c r="I38" s="478"/>
      <c r="J38" s="478"/>
      <c r="K38" s="478"/>
      <c r="L38" s="478"/>
      <c r="M38" s="478"/>
    </row>
    <row r="39" spans="1:13" ht="35.1" customHeight="1" x14ac:dyDescent="0.2">
      <c r="A39" s="396"/>
      <c r="B39" s="212" t="s">
        <v>630</v>
      </c>
      <c r="C39" s="29"/>
      <c r="D39" s="215" t="s">
        <v>241</v>
      </c>
      <c r="E39" s="215" t="s">
        <v>437</v>
      </c>
      <c r="F39" s="215" t="s">
        <v>438</v>
      </c>
      <c r="G39" s="215" t="s">
        <v>439</v>
      </c>
      <c r="H39" s="214" t="s">
        <v>26</v>
      </c>
      <c r="I39" s="28"/>
      <c r="J39" s="361" t="s">
        <v>241</v>
      </c>
      <c r="K39" s="361" t="s">
        <v>437</v>
      </c>
      <c r="L39" s="361" t="s">
        <v>438</v>
      </c>
      <c r="M39" s="361" t="s">
        <v>439</v>
      </c>
    </row>
    <row r="40" spans="1:13" x14ac:dyDescent="0.2">
      <c r="A40" s="250" t="s">
        <v>176</v>
      </c>
      <c r="B40" s="237" t="s">
        <v>177</v>
      </c>
      <c r="C40" s="26"/>
      <c r="D40" s="237" t="s">
        <v>178</v>
      </c>
      <c r="E40" s="237" t="s">
        <v>175</v>
      </c>
      <c r="F40" s="237" t="s">
        <v>440</v>
      </c>
      <c r="G40" s="237" t="s">
        <v>552</v>
      </c>
      <c r="H40" s="216" t="s">
        <v>553</v>
      </c>
      <c r="I40" s="26"/>
      <c r="J40" s="360" t="s">
        <v>567</v>
      </c>
      <c r="K40" s="360" t="s">
        <v>568</v>
      </c>
      <c r="L40" s="360" t="s">
        <v>569</v>
      </c>
      <c r="M40" s="360" t="s">
        <v>570</v>
      </c>
    </row>
    <row r="41" spans="1:13" ht="20.100000000000001" customHeight="1" x14ac:dyDescent="0.2">
      <c r="A41" s="249" t="s">
        <v>0</v>
      </c>
      <c r="B41" s="218" t="s">
        <v>629</v>
      </c>
      <c r="C41" s="10" t="s">
        <v>262</v>
      </c>
      <c r="D41" s="235">
        <v>45407437.149498776</v>
      </c>
      <c r="E41" s="235">
        <v>45407437.149498776</v>
      </c>
      <c r="F41" s="219"/>
      <c r="G41" s="191">
        <f>IF(E41&lt;&gt;"",F41/E41,"n.é.")</f>
        <v>0</v>
      </c>
      <c r="H41" s="221" t="s">
        <v>628</v>
      </c>
      <c r="I41" s="10" t="s">
        <v>32</v>
      </c>
      <c r="J41" s="235">
        <v>53381436.149498776</v>
      </c>
      <c r="K41" s="235">
        <v>53381436.149498776</v>
      </c>
      <c r="L41" s="219"/>
      <c r="M41" s="234">
        <f>IF(K41&lt;&gt;"",L41/K41,"n.é.")</f>
        <v>0</v>
      </c>
    </row>
    <row r="42" spans="1:13" ht="20.100000000000001" customHeight="1" x14ac:dyDescent="0.2">
      <c r="A42" s="249" t="s">
        <v>1</v>
      </c>
      <c r="B42" s="218" t="s">
        <v>627</v>
      </c>
      <c r="C42" s="10" t="s">
        <v>299</v>
      </c>
      <c r="D42" s="235">
        <v>22217631.850501224</v>
      </c>
      <c r="E42" s="235">
        <v>22217631.850501224</v>
      </c>
      <c r="F42" s="219"/>
      <c r="G42" s="191">
        <f>IF(E42&lt;&gt;"",F42/E42,"n.é.")</f>
        <v>0</v>
      </c>
      <c r="H42" s="221" t="s">
        <v>626</v>
      </c>
      <c r="I42" s="10" t="s">
        <v>52</v>
      </c>
      <c r="J42" s="235">
        <v>14243632.850501224</v>
      </c>
      <c r="K42" s="235">
        <v>14243632.850501224</v>
      </c>
      <c r="L42" s="219"/>
      <c r="M42" s="191">
        <f>IF(K42&lt;&gt;"",L42/K42,"n.é.")</f>
        <v>0</v>
      </c>
    </row>
    <row r="43" spans="1:13" ht="29.25" customHeight="1" x14ac:dyDescent="0.2">
      <c r="A43" s="249" t="s">
        <v>2</v>
      </c>
      <c r="B43" s="218" t="s">
        <v>625</v>
      </c>
      <c r="C43" s="10" t="s">
        <v>320</v>
      </c>
      <c r="D43" s="219"/>
      <c r="E43" s="219"/>
      <c r="F43" s="219"/>
      <c r="G43" s="191" t="str">
        <f>IF(E43&gt;0,F43/E43,"n.é.")</f>
        <v>n.é.</v>
      </c>
      <c r="H43" s="221" t="s">
        <v>624</v>
      </c>
      <c r="I43" s="10" t="s">
        <v>57</v>
      </c>
      <c r="J43" s="235"/>
      <c r="K43" s="192"/>
      <c r="L43" s="219"/>
      <c r="M43" s="191" t="str">
        <f>IF(K43&gt;0,L43/K43,"n.é.")</f>
        <v>n.é.</v>
      </c>
    </row>
    <row r="44" spans="1:13" s="3" customFormat="1" ht="20.100000000000001" customHeight="1" x14ac:dyDescent="0.2">
      <c r="A44" s="251" t="s">
        <v>3</v>
      </c>
      <c r="B44" s="223" t="s">
        <v>623</v>
      </c>
      <c r="C44" s="56"/>
      <c r="D44" s="245">
        <f>SUM(D41:D43)</f>
        <v>67625069</v>
      </c>
      <c r="E44" s="245">
        <f>SUM(E41:E43)</f>
        <v>67625069</v>
      </c>
      <c r="F44" s="245">
        <f>SUM(F41:F43)</f>
        <v>0</v>
      </c>
      <c r="G44" s="217">
        <f>IF(E44&gt;0,F44/E44,"n.é.")</f>
        <v>0</v>
      </c>
      <c r="H44" s="225" t="s">
        <v>622</v>
      </c>
      <c r="I44" s="30"/>
      <c r="J44" s="357">
        <f>SUM(J41:J43)</f>
        <v>67625069</v>
      </c>
      <c r="K44" s="357">
        <f>SUM(K41:K43)</f>
        <v>67625069</v>
      </c>
      <c r="L44" s="357">
        <f>SUM(L41:L43)</f>
        <v>0</v>
      </c>
      <c r="M44" s="217">
        <f>IF(K44&gt;0,L44/K44,"n.é.")</f>
        <v>0</v>
      </c>
    </row>
    <row r="45" spans="1:13" ht="20.100000000000001" customHeight="1" x14ac:dyDescent="0.2">
      <c r="A45" s="252"/>
      <c r="B45" s="240"/>
      <c r="C45" s="25"/>
      <c r="D45" s="241"/>
      <c r="E45" s="241"/>
      <c r="F45" s="241"/>
      <c r="G45" s="253"/>
      <c r="H45" s="359"/>
      <c r="I45" s="25"/>
      <c r="J45" s="358"/>
      <c r="K45" s="358"/>
      <c r="L45" s="358"/>
      <c r="M45" s="358"/>
    </row>
  </sheetData>
  <mergeCells count="25">
    <mergeCell ref="A26:M26"/>
    <mergeCell ref="A27:A28"/>
    <mergeCell ref="B27:G27"/>
    <mergeCell ref="H27:M27"/>
    <mergeCell ref="A16:A17"/>
    <mergeCell ref="B16:G16"/>
    <mergeCell ref="H16:M16"/>
    <mergeCell ref="A24:M24"/>
    <mergeCell ref="A25:M25"/>
    <mergeCell ref="A1:M1"/>
    <mergeCell ref="A35:M35"/>
    <mergeCell ref="A36:M36"/>
    <mergeCell ref="A37:M37"/>
    <mergeCell ref="A38:A39"/>
    <mergeCell ref="B38:G38"/>
    <mergeCell ref="H38:M38"/>
    <mergeCell ref="H5:M5"/>
    <mergeCell ref="A2:M2"/>
    <mergeCell ref="A3:M3"/>
    <mergeCell ref="A4:M4"/>
    <mergeCell ref="A5:A6"/>
    <mergeCell ref="B5:G5"/>
    <mergeCell ref="A13:M13"/>
    <mergeCell ref="A14:M14"/>
    <mergeCell ref="A15:M1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28" fitToHeight="0" orientation="landscape" r:id="rId1"/>
  <headerFooter alignWithMargins="0">
    <oddFooter>&amp;P. oldal, összesen: &amp;N</oddFooter>
  </headerFooter>
  <rowBreaks count="1" manualBreakCount="1">
    <brk id="52" max="6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30"/>
  <sheetViews>
    <sheetView view="pageBreakPreview" zoomScale="80" zoomScaleSheetLayoutView="80" workbookViewId="0">
      <selection sqref="A1:Q1"/>
    </sheetView>
  </sheetViews>
  <sheetFormatPr defaultColWidth="9.140625" defaultRowHeight="12.75" x14ac:dyDescent="0.2"/>
  <cols>
    <col min="1" max="1" width="5.28515625" style="4" customWidth="1"/>
    <col min="2" max="2" width="60.140625" style="1" customWidth="1"/>
    <col min="3" max="3" width="7.7109375" style="1" customWidth="1"/>
    <col min="4" max="4" width="16.7109375" style="1" customWidth="1"/>
    <col min="5" max="5" width="12" style="1" customWidth="1"/>
    <col min="6" max="6" width="13.85546875" style="1" customWidth="1"/>
    <col min="7" max="7" width="15.42578125" style="1" customWidth="1"/>
    <col min="8" max="8" width="15" style="1" customWidth="1"/>
    <col min="9" max="9" width="17.28515625" style="1" customWidth="1"/>
    <col min="10" max="10" width="14.42578125" style="1" customWidth="1"/>
    <col min="11" max="11" width="14.28515625" style="1" customWidth="1"/>
    <col min="12" max="12" width="13.5703125" style="1" customWidth="1"/>
    <col min="13" max="13" width="12.7109375" style="1" customWidth="1"/>
    <col min="14" max="14" width="11.5703125" style="1" customWidth="1"/>
    <col min="15" max="15" width="13.5703125" style="1" customWidth="1"/>
    <col min="16" max="16" width="14.7109375" style="1" customWidth="1"/>
    <col min="17" max="17" width="15.7109375" style="1" customWidth="1"/>
    <col min="18" max="18" width="13.28515625" style="1" customWidth="1"/>
    <col min="19" max="26" width="2.7109375" style="1" customWidth="1"/>
    <col min="27" max="16384" width="9.140625" style="1"/>
  </cols>
  <sheetData>
    <row r="1" spans="1:18" ht="28.5" customHeight="1" x14ac:dyDescent="0.2">
      <c r="A1" s="423" t="s">
        <v>956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1:18" ht="28.5" customHeight="1" x14ac:dyDescent="0.2">
      <c r="A2" s="412" t="s">
        <v>443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</row>
    <row r="3" spans="1:18" ht="15" customHeight="1" x14ac:dyDescent="0.2">
      <c r="A3" s="414" t="s">
        <v>657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</row>
    <row r="4" spans="1:18" ht="15.95" customHeight="1" x14ac:dyDescent="0.2">
      <c r="A4" s="416" t="s">
        <v>659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2"/>
    </row>
    <row r="5" spans="1:18" ht="15.95" customHeight="1" x14ac:dyDescent="0.2">
      <c r="A5" s="418" t="s">
        <v>441</v>
      </c>
      <c r="B5" s="419" t="s">
        <v>26</v>
      </c>
      <c r="C5" s="420" t="s">
        <v>442</v>
      </c>
      <c r="D5" s="482" t="s">
        <v>656</v>
      </c>
      <c r="E5" s="480">
        <v>2020</v>
      </c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22" t="s">
        <v>655</v>
      </c>
      <c r="R5" s="422" t="s">
        <v>654</v>
      </c>
    </row>
    <row r="6" spans="1:18" ht="39.75" customHeight="1" x14ac:dyDescent="0.2">
      <c r="A6" s="418"/>
      <c r="B6" s="419"/>
      <c r="C6" s="420"/>
      <c r="D6" s="483"/>
      <c r="E6" s="337" t="s">
        <v>653</v>
      </c>
      <c r="F6" s="337" t="s">
        <v>652</v>
      </c>
      <c r="G6" s="337" t="s">
        <v>651</v>
      </c>
      <c r="H6" s="337" t="s">
        <v>650</v>
      </c>
      <c r="I6" s="337" t="s">
        <v>649</v>
      </c>
      <c r="J6" s="337" t="s">
        <v>648</v>
      </c>
      <c r="K6" s="337" t="s">
        <v>647</v>
      </c>
      <c r="L6" s="337" t="s">
        <v>646</v>
      </c>
      <c r="M6" s="337" t="s">
        <v>645</v>
      </c>
      <c r="N6" s="337" t="s">
        <v>644</v>
      </c>
      <c r="O6" s="337" t="s">
        <v>643</v>
      </c>
      <c r="P6" s="337" t="s">
        <v>642</v>
      </c>
      <c r="Q6" s="422"/>
      <c r="R6" s="422"/>
    </row>
    <row r="7" spans="1:18" x14ac:dyDescent="0.2">
      <c r="A7" s="279" t="s">
        <v>176</v>
      </c>
      <c r="B7" s="280" t="s">
        <v>177</v>
      </c>
      <c r="C7" s="280" t="s">
        <v>178</v>
      </c>
      <c r="D7" s="280" t="s">
        <v>175</v>
      </c>
      <c r="E7" s="280" t="s">
        <v>440</v>
      </c>
      <c r="F7" s="280" t="s">
        <v>552</v>
      </c>
      <c r="G7" s="280" t="s">
        <v>553</v>
      </c>
      <c r="H7" s="280" t="s">
        <v>567</v>
      </c>
      <c r="I7" s="280" t="s">
        <v>568</v>
      </c>
      <c r="J7" s="280" t="s">
        <v>569</v>
      </c>
      <c r="K7" s="280" t="s">
        <v>570</v>
      </c>
      <c r="L7" s="280" t="s">
        <v>571</v>
      </c>
      <c r="M7" s="280" t="s">
        <v>572</v>
      </c>
      <c r="N7" s="280" t="s">
        <v>641</v>
      </c>
      <c r="O7" s="280" t="s">
        <v>640</v>
      </c>
      <c r="P7" s="280" t="s">
        <v>639</v>
      </c>
      <c r="Q7" s="280" t="s">
        <v>638</v>
      </c>
      <c r="R7" s="58" t="s">
        <v>637</v>
      </c>
    </row>
    <row r="8" spans="1:18" ht="20.100000000000001" customHeight="1" x14ac:dyDescent="0.2">
      <c r="A8" s="265" t="s">
        <v>0</v>
      </c>
      <c r="B8" s="274" t="s">
        <v>557</v>
      </c>
      <c r="C8" s="276" t="s">
        <v>262</v>
      </c>
      <c r="D8" s="257">
        <f>'03'!D8:D8</f>
        <v>247348506</v>
      </c>
      <c r="E8" s="362">
        <f>D8/100*12</f>
        <v>29681820.719999999</v>
      </c>
      <c r="F8" s="362">
        <f>$D$8/100*8</f>
        <v>19787880.48</v>
      </c>
      <c r="G8" s="362">
        <f t="shared" ref="G8" si="0">$D$8/100*8</f>
        <v>19787880.48</v>
      </c>
      <c r="H8" s="362">
        <f t="shared" ref="H8" si="1">$D$8/100*8</f>
        <v>19787880.48</v>
      </c>
      <c r="I8" s="362">
        <f t="shared" ref="I8" si="2">$D$8/100*8</f>
        <v>19787880.48</v>
      </c>
      <c r="J8" s="362">
        <f t="shared" ref="J8" si="3">$D$8/100*8</f>
        <v>19787880.48</v>
      </c>
      <c r="K8" s="362">
        <f t="shared" ref="K8" si="4">$D$8/100*8</f>
        <v>19787880.48</v>
      </c>
      <c r="L8" s="362">
        <f t="shared" ref="L8" si="5">$D$8/100*8</f>
        <v>19787880.48</v>
      </c>
      <c r="M8" s="362">
        <f t="shared" ref="M8" si="6">$D$8/100*8</f>
        <v>19787880.48</v>
      </c>
      <c r="N8" s="362">
        <f t="shared" ref="N8" si="7">$D$8/100*8</f>
        <v>19787880.48</v>
      </c>
      <c r="O8" s="362">
        <f t="shared" ref="O8" si="8">$D$8/100*8</f>
        <v>19787880.48</v>
      </c>
      <c r="P8" s="362">
        <f t="shared" ref="P8" si="9">$D$8/100*8</f>
        <v>19787880.48</v>
      </c>
      <c r="Q8" s="257">
        <f t="shared" ref="Q8:Q28" si="10">SUM(E8:P8)</f>
        <v>247348505.99999997</v>
      </c>
      <c r="R8" s="57">
        <f t="shared" ref="R8:R30" si="11">Q8-D8</f>
        <v>0</v>
      </c>
    </row>
    <row r="9" spans="1:18" ht="20.100000000000001" customHeight="1" x14ac:dyDescent="0.2">
      <c r="A9" s="265" t="s">
        <v>1</v>
      </c>
      <c r="B9" s="274" t="s">
        <v>558</v>
      </c>
      <c r="C9" s="276" t="s">
        <v>271</v>
      </c>
      <c r="D9" s="257">
        <f>'03'!D9:D9</f>
        <v>234479639</v>
      </c>
      <c r="E9" s="362"/>
      <c r="F9" s="362"/>
      <c r="G9" s="362"/>
      <c r="H9" s="362"/>
      <c r="I9" s="362"/>
      <c r="J9" s="362"/>
      <c r="K9" s="362"/>
      <c r="L9" s="362"/>
      <c r="M9" s="362">
        <v>234479639</v>
      </c>
      <c r="N9" s="362"/>
      <c r="O9" s="362"/>
      <c r="P9" s="362"/>
      <c r="Q9" s="257">
        <f t="shared" si="10"/>
        <v>234479639</v>
      </c>
      <c r="R9" s="57">
        <f t="shared" si="11"/>
        <v>0</v>
      </c>
    </row>
    <row r="10" spans="1:18" ht="20.100000000000001" customHeight="1" x14ac:dyDescent="0.2">
      <c r="A10" s="265" t="s">
        <v>2</v>
      </c>
      <c r="B10" s="274" t="s">
        <v>447</v>
      </c>
      <c r="C10" s="276" t="s">
        <v>299</v>
      </c>
      <c r="D10" s="257">
        <f>'03'!D10:D10</f>
        <v>110000000</v>
      </c>
      <c r="E10" s="362">
        <v>398105.1634296542</v>
      </c>
      <c r="F10" s="362">
        <v>836854.57129322598</v>
      </c>
      <c r="G10" s="362">
        <v>41425864.519185223</v>
      </c>
      <c r="H10" s="362">
        <v>1561155.8503079109</v>
      </c>
      <c r="I10" s="362">
        <v>3753860.7295120796</v>
      </c>
      <c r="J10" s="362">
        <v>5132638.5599242067</v>
      </c>
      <c r="K10" s="362">
        <v>2346944.5760303172</v>
      </c>
      <c r="L10" s="362">
        <v>2827380.388441497</v>
      </c>
      <c r="M10" s="362">
        <v>40213832.306963526</v>
      </c>
      <c r="N10" s="362">
        <v>851444.81288488873</v>
      </c>
      <c r="O10" s="362">
        <v>875414.49549976317</v>
      </c>
      <c r="P10" s="362">
        <v>9776504.0265277121</v>
      </c>
      <c r="Q10" s="257">
        <f t="shared" si="10"/>
        <v>110000000</v>
      </c>
      <c r="R10" s="57">
        <f t="shared" si="11"/>
        <v>0</v>
      </c>
    </row>
    <row r="11" spans="1:18" ht="20.100000000000001" customHeight="1" x14ac:dyDescent="0.2">
      <c r="A11" s="265" t="s">
        <v>3</v>
      </c>
      <c r="B11" s="272" t="s">
        <v>448</v>
      </c>
      <c r="C11" s="276" t="s">
        <v>320</v>
      </c>
      <c r="D11" s="257">
        <f>'03'!D11:D11</f>
        <v>38948623</v>
      </c>
      <c r="E11" s="362">
        <v>3715195.5322613181</v>
      </c>
      <c r="F11" s="362">
        <v>3382684.4782013544</v>
      </c>
      <c r="G11" s="362">
        <v>3838270.6060900125</v>
      </c>
      <c r="H11" s="362">
        <v>3564918.9293568172</v>
      </c>
      <c r="I11" s="362">
        <v>3654137.8794016801</v>
      </c>
      <c r="J11" s="362">
        <v>2775234.7890627165</v>
      </c>
      <c r="K11" s="362">
        <v>2015926.094535378</v>
      </c>
      <c r="L11" s="362">
        <v>2015926.094535378</v>
      </c>
      <c r="M11" s="362">
        <v>3838270.6060900125</v>
      </c>
      <c r="N11" s="362">
        <v>3382684.4782013544</v>
      </c>
      <c r="O11" s="362">
        <v>3382685.9968217802</v>
      </c>
      <c r="P11" s="362">
        <v>3382687.5154422065</v>
      </c>
      <c r="Q11" s="257">
        <f t="shared" si="10"/>
        <v>38948623.000000007</v>
      </c>
      <c r="R11" s="57">
        <f t="shared" si="11"/>
        <v>0</v>
      </c>
    </row>
    <row r="12" spans="1:18" ht="20.100000000000001" customHeight="1" x14ac:dyDescent="0.2">
      <c r="A12" s="265" t="s">
        <v>4</v>
      </c>
      <c r="B12" s="274" t="s">
        <v>462</v>
      </c>
      <c r="C12" s="276" t="s">
        <v>331</v>
      </c>
      <c r="D12" s="257">
        <f>'03'!D12:D12</f>
        <v>0</v>
      </c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257">
        <f t="shared" si="10"/>
        <v>0</v>
      </c>
      <c r="R12" s="57">
        <f t="shared" si="11"/>
        <v>0</v>
      </c>
    </row>
    <row r="13" spans="1:18" ht="20.100000000000001" customHeight="1" x14ac:dyDescent="0.2">
      <c r="A13" s="265" t="s">
        <v>5</v>
      </c>
      <c r="B13" s="274" t="s">
        <v>449</v>
      </c>
      <c r="C13" s="276" t="s">
        <v>336</v>
      </c>
      <c r="D13" s="257">
        <f>'03'!D13:D13</f>
        <v>2738781</v>
      </c>
      <c r="E13" s="362">
        <v>20000</v>
      </c>
      <c r="F13" s="362">
        <v>20000</v>
      </c>
      <c r="G13" s="362">
        <v>20000</v>
      </c>
      <c r="H13" s="362">
        <v>20000</v>
      </c>
      <c r="I13" s="362">
        <v>20000</v>
      </c>
      <c r="J13" s="362">
        <v>20000</v>
      </c>
      <c r="K13" s="362">
        <v>20000</v>
      </c>
      <c r="L13" s="362">
        <v>20000</v>
      </c>
      <c r="M13" s="362">
        <v>20000</v>
      </c>
      <c r="N13" s="362">
        <v>20000</v>
      </c>
      <c r="O13" s="362">
        <v>20000</v>
      </c>
      <c r="P13" s="362">
        <v>2518781</v>
      </c>
      <c r="Q13" s="257">
        <f t="shared" si="10"/>
        <v>2738781</v>
      </c>
      <c r="R13" s="57">
        <f t="shared" si="11"/>
        <v>0</v>
      </c>
    </row>
    <row r="14" spans="1:18" ht="20.100000000000001" customHeight="1" x14ac:dyDescent="0.2">
      <c r="A14" s="265" t="s">
        <v>6</v>
      </c>
      <c r="B14" s="274" t="s">
        <v>463</v>
      </c>
      <c r="C14" s="276" t="s">
        <v>341</v>
      </c>
      <c r="D14" s="257">
        <f>'03'!D14:D14</f>
        <v>0</v>
      </c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257">
        <f t="shared" si="10"/>
        <v>0</v>
      </c>
      <c r="R14" s="57">
        <f t="shared" si="11"/>
        <v>0</v>
      </c>
    </row>
    <row r="15" spans="1:18" s="8" customFormat="1" ht="20.100000000000001" customHeight="1" x14ac:dyDescent="0.2">
      <c r="A15" s="269" t="s">
        <v>7</v>
      </c>
      <c r="B15" s="277" t="s">
        <v>636</v>
      </c>
      <c r="C15" s="278" t="s">
        <v>342</v>
      </c>
      <c r="D15" s="259">
        <f t="shared" ref="D15:P15" si="12">SUM(D8:D14)</f>
        <v>633515549</v>
      </c>
      <c r="E15" s="259">
        <f t="shared" si="12"/>
        <v>33815121.415690973</v>
      </c>
      <c r="F15" s="259">
        <f t="shared" si="12"/>
        <v>24027419.529494584</v>
      </c>
      <c r="G15" s="259">
        <f t="shared" si="12"/>
        <v>65072015.605275229</v>
      </c>
      <c r="H15" s="259">
        <f t="shared" si="12"/>
        <v>24933955.259664729</v>
      </c>
      <c r="I15" s="259">
        <f t="shared" si="12"/>
        <v>27215879.088913761</v>
      </c>
      <c r="J15" s="259">
        <f t="shared" si="12"/>
        <v>27715753.828986924</v>
      </c>
      <c r="K15" s="259">
        <f t="shared" si="12"/>
        <v>24170751.150565695</v>
      </c>
      <c r="L15" s="259">
        <f t="shared" si="12"/>
        <v>24651186.962976873</v>
      </c>
      <c r="M15" s="259">
        <f t="shared" si="12"/>
        <v>298339622.39305353</v>
      </c>
      <c r="N15" s="259">
        <f t="shared" si="12"/>
        <v>24042009.771086246</v>
      </c>
      <c r="O15" s="259">
        <f t="shared" si="12"/>
        <v>24065980.972321544</v>
      </c>
      <c r="P15" s="259">
        <f t="shared" si="12"/>
        <v>35465853.021969922</v>
      </c>
      <c r="Q15" s="259">
        <f t="shared" si="10"/>
        <v>633515548.99999988</v>
      </c>
      <c r="R15" s="66">
        <f t="shared" si="11"/>
        <v>0</v>
      </c>
    </row>
    <row r="16" spans="1:18" ht="20.100000000000001" customHeight="1" x14ac:dyDescent="0.2">
      <c r="A16" s="265" t="s">
        <v>8</v>
      </c>
      <c r="B16" s="266" t="s">
        <v>451</v>
      </c>
      <c r="C16" s="267" t="s">
        <v>380</v>
      </c>
      <c r="D16" s="257">
        <f>'03'!D16:D16</f>
        <v>239301563</v>
      </c>
      <c r="E16" s="362">
        <v>44107095</v>
      </c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257">
        <f t="shared" si="10"/>
        <v>44107095</v>
      </c>
      <c r="R16" s="57">
        <f t="shared" si="11"/>
        <v>-195194468</v>
      </c>
    </row>
    <row r="17" spans="1:18" s="3" customFormat="1" ht="20.100000000000001" customHeight="1" x14ac:dyDescent="0.2">
      <c r="A17" s="365">
        <v>10</v>
      </c>
      <c r="B17" s="24" t="s">
        <v>560</v>
      </c>
      <c r="C17" s="5"/>
      <c r="D17" s="258">
        <f t="shared" ref="D17:P17" si="13">D15+D16</f>
        <v>872817112</v>
      </c>
      <c r="E17" s="258">
        <f t="shared" si="13"/>
        <v>77922216.415690973</v>
      </c>
      <c r="F17" s="258">
        <f t="shared" si="13"/>
        <v>24027419.529494584</v>
      </c>
      <c r="G17" s="258">
        <f t="shared" si="13"/>
        <v>65072015.605275229</v>
      </c>
      <c r="H17" s="258">
        <f t="shared" si="13"/>
        <v>24933955.259664729</v>
      </c>
      <c r="I17" s="258">
        <f t="shared" si="13"/>
        <v>27215879.088913761</v>
      </c>
      <c r="J17" s="258">
        <f t="shared" si="13"/>
        <v>27715753.828986924</v>
      </c>
      <c r="K17" s="258">
        <f t="shared" si="13"/>
        <v>24170751.150565695</v>
      </c>
      <c r="L17" s="258">
        <f t="shared" si="13"/>
        <v>24651186.962976873</v>
      </c>
      <c r="M17" s="258">
        <f t="shared" si="13"/>
        <v>298339622.39305353</v>
      </c>
      <c r="N17" s="258">
        <f t="shared" si="13"/>
        <v>24042009.771086246</v>
      </c>
      <c r="O17" s="258">
        <f t="shared" si="13"/>
        <v>24065980.972321544</v>
      </c>
      <c r="P17" s="258">
        <f t="shared" si="13"/>
        <v>35465853.021969922</v>
      </c>
      <c r="Q17" s="264">
        <f t="shared" si="10"/>
        <v>677622643.99999988</v>
      </c>
      <c r="R17" s="57">
        <f t="shared" si="11"/>
        <v>-195194468.00000012</v>
      </c>
    </row>
    <row r="18" spans="1:18" ht="20.100000000000001" customHeight="1" x14ac:dyDescent="0.2">
      <c r="A18" s="364">
        <v>11</v>
      </c>
      <c r="B18" s="275" t="s">
        <v>452</v>
      </c>
      <c r="C18" s="268" t="s">
        <v>32</v>
      </c>
      <c r="D18" s="257">
        <f>'03'!D20:D20</f>
        <v>196475249.02127659</v>
      </c>
      <c r="E18" s="362">
        <v>18451171.820586856</v>
      </c>
      <c r="F18" s="362">
        <v>15867857.463107822</v>
      </c>
      <c r="G18" s="362">
        <v>15867857.463107822</v>
      </c>
      <c r="H18" s="362">
        <v>16289389.724276152</v>
      </c>
      <c r="I18" s="362">
        <v>16289389.724276152</v>
      </c>
      <c r="J18" s="362">
        <v>16289389.724276152</v>
      </c>
      <c r="K18" s="362">
        <v>16289389.724276152</v>
      </c>
      <c r="L18" s="362">
        <v>15973244.480264854</v>
      </c>
      <c r="M18" s="362">
        <v>16289389.724276152</v>
      </c>
      <c r="N18" s="362">
        <v>16289389.724276152</v>
      </c>
      <c r="O18" s="362">
        <v>16289389.724276152</v>
      </c>
      <c r="P18" s="362">
        <v>16289389.724276152</v>
      </c>
      <c r="Q18" s="257">
        <f t="shared" si="10"/>
        <v>196475249.02127659</v>
      </c>
      <c r="R18" s="57">
        <f t="shared" si="11"/>
        <v>0</v>
      </c>
    </row>
    <row r="19" spans="1:18" s="3" customFormat="1" ht="20.100000000000001" customHeight="1" x14ac:dyDescent="0.2">
      <c r="A19" s="364">
        <v>12</v>
      </c>
      <c r="B19" s="274" t="s">
        <v>24</v>
      </c>
      <c r="C19" s="268" t="s">
        <v>52</v>
      </c>
      <c r="D19" s="257">
        <f>'03'!D21:D21</f>
        <v>36723886.975000001</v>
      </c>
      <c r="E19" s="362">
        <v>3481946.4278720142</v>
      </c>
      <c r="F19" s="362">
        <v>2964712.1688802289</v>
      </c>
      <c r="G19" s="362">
        <v>2964712.1688802289</v>
      </c>
      <c r="H19" s="362">
        <v>3041088.1438559438</v>
      </c>
      <c r="I19" s="362">
        <v>3041088.1438559438</v>
      </c>
      <c r="J19" s="362">
        <v>3041088.1438559438</v>
      </c>
      <c r="K19" s="362">
        <v>3041088.1438559438</v>
      </c>
      <c r="L19" s="362">
        <v>2983811.0585199888</v>
      </c>
      <c r="M19" s="362">
        <v>3041088.1438559438</v>
      </c>
      <c r="N19" s="362">
        <v>3041088.1438559438</v>
      </c>
      <c r="O19" s="362">
        <v>3041088.1438559438</v>
      </c>
      <c r="P19" s="362">
        <v>3041088.1438559438</v>
      </c>
      <c r="Q19" s="257">
        <f t="shared" si="10"/>
        <v>36723886.975000016</v>
      </c>
      <c r="R19" s="57">
        <f t="shared" si="11"/>
        <v>0</v>
      </c>
    </row>
    <row r="20" spans="1:18" ht="20.100000000000001" customHeight="1" x14ac:dyDescent="0.2">
      <c r="A20" s="364">
        <v>13</v>
      </c>
      <c r="B20" s="274" t="s">
        <v>453</v>
      </c>
      <c r="C20" s="268" t="s">
        <v>57</v>
      </c>
      <c r="D20" s="257">
        <f>'03'!D22:D22</f>
        <v>132873199</v>
      </c>
      <c r="E20" s="362">
        <v>13181443.320796488</v>
      </c>
      <c r="F20" s="362">
        <v>11970094.526770182</v>
      </c>
      <c r="G20" s="362">
        <v>10395341.094535988</v>
      </c>
      <c r="H20" s="362">
        <v>10395341.094535988</v>
      </c>
      <c r="I20" s="362">
        <v>10395341.094535988</v>
      </c>
      <c r="J20" s="362">
        <v>10395341.094535988</v>
      </c>
      <c r="K20" s="362">
        <v>10395341.094535988</v>
      </c>
      <c r="L20" s="362">
        <v>10395341.094535988</v>
      </c>
      <c r="M20" s="362">
        <v>13901702.834282972</v>
      </c>
      <c r="N20" s="362">
        <v>16086318.296311267</v>
      </c>
      <c r="O20" s="362">
        <v>10395341.094535988</v>
      </c>
      <c r="P20" s="362">
        <v>4966252.3600871665</v>
      </c>
      <c r="Q20" s="257">
        <f t="shared" si="10"/>
        <v>132873199</v>
      </c>
      <c r="R20" s="57">
        <f t="shared" si="11"/>
        <v>0</v>
      </c>
    </row>
    <row r="21" spans="1:18" ht="20.100000000000001" customHeight="1" x14ac:dyDescent="0.2">
      <c r="A21" s="364">
        <v>14</v>
      </c>
      <c r="B21" s="272" t="s">
        <v>454</v>
      </c>
      <c r="C21" s="268" t="s">
        <v>58</v>
      </c>
      <c r="D21" s="257">
        <f>'03'!D23:D23</f>
        <v>1600000</v>
      </c>
      <c r="E21" s="362">
        <v>106905.89664517334</v>
      </c>
      <c r="F21" s="362">
        <v>106905.89664517334</v>
      </c>
      <c r="G21" s="362">
        <v>106905.89664517334</v>
      </c>
      <c r="H21" s="362">
        <v>106905.89664517334</v>
      </c>
      <c r="I21" s="362">
        <v>106905.89664517334</v>
      </c>
      <c r="J21" s="362">
        <v>106905.89664517334</v>
      </c>
      <c r="K21" s="362">
        <v>106905.89664517334</v>
      </c>
      <c r="L21" s="362">
        <v>106905.89664517334</v>
      </c>
      <c r="M21" s="362">
        <v>106905.89664517334</v>
      </c>
      <c r="N21" s="362">
        <v>106905.89664517334</v>
      </c>
      <c r="O21" s="362">
        <v>106905.89664517334</v>
      </c>
      <c r="P21" s="362">
        <v>424035.1369030932</v>
      </c>
      <c r="Q21" s="257">
        <f t="shared" si="10"/>
        <v>1600000</v>
      </c>
      <c r="R21" s="57">
        <f t="shared" si="11"/>
        <v>0</v>
      </c>
    </row>
    <row r="22" spans="1:18" ht="20.100000000000001" customHeight="1" x14ac:dyDescent="0.2">
      <c r="A22" s="364">
        <v>15</v>
      </c>
      <c r="B22" s="272" t="s">
        <v>455</v>
      </c>
      <c r="C22" s="268" t="s">
        <v>59</v>
      </c>
      <c r="D22" s="257">
        <f>'03'!D24:D24</f>
        <v>13676690</v>
      </c>
      <c r="E22" s="362">
        <v>4503748.2148686387</v>
      </c>
      <c r="F22" s="362">
        <v>1588573.6782832728</v>
      </c>
      <c r="G22" s="362">
        <v>310169.01068480901</v>
      </c>
      <c r="H22" s="362">
        <v>310169.01068480901</v>
      </c>
      <c r="I22" s="362">
        <v>310169.01068480901</v>
      </c>
      <c r="J22" s="362">
        <v>310169.01068480901</v>
      </c>
      <c r="K22" s="362">
        <v>310169.01068480901</v>
      </c>
      <c r="L22" s="362">
        <v>310169.01068480901</v>
      </c>
      <c r="M22" s="362">
        <v>310169.01068480901</v>
      </c>
      <c r="N22" s="362">
        <v>310169.01068480901</v>
      </c>
      <c r="O22" s="362">
        <v>310169.01068480901</v>
      </c>
      <c r="P22" s="362">
        <v>310169.01068480901</v>
      </c>
      <c r="Q22" s="257">
        <f t="shared" si="10"/>
        <v>9194011.9999999981</v>
      </c>
      <c r="R22" s="57">
        <f t="shared" si="11"/>
        <v>-4482678.0000000019</v>
      </c>
    </row>
    <row r="23" spans="1:18" s="3" customFormat="1" ht="20.100000000000001" customHeight="1" x14ac:dyDescent="0.2">
      <c r="A23" s="364">
        <v>16</v>
      </c>
      <c r="B23" s="273" t="s">
        <v>464</v>
      </c>
      <c r="C23" s="268" t="s">
        <v>60</v>
      </c>
      <c r="D23" s="257">
        <f>'03'!D25:D25</f>
        <v>24206310</v>
      </c>
      <c r="E23" s="362"/>
      <c r="F23" s="362"/>
      <c r="G23" s="362"/>
      <c r="H23" s="362"/>
      <c r="I23" s="362"/>
      <c r="J23" s="362"/>
      <c r="K23" s="362"/>
      <c r="L23" s="362"/>
      <c r="M23" s="362">
        <v>24206310</v>
      </c>
      <c r="N23" s="362"/>
      <c r="O23" s="362"/>
      <c r="P23" s="362"/>
      <c r="Q23" s="257">
        <f t="shared" si="10"/>
        <v>24206310</v>
      </c>
      <c r="R23" s="57">
        <f t="shared" si="11"/>
        <v>0</v>
      </c>
    </row>
    <row r="24" spans="1:18" s="3" customFormat="1" ht="20.100000000000001" customHeight="1" x14ac:dyDescent="0.2">
      <c r="A24" s="364">
        <v>17</v>
      </c>
      <c r="B24" s="272" t="s">
        <v>465</v>
      </c>
      <c r="C24" s="268" t="s">
        <v>61</v>
      </c>
      <c r="D24" s="257">
        <f>'03'!D26:D26</f>
        <v>265157060</v>
      </c>
      <c r="E24" s="362"/>
      <c r="F24" s="362"/>
      <c r="G24" s="362"/>
      <c r="H24" s="362"/>
      <c r="I24" s="362"/>
      <c r="J24" s="362"/>
      <c r="K24" s="362"/>
      <c r="L24" s="362"/>
      <c r="M24" s="362">
        <v>245157060</v>
      </c>
      <c r="N24" s="362"/>
      <c r="O24" s="362"/>
      <c r="P24" s="362">
        <v>20000000</v>
      </c>
      <c r="Q24" s="257">
        <f t="shared" si="10"/>
        <v>265157060</v>
      </c>
      <c r="R24" s="57">
        <f t="shared" si="11"/>
        <v>0</v>
      </c>
    </row>
    <row r="25" spans="1:18" ht="20.100000000000001" customHeight="1" x14ac:dyDescent="0.2">
      <c r="A25" s="364">
        <v>18</v>
      </c>
      <c r="B25" s="272" t="s">
        <v>466</v>
      </c>
      <c r="C25" s="268" t="s">
        <v>62</v>
      </c>
      <c r="D25" s="257">
        <f>'03'!D27:D27</f>
        <v>0</v>
      </c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257">
        <f t="shared" si="10"/>
        <v>0</v>
      </c>
      <c r="R25" s="57">
        <f t="shared" si="11"/>
        <v>0</v>
      </c>
    </row>
    <row r="26" spans="1:18" s="8" customFormat="1" ht="19.5" customHeight="1" x14ac:dyDescent="0.2">
      <c r="A26" s="366">
        <v>19</v>
      </c>
      <c r="B26" s="270" t="s">
        <v>635</v>
      </c>
      <c r="C26" s="271" t="s">
        <v>174</v>
      </c>
      <c r="D26" s="259">
        <f t="shared" ref="D26:P26" si="14">SUM(D18:D25)</f>
        <v>670712394.99627662</v>
      </c>
      <c r="E26" s="259">
        <f t="shared" si="14"/>
        <v>39725215.680769175</v>
      </c>
      <c r="F26" s="259">
        <f t="shared" si="14"/>
        <v>32498143.733686682</v>
      </c>
      <c r="G26" s="259">
        <f t="shared" si="14"/>
        <v>29644985.633854024</v>
      </c>
      <c r="H26" s="259">
        <f t="shared" si="14"/>
        <v>30142893.869998068</v>
      </c>
      <c r="I26" s="259">
        <f t="shared" si="14"/>
        <v>30142893.869998068</v>
      </c>
      <c r="J26" s="259">
        <f t="shared" si="14"/>
        <v>30142893.869998068</v>
      </c>
      <c r="K26" s="259">
        <f t="shared" si="14"/>
        <v>30142893.869998068</v>
      </c>
      <c r="L26" s="259">
        <f t="shared" si="14"/>
        <v>29769471.540650815</v>
      </c>
      <c r="M26" s="259">
        <f t="shared" si="14"/>
        <v>303012625.60974503</v>
      </c>
      <c r="N26" s="259">
        <f t="shared" si="14"/>
        <v>35833871.071773343</v>
      </c>
      <c r="O26" s="259">
        <f t="shared" si="14"/>
        <v>30142893.869998068</v>
      </c>
      <c r="P26" s="259">
        <f t="shared" si="14"/>
        <v>45030934.375807166</v>
      </c>
      <c r="Q26" s="259">
        <f t="shared" si="10"/>
        <v>666229716.99627662</v>
      </c>
      <c r="R26" s="66">
        <f t="shared" si="11"/>
        <v>-4482678</v>
      </c>
    </row>
    <row r="27" spans="1:18" ht="20.100000000000001" customHeight="1" x14ac:dyDescent="0.2">
      <c r="A27" s="364">
        <v>20</v>
      </c>
      <c r="B27" s="266" t="s">
        <v>456</v>
      </c>
      <c r="C27" s="267" t="s">
        <v>415</v>
      </c>
      <c r="D27" s="257">
        <f>'03'!D29:D29</f>
        <v>202104717</v>
      </c>
      <c r="E27" s="362">
        <v>6910249</v>
      </c>
      <c r="F27" s="363"/>
      <c r="G27" s="362"/>
      <c r="H27" s="363"/>
      <c r="I27" s="363"/>
      <c r="J27" s="363"/>
      <c r="K27" s="363"/>
      <c r="L27" s="363"/>
      <c r="M27" s="363"/>
      <c r="N27" s="363"/>
      <c r="O27" s="363"/>
      <c r="P27" s="363"/>
      <c r="Q27" s="257">
        <f t="shared" si="10"/>
        <v>6910249</v>
      </c>
      <c r="R27" s="57">
        <f t="shared" si="11"/>
        <v>-195194468</v>
      </c>
    </row>
    <row r="28" spans="1:18" s="3" customFormat="1" ht="20.100000000000001" customHeight="1" x14ac:dyDescent="0.2">
      <c r="A28" s="365">
        <v>21</v>
      </c>
      <c r="B28" s="262" t="s">
        <v>634</v>
      </c>
      <c r="C28" s="263"/>
      <c r="D28" s="264">
        <f t="shared" ref="D28:P28" si="15">D26+D27</f>
        <v>872817111.99627662</v>
      </c>
      <c r="E28" s="264">
        <f t="shared" si="15"/>
        <v>46635464.680769175</v>
      </c>
      <c r="F28" s="264">
        <f t="shared" si="15"/>
        <v>32498143.733686682</v>
      </c>
      <c r="G28" s="264">
        <f t="shared" si="15"/>
        <v>29644985.633854024</v>
      </c>
      <c r="H28" s="264">
        <f t="shared" si="15"/>
        <v>30142893.869998068</v>
      </c>
      <c r="I28" s="264">
        <f t="shared" si="15"/>
        <v>30142893.869998068</v>
      </c>
      <c r="J28" s="264">
        <f t="shared" si="15"/>
        <v>30142893.869998068</v>
      </c>
      <c r="K28" s="264">
        <f t="shared" si="15"/>
        <v>30142893.869998068</v>
      </c>
      <c r="L28" s="264">
        <f t="shared" si="15"/>
        <v>29769471.540650815</v>
      </c>
      <c r="M28" s="264">
        <f t="shared" si="15"/>
        <v>303012625.60974503</v>
      </c>
      <c r="N28" s="264">
        <f t="shared" si="15"/>
        <v>35833871.071773343</v>
      </c>
      <c r="O28" s="264">
        <f t="shared" si="15"/>
        <v>30142893.869998068</v>
      </c>
      <c r="P28" s="264">
        <f t="shared" si="15"/>
        <v>45030934.375807166</v>
      </c>
      <c r="Q28" s="264">
        <f t="shared" si="10"/>
        <v>673139965.99627662</v>
      </c>
      <c r="R28" s="57">
        <f t="shared" si="11"/>
        <v>-199677146</v>
      </c>
    </row>
    <row r="29" spans="1:18" ht="20.100000000000001" customHeight="1" x14ac:dyDescent="0.2">
      <c r="A29" s="367">
        <v>22</v>
      </c>
      <c r="B29" s="266" t="s">
        <v>633</v>
      </c>
      <c r="C29" s="267"/>
      <c r="D29" s="257">
        <f t="shared" ref="D29:Q29" si="16">D17-D28</f>
        <v>3.7233829498291016E-3</v>
      </c>
      <c r="E29" s="257">
        <f t="shared" si="16"/>
        <v>31286751.734921798</v>
      </c>
      <c r="F29" s="257">
        <f t="shared" si="16"/>
        <v>-8470724.2041920982</v>
      </c>
      <c r="G29" s="257">
        <f t="shared" si="16"/>
        <v>35427029.971421205</v>
      </c>
      <c r="H29" s="257">
        <f t="shared" si="16"/>
        <v>-5208938.6103333384</v>
      </c>
      <c r="I29" s="257">
        <f t="shared" si="16"/>
        <v>-2927014.7810843065</v>
      </c>
      <c r="J29" s="257">
        <f t="shared" si="16"/>
        <v>-2427140.0410111435</v>
      </c>
      <c r="K29" s="257">
        <f t="shared" si="16"/>
        <v>-5972142.7194323726</v>
      </c>
      <c r="L29" s="257">
        <f t="shared" si="16"/>
        <v>-5118284.5776739419</v>
      </c>
      <c r="M29" s="257">
        <f t="shared" si="16"/>
        <v>-4673003.216691494</v>
      </c>
      <c r="N29" s="257">
        <f t="shared" si="16"/>
        <v>-11791861.300687097</v>
      </c>
      <c r="O29" s="257">
        <f t="shared" si="16"/>
        <v>-6076912.8976765238</v>
      </c>
      <c r="P29" s="257">
        <f t="shared" si="16"/>
        <v>-9565081.3538372442</v>
      </c>
      <c r="Q29" s="257">
        <f t="shared" si="16"/>
        <v>4482678.0037232637</v>
      </c>
      <c r="R29" s="57">
        <f t="shared" si="11"/>
        <v>4482677.9999998808</v>
      </c>
    </row>
    <row r="30" spans="1:18" ht="20.100000000000001" customHeight="1" x14ac:dyDescent="0.2">
      <c r="A30" s="367">
        <v>23</v>
      </c>
      <c r="B30" s="266" t="s">
        <v>632</v>
      </c>
      <c r="C30" s="267"/>
      <c r="D30" s="257">
        <f>D29</f>
        <v>3.7233829498291016E-3</v>
      </c>
      <c r="E30" s="257">
        <f t="shared" ref="E30:P30" si="17">D30+E29</f>
        <v>31286751.738645181</v>
      </c>
      <c r="F30" s="257">
        <f t="shared" si="17"/>
        <v>22816027.534453083</v>
      </c>
      <c r="G30" s="257">
        <f t="shared" si="17"/>
        <v>58243057.505874291</v>
      </c>
      <c r="H30" s="257">
        <f t="shared" si="17"/>
        <v>53034118.895540953</v>
      </c>
      <c r="I30" s="257">
        <f t="shared" si="17"/>
        <v>50107104.114456646</v>
      </c>
      <c r="J30" s="257">
        <f t="shared" si="17"/>
        <v>47679964.073445499</v>
      </c>
      <c r="K30" s="257">
        <f t="shared" si="17"/>
        <v>41707821.35401313</v>
      </c>
      <c r="L30" s="257">
        <f t="shared" si="17"/>
        <v>36589536.776339188</v>
      </c>
      <c r="M30" s="257">
        <f t="shared" si="17"/>
        <v>31916533.559647694</v>
      </c>
      <c r="N30" s="257">
        <f t="shared" si="17"/>
        <v>20124672.258960597</v>
      </c>
      <c r="O30" s="257">
        <f t="shared" si="17"/>
        <v>14047759.361284073</v>
      </c>
      <c r="P30" s="257">
        <f t="shared" si="17"/>
        <v>4482678.0074468292</v>
      </c>
      <c r="Q30" s="257">
        <f>Q29</f>
        <v>4482678.0037232637</v>
      </c>
      <c r="R30" s="57">
        <f t="shared" si="11"/>
        <v>4482677.9999998808</v>
      </c>
    </row>
  </sheetData>
  <mergeCells count="11">
    <mergeCell ref="R5:R6"/>
    <mergeCell ref="A1:Q1"/>
    <mergeCell ref="A2:Q2"/>
    <mergeCell ref="A3:Q3"/>
    <mergeCell ref="A4:Q4"/>
    <mergeCell ref="A5:A6"/>
    <mergeCell ref="B5:B6"/>
    <mergeCell ref="C5:C6"/>
    <mergeCell ref="E5:P5"/>
    <mergeCell ref="Q5:Q6"/>
    <mergeCell ref="D5:D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53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37"/>
  <sheetViews>
    <sheetView showGridLines="0" view="pageBreakPreview" zoomScale="90" zoomScaleSheetLayoutView="90" workbookViewId="0">
      <selection sqref="A1:H1"/>
    </sheetView>
  </sheetViews>
  <sheetFormatPr defaultColWidth="9.140625" defaultRowHeight="12.75" x14ac:dyDescent="0.2"/>
  <cols>
    <col min="1" max="1" width="4.7109375" style="4" customWidth="1"/>
    <col min="2" max="2" width="55.5703125" style="1" customWidth="1"/>
    <col min="3" max="3" width="6.140625" style="1" customWidth="1"/>
    <col min="4" max="4" width="13.42578125" style="1" customWidth="1"/>
    <col min="5" max="5" width="17.28515625" style="1" customWidth="1"/>
    <col min="6" max="6" width="18.140625" style="1" customWidth="1"/>
    <col min="7" max="7" width="14.42578125" style="1" customWidth="1"/>
    <col min="8" max="8" width="16.5703125" style="1" customWidth="1"/>
    <col min="9" max="16" width="2.7109375" style="1" customWidth="1"/>
    <col min="17" max="16384" width="9.140625" style="1"/>
  </cols>
  <sheetData>
    <row r="1" spans="1:8" ht="28.5" customHeight="1" x14ac:dyDescent="0.2">
      <c r="A1" s="389" t="s">
        <v>938</v>
      </c>
      <c r="B1" s="389"/>
      <c r="C1" s="389"/>
      <c r="D1" s="389"/>
      <c r="E1" s="389"/>
      <c r="F1" s="389"/>
      <c r="G1" s="389"/>
      <c r="H1" s="389"/>
    </row>
    <row r="2" spans="1:8" ht="28.5" customHeight="1" x14ac:dyDescent="0.2">
      <c r="A2" s="412" t="s">
        <v>443</v>
      </c>
      <c r="B2" s="413"/>
      <c r="C2" s="413"/>
      <c r="D2" s="413"/>
      <c r="E2" s="413"/>
      <c r="F2" s="413"/>
      <c r="G2" s="413"/>
      <c r="H2" s="413"/>
    </row>
    <row r="3" spans="1:8" ht="15" customHeight="1" x14ac:dyDescent="0.2">
      <c r="A3" s="414" t="s">
        <v>554</v>
      </c>
      <c r="B3" s="415"/>
      <c r="C3" s="415"/>
      <c r="D3" s="415"/>
      <c r="E3" s="415"/>
      <c r="F3" s="415"/>
      <c r="G3" s="415"/>
      <c r="H3" s="415"/>
    </row>
    <row r="4" spans="1:8" ht="15.95" customHeight="1" x14ac:dyDescent="0.2">
      <c r="A4" s="416" t="s">
        <v>659</v>
      </c>
      <c r="B4" s="417"/>
      <c r="C4" s="417"/>
      <c r="D4" s="417"/>
      <c r="E4" s="417"/>
      <c r="F4" s="417"/>
      <c r="G4" s="417"/>
      <c r="H4" s="417"/>
    </row>
    <row r="5" spans="1:8" ht="15.95" customHeight="1" x14ac:dyDescent="0.2">
      <c r="A5" s="418" t="s">
        <v>441</v>
      </c>
      <c r="B5" s="419" t="s">
        <v>26</v>
      </c>
      <c r="C5" s="420" t="s">
        <v>442</v>
      </c>
      <c r="D5" s="421" t="s">
        <v>856</v>
      </c>
      <c r="E5" s="421"/>
      <c r="F5" s="421"/>
      <c r="G5" s="421"/>
      <c r="H5" s="421"/>
    </row>
    <row r="6" spans="1:8" ht="39.75" customHeight="1" x14ac:dyDescent="0.2">
      <c r="A6" s="418"/>
      <c r="B6" s="419"/>
      <c r="C6" s="420"/>
      <c r="D6" s="281" t="s">
        <v>551</v>
      </c>
      <c r="E6" s="281" t="s">
        <v>550</v>
      </c>
      <c r="F6" s="281" t="s">
        <v>555</v>
      </c>
      <c r="G6" s="281" t="s">
        <v>556</v>
      </c>
      <c r="H6" s="281" t="s">
        <v>606</v>
      </c>
    </row>
    <row r="7" spans="1:8" x14ac:dyDescent="0.2">
      <c r="A7" s="279" t="s">
        <v>176</v>
      </c>
      <c r="B7" s="280" t="s">
        <v>177</v>
      </c>
      <c r="C7" s="280" t="s">
        <v>178</v>
      </c>
      <c r="D7" s="280" t="s">
        <v>175</v>
      </c>
      <c r="E7" s="280" t="s">
        <v>440</v>
      </c>
      <c r="F7" s="280" t="s">
        <v>552</v>
      </c>
      <c r="G7" s="280" t="s">
        <v>553</v>
      </c>
      <c r="H7" s="280" t="s">
        <v>567</v>
      </c>
    </row>
    <row r="8" spans="1:8" ht="20.100000000000001" customHeight="1" x14ac:dyDescent="0.2">
      <c r="A8" s="265" t="s">
        <v>0</v>
      </c>
      <c r="B8" s="274" t="s">
        <v>557</v>
      </c>
      <c r="C8" s="276" t="s">
        <v>262</v>
      </c>
      <c r="D8" s="257">
        <f t="shared" ref="D8:D14" si="0">SUM(E8:H8)</f>
        <v>247348506</v>
      </c>
      <c r="E8" s="257">
        <f>VLOOKUP($C8,'04'!$C$8:$K$254,2,FALSE)</f>
        <v>247348506</v>
      </c>
      <c r="F8" s="257">
        <f>VLOOKUP($C8,'05'!$C$8:$N$226,2,FALSE)</f>
        <v>0</v>
      </c>
      <c r="G8" s="257">
        <f>VLOOKUP($C8,'06'!$C$8:$K$229,2,FALSE)</f>
        <v>0</v>
      </c>
      <c r="H8" s="257">
        <f>VLOOKUP($C8,'07'!$C$8:$K$241,2,FALSE)</f>
        <v>0</v>
      </c>
    </row>
    <row r="9" spans="1:8" ht="20.100000000000001" customHeight="1" x14ac:dyDescent="0.2">
      <c r="A9" s="265" t="s">
        <v>1</v>
      </c>
      <c r="B9" s="274" t="s">
        <v>558</v>
      </c>
      <c r="C9" s="276" t="s">
        <v>271</v>
      </c>
      <c r="D9" s="257">
        <f t="shared" si="0"/>
        <v>234479639</v>
      </c>
      <c r="E9" s="257">
        <f>VLOOKUP($C9,'04'!$C$8:$K$254,2,FALSE)</f>
        <v>234479639</v>
      </c>
      <c r="F9" s="257">
        <f>VLOOKUP($C9,'05'!$C$8:$N$226,2,FALSE)</f>
        <v>0</v>
      </c>
      <c r="G9" s="257">
        <f>VLOOKUP($C9,'06'!$C$8:$K$229,2,FALSE)</f>
        <v>0</v>
      </c>
      <c r="H9" s="257">
        <f>VLOOKUP($C9,'07'!$C$8:$K$241,2,FALSE)</f>
        <v>0</v>
      </c>
    </row>
    <row r="10" spans="1:8" ht="20.100000000000001" customHeight="1" x14ac:dyDescent="0.2">
      <c r="A10" s="265" t="s">
        <v>2</v>
      </c>
      <c r="B10" s="274" t="s">
        <v>447</v>
      </c>
      <c r="C10" s="276" t="s">
        <v>299</v>
      </c>
      <c r="D10" s="257">
        <f t="shared" si="0"/>
        <v>110000000</v>
      </c>
      <c r="E10" s="257">
        <f>VLOOKUP($C10,'04'!$C$8:$K$254,2,FALSE)</f>
        <v>110000000</v>
      </c>
      <c r="F10" s="257">
        <f>VLOOKUP($C10,'05'!$C$8:$N$226,2,FALSE)</f>
        <v>0</v>
      </c>
      <c r="G10" s="257">
        <f>VLOOKUP($C10,'06'!$C$8:$K$229,2,FALSE)</f>
        <v>0</v>
      </c>
      <c r="H10" s="257">
        <f>VLOOKUP($C10,'07'!$C$8:$K$241,2,FALSE)</f>
        <v>0</v>
      </c>
    </row>
    <row r="11" spans="1:8" ht="20.100000000000001" customHeight="1" x14ac:dyDescent="0.2">
      <c r="A11" s="265" t="s">
        <v>3</v>
      </c>
      <c r="B11" s="272" t="s">
        <v>448</v>
      </c>
      <c r="C11" s="276" t="s">
        <v>320</v>
      </c>
      <c r="D11" s="257">
        <f t="shared" si="0"/>
        <v>38948623</v>
      </c>
      <c r="E11" s="257">
        <f>VLOOKUP($C11,'04'!$C$8:$K$254,2,FALSE)</f>
        <v>6322000</v>
      </c>
      <c r="F11" s="257">
        <f>VLOOKUP($C11,'05'!$C$8:$N$226,2,FALSE)</f>
        <v>0</v>
      </c>
      <c r="G11" s="257">
        <f>VLOOKUP($C11,'06'!$C$8:$K$229,2,FALSE)</f>
        <v>800000</v>
      </c>
      <c r="H11" s="257">
        <f>VLOOKUP($C11,'07'!$C$8:$K$241,2,FALSE)</f>
        <v>31826623</v>
      </c>
    </row>
    <row r="12" spans="1:8" ht="20.100000000000001" customHeight="1" x14ac:dyDescent="0.2">
      <c r="A12" s="265" t="s">
        <v>4</v>
      </c>
      <c r="B12" s="274" t="s">
        <v>462</v>
      </c>
      <c r="C12" s="276" t="s">
        <v>331</v>
      </c>
      <c r="D12" s="257">
        <f t="shared" si="0"/>
        <v>0</v>
      </c>
      <c r="E12" s="257">
        <f>VLOOKUP($C12,'04'!$C$8:$K$254,2,FALSE)</f>
        <v>0</v>
      </c>
      <c r="F12" s="257">
        <f>VLOOKUP($C12,'05'!$C$8:$N$226,2,FALSE)</f>
        <v>0</v>
      </c>
      <c r="G12" s="257">
        <f>VLOOKUP($C12,'06'!$C$8:$K$229,2,FALSE)</f>
        <v>0</v>
      </c>
      <c r="H12" s="257">
        <f>VLOOKUP($C12,'07'!$C$8:$K$241,2,FALSE)</f>
        <v>0</v>
      </c>
    </row>
    <row r="13" spans="1:8" ht="20.100000000000001" customHeight="1" x14ac:dyDescent="0.2">
      <c r="A13" s="265" t="s">
        <v>5</v>
      </c>
      <c r="B13" s="274" t="s">
        <v>449</v>
      </c>
      <c r="C13" s="276" t="s">
        <v>336</v>
      </c>
      <c r="D13" s="257">
        <f t="shared" si="0"/>
        <v>2738781</v>
      </c>
      <c r="E13" s="257">
        <f>VLOOKUP($C13,'04'!$C$8:$K$254,2,FALSE)</f>
        <v>2738781</v>
      </c>
      <c r="F13" s="257">
        <f>VLOOKUP($C13,'05'!$C$8:$N$226,2,FALSE)</f>
        <v>0</v>
      </c>
      <c r="G13" s="257">
        <f>VLOOKUP($C13,'06'!$C$8:$K$229,2,FALSE)</f>
        <v>0</v>
      </c>
      <c r="H13" s="257">
        <f>VLOOKUP($C13,'07'!$C$8:$K$241,2,FALSE)</f>
        <v>0</v>
      </c>
    </row>
    <row r="14" spans="1:8" ht="20.100000000000001" customHeight="1" x14ac:dyDescent="0.2">
      <c r="A14" s="265" t="s">
        <v>6</v>
      </c>
      <c r="B14" s="274" t="s">
        <v>463</v>
      </c>
      <c r="C14" s="276" t="s">
        <v>341</v>
      </c>
      <c r="D14" s="257">
        <f t="shared" si="0"/>
        <v>0</v>
      </c>
      <c r="E14" s="257">
        <f>VLOOKUP($C14,'04'!$C$8:$K$254,2,FALSE)</f>
        <v>0</v>
      </c>
      <c r="F14" s="257">
        <f>VLOOKUP($C14,'05'!$C$8:$N$226,2,FALSE)</f>
        <v>0</v>
      </c>
      <c r="G14" s="257">
        <f>VLOOKUP($C14,'06'!$C$8:$K$229,2,FALSE)</f>
        <v>0</v>
      </c>
      <c r="H14" s="257">
        <f>VLOOKUP($C14,'07'!$C$8:$K$241,2,FALSE)</f>
        <v>0</v>
      </c>
    </row>
    <row r="15" spans="1:8" s="8" customFormat="1" ht="20.100000000000001" customHeight="1" x14ac:dyDescent="0.2">
      <c r="A15" s="269" t="s">
        <v>7</v>
      </c>
      <c r="B15" s="277" t="s">
        <v>559</v>
      </c>
      <c r="C15" s="278" t="s">
        <v>342</v>
      </c>
      <c r="D15" s="259">
        <f>SUM(D8:D14)</f>
        <v>633515549</v>
      </c>
      <c r="E15" s="259">
        <f>SUM(E8:E14)</f>
        <v>600888926</v>
      </c>
      <c r="F15" s="259">
        <f>SUM(F8:F14)</f>
        <v>0</v>
      </c>
      <c r="G15" s="259">
        <f>SUM(G8:G14)</f>
        <v>800000</v>
      </c>
      <c r="H15" s="259">
        <f>SUM(H8:H14)</f>
        <v>31826623</v>
      </c>
    </row>
    <row r="16" spans="1:8" ht="20.100000000000001" customHeight="1" x14ac:dyDescent="0.2">
      <c r="A16" s="265" t="s">
        <v>8</v>
      </c>
      <c r="B16" s="266" t="s">
        <v>451</v>
      </c>
      <c r="C16" s="267" t="s">
        <v>380</v>
      </c>
      <c r="D16" s="257">
        <f>SUM(E16:H16)</f>
        <v>239301563</v>
      </c>
      <c r="E16" s="257">
        <f>VLOOKUP($C16,'04'!$C$8:$K$254,2,FALSE)</f>
        <v>44107095</v>
      </c>
      <c r="F16" s="257">
        <f>VLOOKUP($C16,'05'!$C$8:$N$226,2,FALSE)</f>
        <v>105397741</v>
      </c>
      <c r="G16" s="257">
        <f>VLOOKUP($C16,'06'!$C$8:$K$229,2,FALSE)</f>
        <v>53998281</v>
      </c>
      <c r="H16" s="257">
        <f>VLOOKUP($C16,'07'!$C$8:$K$241,2,FALSE)</f>
        <v>35798446</v>
      </c>
    </row>
    <row r="17" spans="1:13" s="9" customFormat="1" ht="20.100000000000001" customHeight="1" x14ac:dyDescent="0.2">
      <c r="A17" s="261" t="s">
        <v>9</v>
      </c>
      <c r="B17" s="84" t="s">
        <v>560</v>
      </c>
      <c r="C17" s="5"/>
      <c r="D17" s="264">
        <f>SUM(E17:H17)</f>
        <v>872817112</v>
      </c>
      <c r="E17" s="258">
        <f>SUM(E15:E16)</f>
        <v>644996021</v>
      </c>
      <c r="F17" s="258">
        <f>SUM(F15:F16)</f>
        <v>105397741</v>
      </c>
      <c r="G17" s="258">
        <f>SUM(G15:G16)</f>
        <v>54798281</v>
      </c>
      <c r="H17" s="258">
        <f>SUM(H15:H16)</f>
        <v>67625069</v>
      </c>
    </row>
    <row r="18" spans="1:13" ht="20.100000000000001" customHeight="1" x14ac:dyDescent="0.2">
      <c r="A18" s="265" t="s">
        <v>10</v>
      </c>
      <c r="B18" s="266" t="s">
        <v>562</v>
      </c>
      <c r="C18" s="267" t="s">
        <v>365</v>
      </c>
      <c r="D18" s="257"/>
      <c r="E18" s="257">
        <f>VLOOKUP($C18,'04'!$C$8:$K$254,2,FALSE)</f>
        <v>0</v>
      </c>
      <c r="F18" s="257">
        <f>VLOOKUP($C18,'05'!$C$8:$N$226,2,FALSE)</f>
        <v>105397741</v>
      </c>
      <c r="G18" s="257">
        <f>VLOOKUP($C18,'06'!$C$8:$K$229,2,FALSE)</f>
        <v>53998281</v>
      </c>
      <c r="H18" s="257">
        <f>VLOOKUP($C18,'07'!$C$8:$K$241,2,FALSE)</f>
        <v>35798446</v>
      </c>
      <c r="I18" s="409">
        <f>SUM(E18:H18)</f>
        <v>195194468</v>
      </c>
      <c r="J18" s="410"/>
      <c r="K18" s="410"/>
      <c r="L18" s="410"/>
      <c r="M18" s="411"/>
    </row>
    <row r="19" spans="1:13" s="9" customFormat="1" ht="20.100000000000001" customHeight="1" x14ac:dyDescent="0.2">
      <c r="A19" s="261" t="s">
        <v>11</v>
      </c>
      <c r="B19" s="84" t="s">
        <v>565</v>
      </c>
      <c r="C19" s="5"/>
      <c r="D19" s="264"/>
      <c r="E19" s="258">
        <f>E17+E18</f>
        <v>644996021</v>
      </c>
      <c r="F19" s="258">
        <f t="shared" ref="F19" si="1">F17+F18</f>
        <v>210795482</v>
      </c>
      <c r="G19" s="258">
        <f t="shared" ref="G19" si="2">G17+G18</f>
        <v>108796562</v>
      </c>
      <c r="H19" s="258">
        <f t="shared" ref="H19" si="3">H17+H18</f>
        <v>103423515</v>
      </c>
    </row>
    <row r="20" spans="1:13" ht="20.100000000000001" customHeight="1" x14ac:dyDescent="0.2">
      <c r="A20" s="265" t="s">
        <v>12</v>
      </c>
      <c r="B20" s="275" t="s">
        <v>452</v>
      </c>
      <c r="C20" s="268" t="s">
        <v>32</v>
      </c>
      <c r="D20" s="257">
        <f t="shared" ref="D20:D30" si="4">SUM(E20:H20)</f>
        <v>196475249.02127659</v>
      </c>
      <c r="E20" s="257">
        <f>VLOOKUP($C20,'04'!$C$8:$K$254,2,FALSE)</f>
        <v>50413916.021276593</v>
      </c>
      <c r="F20" s="257">
        <f>VLOOKUP($C20,'05'!$C$8:$N$226,2,FALSE)</f>
        <v>80853881</v>
      </c>
      <c r="G20" s="257">
        <f>VLOOKUP($C20,'06'!$C$8:$K$229,2,FALSE)</f>
        <v>43043452</v>
      </c>
      <c r="H20" s="257">
        <f>VLOOKUP($C20,'07'!$C$8:$K$241,2,FALSE)</f>
        <v>22164000</v>
      </c>
    </row>
    <row r="21" spans="1:13" ht="20.100000000000001" customHeight="1" x14ac:dyDescent="0.2">
      <c r="A21" s="265" t="s">
        <v>13</v>
      </c>
      <c r="B21" s="274" t="s">
        <v>24</v>
      </c>
      <c r="C21" s="268" t="s">
        <v>52</v>
      </c>
      <c r="D21" s="257">
        <f t="shared" si="4"/>
        <v>36723886.975000001</v>
      </c>
      <c r="E21" s="257">
        <f>VLOOKUP($C21,'04'!$C$8:$K$254,2,FALSE)</f>
        <v>9370146.9749999996</v>
      </c>
      <c r="F21" s="257">
        <f>VLOOKUP($C21,'05'!$C$8:$N$226,2,FALSE)</f>
        <v>15409103</v>
      </c>
      <c r="G21" s="257">
        <f>VLOOKUP($C21,'06'!$C$8:$K$229,2,FALSE)</f>
        <v>7834037</v>
      </c>
      <c r="H21" s="257">
        <f>VLOOKUP($C21,'07'!$C$8:$K$241,2,FALSE)</f>
        <v>4110600</v>
      </c>
    </row>
    <row r="22" spans="1:13" ht="20.100000000000001" customHeight="1" x14ac:dyDescent="0.2">
      <c r="A22" s="265" t="s">
        <v>14</v>
      </c>
      <c r="B22" s="274" t="s">
        <v>453</v>
      </c>
      <c r="C22" s="268" t="s">
        <v>57</v>
      </c>
      <c r="D22" s="257">
        <f t="shared" si="4"/>
        <v>132873199</v>
      </c>
      <c r="E22" s="257">
        <f>VLOOKUP($C22,'04'!$C$8:$K$254,2,FALSE)</f>
        <v>78467181</v>
      </c>
      <c r="F22" s="257">
        <f>VLOOKUP($C22,'05'!$C$8:$N$226,2,FALSE)</f>
        <v>9134757</v>
      </c>
      <c r="G22" s="257">
        <f>VLOOKUP($C22,'06'!$C$8:$K$229,2,FALSE)</f>
        <v>3920792</v>
      </c>
      <c r="H22" s="257">
        <f>VLOOKUP($C22,'07'!$C$8:$K$241,2,FALSE)</f>
        <v>41350469</v>
      </c>
    </row>
    <row r="23" spans="1:13" ht="20.100000000000001" customHeight="1" x14ac:dyDescent="0.2">
      <c r="A23" s="265" t="s">
        <v>15</v>
      </c>
      <c r="B23" s="272" t="s">
        <v>454</v>
      </c>
      <c r="C23" s="268" t="s">
        <v>58</v>
      </c>
      <c r="D23" s="257">
        <f t="shared" si="4"/>
        <v>1600000</v>
      </c>
      <c r="E23" s="257">
        <f>VLOOKUP($C23,'04'!$C$8:$K$254,2,FALSE)</f>
        <v>1600000</v>
      </c>
      <c r="F23" s="257">
        <f>VLOOKUP($C23,'05'!$C$8:$N$226,2,FALSE)</f>
        <v>0</v>
      </c>
      <c r="G23" s="257">
        <f>VLOOKUP($C23,'06'!$C$8:$K$229,2,FALSE)</f>
        <v>0</v>
      </c>
      <c r="H23" s="257">
        <f>VLOOKUP($C23,'07'!$C$8:$K$241,2,FALSE)</f>
        <v>0</v>
      </c>
    </row>
    <row r="24" spans="1:13" ht="20.100000000000001" customHeight="1" x14ac:dyDescent="0.2">
      <c r="A24" s="265" t="s">
        <v>53</v>
      </c>
      <c r="B24" s="272" t="s">
        <v>455</v>
      </c>
      <c r="C24" s="268" t="s">
        <v>59</v>
      </c>
      <c r="D24" s="257">
        <f t="shared" si="4"/>
        <v>13676690</v>
      </c>
      <c r="E24" s="257">
        <f>VLOOKUP($C24,'04'!$C$8:$K$254,2,FALSE)</f>
        <v>13676690</v>
      </c>
      <c r="F24" s="257">
        <f>VLOOKUP($C24,'05'!$C$8:$N$226,2,FALSE)</f>
        <v>0</v>
      </c>
      <c r="G24" s="257">
        <f>VLOOKUP($C24,'06'!$C$8:$K$229,2,FALSE)</f>
        <v>0</v>
      </c>
      <c r="H24" s="257">
        <f>VLOOKUP($C24,'07'!$C$8:$K$241,2,FALSE)</f>
        <v>0</v>
      </c>
    </row>
    <row r="25" spans="1:13" ht="20.100000000000001" customHeight="1" x14ac:dyDescent="0.2">
      <c r="A25" s="265" t="s">
        <v>54</v>
      </c>
      <c r="B25" s="273" t="s">
        <v>464</v>
      </c>
      <c r="C25" s="268" t="s">
        <v>60</v>
      </c>
      <c r="D25" s="257">
        <f t="shared" si="4"/>
        <v>24206310</v>
      </c>
      <c r="E25" s="257">
        <f>VLOOKUP($C25,'04'!$C$8:$K$254,2,FALSE)</f>
        <v>24206310</v>
      </c>
      <c r="F25" s="257">
        <f>VLOOKUP($C25,'05'!$C$8:$N$226,2,FALSE)</f>
        <v>0</v>
      </c>
      <c r="G25" s="257">
        <f>VLOOKUP($C25,'06'!$C$8:$K$229,2,FALSE)</f>
        <v>0</v>
      </c>
      <c r="H25" s="257">
        <f>VLOOKUP($C25,'07'!$C$8:$K$241,2,FALSE)</f>
        <v>0</v>
      </c>
    </row>
    <row r="26" spans="1:13" ht="20.100000000000001" customHeight="1" x14ac:dyDescent="0.2">
      <c r="A26" s="265" t="s">
        <v>55</v>
      </c>
      <c r="B26" s="272" t="s">
        <v>465</v>
      </c>
      <c r="C26" s="268" t="s">
        <v>61</v>
      </c>
      <c r="D26" s="257">
        <f t="shared" si="4"/>
        <v>265157060</v>
      </c>
      <c r="E26" s="257">
        <f>VLOOKUP($C26,'04'!$C$8:$K$254,2,FALSE)</f>
        <v>265157060</v>
      </c>
      <c r="F26" s="257">
        <f>VLOOKUP($C26,'05'!$C$8:$N$226,2,FALSE)</f>
        <v>0</v>
      </c>
      <c r="G26" s="257">
        <f>VLOOKUP($C26,'06'!$C$8:$K$229,2,FALSE)</f>
        <v>0</v>
      </c>
      <c r="H26" s="257">
        <f>VLOOKUP($C26,'07'!$C$8:$K$241,2,FALSE)</f>
        <v>0</v>
      </c>
    </row>
    <row r="27" spans="1:13" ht="20.100000000000001" customHeight="1" x14ac:dyDescent="0.2">
      <c r="A27" s="265" t="s">
        <v>56</v>
      </c>
      <c r="B27" s="272" t="s">
        <v>466</v>
      </c>
      <c r="C27" s="268" t="s">
        <v>62</v>
      </c>
      <c r="D27" s="257">
        <f t="shared" si="4"/>
        <v>0</v>
      </c>
      <c r="E27" s="257">
        <f>VLOOKUP($C27,'04'!$C$8:$K$254,2,FALSE)</f>
        <v>0</v>
      </c>
      <c r="F27" s="257">
        <f>VLOOKUP($C27,'05'!$C$8:$N$226,2,FALSE)</f>
        <v>0</v>
      </c>
      <c r="G27" s="257">
        <f>VLOOKUP($C27,'06'!$C$8:$K$229,2,FALSE)</f>
        <v>0</v>
      </c>
      <c r="H27" s="257">
        <f>VLOOKUP($C27,'07'!$C$8:$K$241,2,FALSE)</f>
        <v>0</v>
      </c>
    </row>
    <row r="28" spans="1:13" s="8" customFormat="1" ht="20.100000000000001" customHeight="1" x14ac:dyDescent="0.2">
      <c r="A28" s="269" t="s">
        <v>106</v>
      </c>
      <c r="B28" s="270" t="s">
        <v>563</v>
      </c>
      <c r="C28" s="271" t="s">
        <v>174</v>
      </c>
      <c r="D28" s="259">
        <f t="shared" si="4"/>
        <v>670712394.99627662</v>
      </c>
      <c r="E28" s="259">
        <f>SUM(E20:E27)</f>
        <v>442891303.99627662</v>
      </c>
      <c r="F28" s="259">
        <f>SUM(F20:F27)</f>
        <v>105397741</v>
      </c>
      <c r="G28" s="259">
        <f>SUM(G20:G27)</f>
        <v>54798281</v>
      </c>
      <c r="H28" s="259">
        <f>SUM(H20:H27)</f>
        <v>67625069</v>
      </c>
    </row>
    <row r="29" spans="1:13" ht="20.100000000000001" customHeight="1" x14ac:dyDescent="0.2">
      <c r="A29" s="265" t="s">
        <v>107</v>
      </c>
      <c r="B29" s="266" t="s">
        <v>456</v>
      </c>
      <c r="C29" s="267" t="s">
        <v>415</v>
      </c>
      <c r="D29" s="257">
        <f t="shared" si="4"/>
        <v>202104717</v>
      </c>
      <c r="E29" s="257">
        <f>VLOOKUP($C29,'04'!$C$8:$K$254,2,FALSE)</f>
        <v>202104717</v>
      </c>
      <c r="F29" s="257">
        <f>VLOOKUP($C29,'05'!$C$8:$N$226,2,FALSE)</f>
        <v>0</v>
      </c>
      <c r="G29" s="257">
        <f>VLOOKUP($C29,'06'!$C$8:$K$229,2,FALSE)</f>
        <v>0</v>
      </c>
      <c r="H29" s="257">
        <f>VLOOKUP($C29,'07'!$C$8:$K$241,2,FALSE)</f>
        <v>0</v>
      </c>
    </row>
    <row r="30" spans="1:13" s="23" customFormat="1" ht="20.100000000000001" customHeight="1" x14ac:dyDescent="0.2">
      <c r="A30" s="261" t="s">
        <v>179</v>
      </c>
      <c r="B30" s="262" t="s">
        <v>564</v>
      </c>
      <c r="C30" s="263"/>
      <c r="D30" s="264">
        <f t="shared" si="4"/>
        <v>872817111.99627662</v>
      </c>
      <c r="E30" s="264">
        <f>SUM(E28:E29)</f>
        <v>644996020.99627662</v>
      </c>
      <c r="F30" s="264">
        <f>SUM(F28:F29)</f>
        <v>105397741</v>
      </c>
      <c r="G30" s="264">
        <f>SUM(G28:G29)</f>
        <v>54798281</v>
      </c>
      <c r="H30" s="264">
        <f>SUM(H28:H29)</f>
        <v>67625069</v>
      </c>
    </row>
    <row r="31" spans="1:13" ht="20.100000000000001" customHeight="1" x14ac:dyDescent="0.2">
      <c r="A31" s="265" t="s">
        <v>180</v>
      </c>
      <c r="B31" s="266" t="s">
        <v>561</v>
      </c>
      <c r="C31" s="267" t="s">
        <v>398</v>
      </c>
      <c r="D31" s="257"/>
      <c r="E31" s="257">
        <f>VLOOKUP($C31,'04'!$C$8:$K$254,2,FALSE)</f>
        <v>195194468</v>
      </c>
      <c r="F31" s="257">
        <f>VLOOKUP($C31,'05'!$C$8:$N$226,2,FALSE)</f>
        <v>0</v>
      </c>
      <c r="G31" s="257">
        <f>VLOOKUP($C31,'06'!$C$8:$K$229,2,FALSE)</f>
        <v>0</v>
      </c>
      <c r="H31" s="257">
        <f>VLOOKUP($C31,'07'!$C$8:$K$241,2,FALSE)</f>
        <v>0</v>
      </c>
      <c r="I31" s="409">
        <f>SUM(E31:H31)</f>
        <v>195194468</v>
      </c>
      <c r="J31" s="410"/>
      <c r="K31" s="410"/>
      <c r="L31" s="410"/>
      <c r="M31" s="411"/>
    </row>
    <row r="32" spans="1:13" s="23" customFormat="1" ht="20.100000000000001" customHeight="1" x14ac:dyDescent="0.2">
      <c r="A32" s="261" t="s">
        <v>181</v>
      </c>
      <c r="B32" s="262" t="s">
        <v>566</v>
      </c>
      <c r="C32" s="263"/>
      <c r="D32" s="264"/>
      <c r="E32" s="264">
        <f>SUM(E30:E31)</f>
        <v>840190488.99627662</v>
      </c>
      <c r="F32" s="264">
        <f>SUM(F30:F31)</f>
        <v>105397741</v>
      </c>
      <c r="G32" s="264">
        <f>SUM(G30:G31)</f>
        <v>54798281</v>
      </c>
      <c r="H32" s="264">
        <f>SUM(H30:H31)</f>
        <v>67625069</v>
      </c>
    </row>
    <row r="37" spans="3:8" x14ac:dyDescent="0.2">
      <c r="C37" s="187"/>
      <c r="D37" s="260"/>
      <c r="E37" s="260"/>
      <c r="F37" s="260"/>
      <c r="G37" s="102"/>
      <c r="H37" s="260"/>
    </row>
  </sheetData>
  <sheetProtection password="C58E" sheet="1" formatCells="0" formatColumns="0" formatRows="0" insertColumns="0" insertRows="0" insertHyperlinks="0" deleteColumns="0" deleteRows="0" sort="0" autoFilter="0" pivotTables="0"/>
  <mergeCells count="10">
    <mergeCell ref="I31:M31"/>
    <mergeCell ref="I18:M18"/>
    <mergeCell ref="A1:H1"/>
    <mergeCell ref="A2:H2"/>
    <mergeCell ref="A3:H3"/>
    <mergeCell ref="A4:H4"/>
    <mergeCell ref="A5:A6"/>
    <mergeCell ref="B5:B6"/>
    <mergeCell ref="C5:C6"/>
    <mergeCell ref="D5:H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L256"/>
  <sheetViews>
    <sheetView showGridLines="0" view="pageBreakPreview" zoomScale="95" zoomScaleNormal="100" zoomScaleSheetLayoutView="95" workbookViewId="0">
      <pane xSplit="2" ySplit="7" topLeftCell="C134" activePane="bottomRight" state="frozen"/>
      <selection activeCell="BI1" sqref="BI1"/>
      <selection pane="topRight" activeCell="BI1" sqref="BI1"/>
      <selection pane="bottomLeft" activeCell="BI1" sqref="BI1"/>
      <selection pane="bottomRight" sqref="A1:K1"/>
    </sheetView>
  </sheetViews>
  <sheetFormatPr defaultColWidth="9.140625" defaultRowHeight="12.75" x14ac:dyDescent="0.2"/>
  <cols>
    <col min="1" max="1" width="4.42578125" style="4" customWidth="1"/>
    <col min="2" max="2" width="62" style="1" customWidth="1"/>
    <col min="3" max="3" width="7.85546875" style="1" customWidth="1"/>
    <col min="4" max="4" width="13.140625" style="1" customWidth="1"/>
    <col min="5" max="5" width="13" style="1" customWidth="1"/>
    <col min="6" max="6" width="10.28515625" style="1" customWidth="1"/>
    <col min="7" max="7" width="8.42578125" style="1" customWidth="1"/>
    <col min="8" max="8" width="7.7109375" style="1" customWidth="1"/>
    <col min="9" max="9" width="9.7109375" style="1" customWidth="1"/>
    <col min="10" max="10" width="13" style="1" customWidth="1"/>
    <col min="11" max="11" width="8.5703125" style="1" customWidth="1"/>
    <col min="12" max="14" width="2.7109375" style="1" customWidth="1"/>
    <col min="15" max="15" width="3" style="1" customWidth="1"/>
    <col min="16" max="20" width="2.7109375" style="1" customWidth="1"/>
    <col min="21" max="16384" width="9.140625" style="1"/>
  </cols>
  <sheetData>
    <row r="1" spans="1:12" ht="28.5" customHeight="1" x14ac:dyDescent="0.2">
      <c r="A1" s="423" t="s">
        <v>939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2" ht="28.5" customHeight="1" x14ac:dyDescent="0.2">
      <c r="A2" s="424" t="s">
        <v>475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</row>
    <row r="3" spans="1:12" ht="15" customHeight="1" x14ac:dyDescent="0.2">
      <c r="A3" s="414" t="s">
        <v>474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2" ht="15.95" customHeight="1" x14ac:dyDescent="0.2">
      <c r="A4" s="416" t="s">
        <v>659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2"/>
    </row>
    <row r="5" spans="1:12" ht="15.95" customHeight="1" x14ac:dyDescent="0.2">
      <c r="A5" s="418" t="s">
        <v>441</v>
      </c>
      <c r="B5" s="419" t="s">
        <v>26</v>
      </c>
      <c r="C5" s="420" t="s">
        <v>442</v>
      </c>
      <c r="D5" s="421" t="s">
        <v>469</v>
      </c>
      <c r="E5" s="421"/>
      <c r="F5" s="426" t="s">
        <v>661</v>
      </c>
      <c r="G5" s="427"/>
      <c r="H5" s="427"/>
      <c r="I5" s="427"/>
      <c r="J5" s="422" t="s">
        <v>438</v>
      </c>
      <c r="K5" s="422" t="s">
        <v>439</v>
      </c>
      <c r="L5" s="2"/>
    </row>
    <row r="6" spans="1:12" ht="39.75" customHeight="1" x14ac:dyDescent="0.2">
      <c r="A6" s="418"/>
      <c r="B6" s="419"/>
      <c r="C6" s="420"/>
      <c r="D6" s="281" t="s">
        <v>467</v>
      </c>
      <c r="E6" s="281" t="s">
        <v>468</v>
      </c>
      <c r="F6" s="337" t="s">
        <v>470</v>
      </c>
      <c r="G6" s="337" t="s">
        <v>473</v>
      </c>
      <c r="H6" s="337" t="s">
        <v>471</v>
      </c>
      <c r="I6" s="337" t="s">
        <v>472</v>
      </c>
      <c r="J6" s="422"/>
      <c r="K6" s="422"/>
    </row>
    <row r="7" spans="1:12" x14ac:dyDescent="0.2">
      <c r="A7" s="279" t="s">
        <v>176</v>
      </c>
      <c r="B7" s="280" t="s">
        <v>177</v>
      </c>
      <c r="C7" s="280" t="s">
        <v>178</v>
      </c>
      <c r="D7" s="280" t="s">
        <v>175</v>
      </c>
      <c r="E7" s="280" t="s">
        <v>440</v>
      </c>
      <c r="F7" s="280" t="s">
        <v>552</v>
      </c>
      <c r="G7" s="280" t="s">
        <v>553</v>
      </c>
      <c r="H7" s="280" t="s">
        <v>567</v>
      </c>
      <c r="I7" s="280" t="s">
        <v>568</v>
      </c>
      <c r="J7" s="280" t="s">
        <v>569</v>
      </c>
      <c r="K7" s="280" t="s">
        <v>570</v>
      </c>
    </row>
    <row r="8" spans="1:12" ht="20.100000000000001" customHeight="1" x14ac:dyDescent="0.2">
      <c r="A8" s="265" t="s">
        <v>0</v>
      </c>
      <c r="B8" s="307" t="s">
        <v>242</v>
      </c>
      <c r="C8" s="276" t="s">
        <v>243</v>
      </c>
      <c r="D8" s="304">
        <f>SUM(D9:D13)</f>
        <v>70655669</v>
      </c>
      <c r="E8" s="376">
        <f>SUM(E9:E13)</f>
        <v>70655669</v>
      </c>
      <c r="F8" s="309"/>
      <c r="G8" s="297" t="s">
        <v>660</v>
      </c>
      <c r="H8" s="304"/>
      <c r="I8" s="297" t="s">
        <v>660</v>
      </c>
      <c r="J8" s="309">
        <v>84453112</v>
      </c>
      <c r="K8" s="234">
        <f>IF(E8&gt;0,J8/E8,"n.é.")</f>
        <v>1.1952772253844204</v>
      </c>
    </row>
    <row r="9" spans="1:12" s="6" customFormat="1" ht="20.100000000000001" customHeight="1" x14ac:dyDescent="0.2">
      <c r="A9" s="293" t="s">
        <v>476</v>
      </c>
      <c r="B9" s="294" t="s">
        <v>477</v>
      </c>
      <c r="C9" s="295" t="s">
        <v>476</v>
      </c>
      <c r="D9" s="296">
        <v>61738400</v>
      </c>
      <c r="E9" s="377">
        <v>61738400</v>
      </c>
      <c r="F9" s="297" t="s">
        <v>660</v>
      </c>
      <c r="G9" s="297" t="s">
        <v>660</v>
      </c>
      <c r="H9" s="297" t="s">
        <v>660</v>
      </c>
      <c r="I9" s="297" t="s">
        <v>660</v>
      </c>
      <c r="J9" s="297" t="s">
        <v>660</v>
      </c>
      <c r="K9" s="308" t="s">
        <v>662</v>
      </c>
    </row>
    <row r="10" spans="1:12" s="6" customFormat="1" ht="20.100000000000001" customHeight="1" x14ac:dyDescent="0.2">
      <c r="A10" s="293" t="s">
        <v>476</v>
      </c>
      <c r="B10" s="294" t="s">
        <v>478</v>
      </c>
      <c r="C10" s="295" t="s">
        <v>476</v>
      </c>
      <c r="D10" s="296">
        <v>8707069</v>
      </c>
      <c r="E10" s="377">
        <v>8707069</v>
      </c>
      <c r="F10" s="297" t="s">
        <v>660</v>
      </c>
      <c r="G10" s="297" t="s">
        <v>660</v>
      </c>
      <c r="H10" s="297" t="s">
        <v>660</v>
      </c>
      <c r="I10" s="297" t="s">
        <v>660</v>
      </c>
      <c r="J10" s="297" t="s">
        <v>660</v>
      </c>
      <c r="K10" s="308" t="s">
        <v>662</v>
      </c>
    </row>
    <row r="11" spans="1:12" s="6" customFormat="1" ht="20.100000000000001" customHeight="1" x14ac:dyDescent="0.2">
      <c r="A11" s="293" t="s">
        <v>476</v>
      </c>
      <c r="B11" s="294" t="s">
        <v>479</v>
      </c>
      <c r="C11" s="295" t="s">
        <v>476</v>
      </c>
      <c r="D11" s="296"/>
      <c r="E11" s="377"/>
      <c r="F11" s="297" t="s">
        <v>660</v>
      </c>
      <c r="G11" s="297" t="s">
        <v>660</v>
      </c>
      <c r="H11" s="297" t="s">
        <v>660</v>
      </c>
      <c r="I11" s="297" t="s">
        <v>660</v>
      </c>
      <c r="J11" s="297" t="s">
        <v>660</v>
      </c>
      <c r="K11" s="308" t="s">
        <v>662</v>
      </c>
    </row>
    <row r="12" spans="1:12" s="6" customFormat="1" ht="20.100000000000001" customHeight="1" x14ac:dyDescent="0.2">
      <c r="A12" s="293" t="s">
        <v>476</v>
      </c>
      <c r="B12" s="294" t="s">
        <v>664</v>
      </c>
      <c r="C12" s="295" t="s">
        <v>476</v>
      </c>
      <c r="D12" s="296"/>
      <c r="E12" s="377"/>
      <c r="F12" s="297" t="s">
        <v>660</v>
      </c>
      <c r="G12" s="297" t="s">
        <v>660</v>
      </c>
      <c r="H12" s="297" t="s">
        <v>660</v>
      </c>
      <c r="I12" s="297" t="s">
        <v>660</v>
      </c>
      <c r="J12" s="297" t="s">
        <v>660</v>
      </c>
      <c r="K12" s="308" t="s">
        <v>662</v>
      </c>
    </row>
    <row r="13" spans="1:12" s="6" customFormat="1" ht="20.100000000000001" customHeight="1" x14ac:dyDescent="0.2">
      <c r="A13" s="293" t="s">
        <v>476</v>
      </c>
      <c r="B13" s="294" t="s">
        <v>889</v>
      </c>
      <c r="C13" s="295" t="s">
        <v>476</v>
      </c>
      <c r="D13" s="296">
        <v>210200</v>
      </c>
      <c r="E13" s="377">
        <v>210200</v>
      </c>
      <c r="F13" s="297" t="s">
        <v>660</v>
      </c>
      <c r="G13" s="297" t="s">
        <v>660</v>
      </c>
      <c r="H13" s="297" t="s">
        <v>660</v>
      </c>
      <c r="I13" s="297" t="s">
        <v>660</v>
      </c>
      <c r="J13" s="297" t="s">
        <v>660</v>
      </c>
      <c r="K13" s="308" t="s">
        <v>662</v>
      </c>
    </row>
    <row r="14" spans="1:12" ht="26.25" customHeight="1" x14ac:dyDescent="0.2">
      <c r="A14" s="265" t="s">
        <v>1</v>
      </c>
      <c r="B14" s="272" t="s">
        <v>244</v>
      </c>
      <c r="C14" s="276" t="s">
        <v>245</v>
      </c>
      <c r="D14" s="304">
        <f>SUM(D15:D16)</f>
        <v>50845400</v>
      </c>
      <c r="E14" s="376">
        <f>SUM(E15:E16)</f>
        <v>51982680</v>
      </c>
      <c r="F14" s="309"/>
      <c r="G14" s="297" t="s">
        <v>660</v>
      </c>
      <c r="H14" s="304"/>
      <c r="I14" s="297" t="s">
        <v>660</v>
      </c>
      <c r="J14" s="309">
        <v>49069604</v>
      </c>
      <c r="K14" s="234">
        <f>IF(E14&gt;0,J14/E14,"n.é.")</f>
        <v>0.94396064227546561</v>
      </c>
    </row>
    <row r="15" spans="1:12" s="6" customFormat="1" ht="20.100000000000001" customHeight="1" x14ac:dyDescent="0.2">
      <c r="A15" s="293" t="s">
        <v>476</v>
      </c>
      <c r="B15" s="294" t="s">
        <v>480</v>
      </c>
      <c r="C15" s="295" t="s">
        <v>476</v>
      </c>
      <c r="D15" s="296">
        <f>31474800+7200000+4371500+396700</f>
        <v>43443000</v>
      </c>
      <c r="E15" s="377">
        <f>43443000+1137280</f>
        <v>44580280</v>
      </c>
      <c r="F15" s="297" t="s">
        <v>660</v>
      </c>
      <c r="G15" s="297" t="s">
        <v>660</v>
      </c>
      <c r="H15" s="297" t="s">
        <v>660</v>
      </c>
      <c r="I15" s="297" t="s">
        <v>660</v>
      </c>
      <c r="J15" s="297" t="s">
        <v>660</v>
      </c>
      <c r="K15" s="308" t="s">
        <v>662</v>
      </c>
    </row>
    <row r="16" spans="1:12" s="6" customFormat="1" ht="20.100000000000001" customHeight="1" x14ac:dyDescent="0.2">
      <c r="A16" s="293" t="s">
        <v>476</v>
      </c>
      <c r="B16" s="294" t="s">
        <v>481</v>
      </c>
      <c r="C16" s="295" t="s">
        <v>476</v>
      </c>
      <c r="D16" s="296">
        <v>7402400</v>
      </c>
      <c r="E16" s="377">
        <v>7402400</v>
      </c>
      <c r="F16" s="297" t="s">
        <v>660</v>
      </c>
      <c r="G16" s="297" t="s">
        <v>660</v>
      </c>
      <c r="H16" s="297" t="s">
        <v>660</v>
      </c>
      <c r="I16" s="297" t="s">
        <v>660</v>
      </c>
      <c r="J16" s="297" t="s">
        <v>660</v>
      </c>
      <c r="K16" s="308" t="s">
        <v>662</v>
      </c>
    </row>
    <row r="17" spans="1:11" ht="20.100000000000001" customHeight="1" x14ac:dyDescent="0.2">
      <c r="A17" s="265" t="s">
        <v>2</v>
      </c>
      <c r="B17" s="272" t="s">
        <v>246</v>
      </c>
      <c r="C17" s="276" t="s">
        <v>247</v>
      </c>
      <c r="D17" s="304">
        <f>SUM(D18:D24)</f>
        <v>45305545</v>
      </c>
      <c r="E17" s="376">
        <f>SUM(E18:E24)</f>
        <v>47090122</v>
      </c>
      <c r="F17" s="309"/>
      <c r="G17" s="297" t="s">
        <v>660</v>
      </c>
      <c r="H17" s="304"/>
      <c r="I17" s="297" t="s">
        <v>660</v>
      </c>
      <c r="J17" s="309">
        <v>43315883</v>
      </c>
      <c r="K17" s="234">
        <f>IF(E17&gt;0,J17/E17,"n.é.")</f>
        <v>0.91985072792973444</v>
      </c>
    </row>
    <row r="18" spans="1:11" s="6" customFormat="1" ht="20.100000000000001" customHeight="1" x14ac:dyDescent="0.2">
      <c r="A18" s="293" t="s">
        <v>476</v>
      </c>
      <c r="B18" s="294" t="s">
        <v>665</v>
      </c>
      <c r="C18" s="295" t="s">
        <v>476</v>
      </c>
      <c r="D18" s="296">
        <v>9281000</v>
      </c>
      <c r="E18" s="377">
        <v>9281000</v>
      </c>
      <c r="F18" s="297" t="s">
        <v>660</v>
      </c>
      <c r="G18" s="297" t="s">
        <v>660</v>
      </c>
      <c r="H18" s="297" t="s">
        <v>660</v>
      </c>
      <c r="I18" s="297" t="s">
        <v>660</v>
      </c>
      <c r="J18" s="297" t="s">
        <v>660</v>
      </c>
      <c r="K18" s="308" t="s">
        <v>662</v>
      </c>
    </row>
    <row r="19" spans="1:11" s="6" customFormat="1" ht="20.100000000000001" customHeight="1" x14ac:dyDescent="0.2">
      <c r="A19" s="293" t="s">
        <v>476</v>
      </c>
      <c r="B19" s="294" t="s">
        <v>482</v>
      </c>
      <c r="C19" s="295" t="s">
        <v>476</v>
      </c>
      <c r="D19" s="296">
        <v>1176480</v>
      </c>
      <c r="E19" s="377">
        <v>1176480</v>
      </c>
      <c r="F19" s="297" t="s">
        <v>660</v>
      </c>
      <c r="G19" s="297" t="s">
        <v>660</v>
      </c>
      <c r="H19" s="297" t="s">
        <v>660</v>
      </c>
      <c r="I19" s="297" t="s">
        <v>660</v>
      </c>
      <c r="J19" s="297" t="s">
        <v>660</v>
      </c>
      <c r="K19" s="308" t="s">
        <v>662</v>
      </c>
    </row>
    <row r="20" spans="1:11" s="6" customFormat="1" ht="20.100000000000001" customHeight="1" x14ac:dyDescent="0.2">
      <c r="A20" s="293" t="s">
        <v>476</v>
      </c>
      <c r="B20" s="294" t="s">
        <v>929</v>
      </c>
      <c r="C20" s="138"/>
      <c r="D20" s="139"/>
      <c r="E20" s="377">
        <v>3541667</v>
      </c>
      <c r="F20" s="137"/>
      <c r="G20" s="137"/>
      <c r="H20" s="137"/>
      <c r="I20" s="137"/>
      <c r="J20" s="137"/>
      <c r="K20" s="136"/>
    </row>
    <row r="21" spans="1:11" s="6" customFormat="1" ht="20.100000000000001" customHeight="1" x14ac:dyDescent="0.2">
      <c r="A21" s="293" t="s">
        <v>476</v>
      </c>
      <c r="B21" s="294" t="s">
        <v>865</v>
      </c>
      <c r="C21" s="295" t="s">
        <v>476</v>
      </c>
      <c r="D21" s="296">
        <v>2800000</v>
      </c>
      <c r="E21" s="377">
        <v>2800000</v>
      </c>
      <c r="F21" s="297" t="s">
        <v>660</v>
      </c>
      <c r="G21" s="297" t="s">
        <v>660</v>
      </c>
      <c r="H21" s="297" t="s">
        <v>660</v>
      </c>
      <c r="I21" s="297" t="s">
        <v>660</v>
      </c>
      <c r="J21" s="297" t="s">
        <v>660</v>
      </c>
      <c r="K21" s="308" t="s">
        <v>662</v>
      </c>
    </row>
    <row r="22" spans="1:11" s="6" customFormat="1" ht="20.100000000000001" customHeight="1" x14ac:dyDescent="0.2">
      <c r="A22" s="293" t="s">
        <v>476</v>
      </c>
      <c r="B22" s="294" t="s">
        <v>483</v>
      </c>
      <c r="C22" s="295" t="s">
        <v>476</v>
      </c>
      <c r="D22" s="296">
        <v>31183310</v>
      </c>
      <c r="E22" s="377">
        <f>31183310-1760000</f>
        <v>29423310</v>
      </c>
      <c r="F22" s="297" t="s">
        <v>660</v>
      </c>
      <c r="G22" s="297" t="s">
        <v>660</v>
      </c>
      <c r="H22" s="297" t="s">
        <v>660</v>
      </c>
      <c r="I22" s="297" t="s">
        <v>660</v>
      </c>
      <c r="J22" s="297" t="s">
        <v>660</v>
      </c>
      <c r="K22" s="308" t="s">
        <v>662</v>
      </c>
    </row>
    <row r="23" spans="1:11" s="6" customFormat="1" ht="20.100000000000001" customHeight="1" x14ac:dyDescent="0.2">
      <c r="A23" s="293" t="s">
        <v>476</v>
      </c>
      <c r="B23" s="294" t="s">
        <v>866</v>
      </c>
      <c r="C23" s="295" t="s">
        <v>476</v>
      </c>
      <c r="D23" s="296">
        <v>864755</v>
      </c>
      <c r="E23" s="377">
        <f>864755+2910</f>
        <v>867665</v>
      </c>
      <c r="F23" s="297" t="s">
        <v>660</v>
      </c>
      <c r="G23" s="297" t="s">
        <v>660</v>
      </c>
      <c r="H23" s="297" t="s">
        <v>660</v>
      </c>
      <c r="I23" s="297" t="s">
        <v>660</v>
      </c>
      <c r="J23" s="297" t="s">
        <v>660</v>
      </c>
      <c r="K23" s="308" t="s">
        <v>662</v>
      </c>
    </row>
    <row r="24" spans="1:11" s="6" customFormat="1" ht="20.100000000000001" customHeight="1" x14ac:dyDescent="0.2">
      <c r="A24" s="293" t="s">
        <v>476</v>
      </c>
      <c r="B24" s="294" t="s">
        <v>668</v>
      </c>
      <c r="C24" s="295" t="s">
        <v>476</v>
      </c>
      <c r="D24" s="296"/>
      <c r="E24" s="377"/>
      <c r="F24" s="297" t="s">
        <v>660</v>
      </c>
      <c r="G24" s="297" t="s">
        <v>660</v>
      </c>
      <c r="H24" s="297" t="s">
        <v>660</v>
      </c>
      <c r="I24" s="297" t="s">
        <v>660</v>
      </c>
      <c r="J24" s="297" t="s">
        <v>660</v>
      </c>
      <c r="K24" s="308" t="s">
        <v>662</v>
      </c>
    </row>
    <row r="25" spans="1:11" ht="20.100000000000001" customHeight="1" x14ac:dyDescent="0.2">
      <c r="A25" s="265" t="s">
        <v>3</v>
      </c>
      <c r="B25" s="272" t="s">
        <v>248</v>
      </c>
      <c r="C25" s="276" t="s">
        <v>249</v>
      </c>
      <c r="D25" s="304">
        <f>SUM(D26)</f>
        <v>3041181</v>
      </c>
      <c r="E25" s="376">
        <f>SUM(E26)</f>
        <v>3041181</v>
      </c>
      <c r="F25" s="309"/>
      <c r="G25" s="297" t="s">
        <v>660</v>
      </c>
      <c r="H25" s="304"/>
      <c r="I25" s="297" t="s">
        <v>660</v>
      </c>
      <c r="J25" s="309">
        <v>3390851</v>
      </c>
      <c r="K25" s="234">
        <f>IF(E25&gt;0,J25/E25,"n.é.")</f>
        <v>1.1149783587362936</v>
      </c>
    </row>
    <row r="26" spans="1:11" s="6" customFormat="1" ht="20.100000000000001" customHeight="1" x14ac:dyDescent="0.2">
      <c r="A26" s="293" t="s">
        <v>476</v>
      </c>
      <c r="B26" s="294" t="s">
        <v>484</v>
      </c>
      <c r="C26" s="295" t="s">
        <v>476</v>
      </c>
      <c r="D26" s="296">
        <v>3041181</v>
      </c>
      <c r="E26" s="377">
        <v>3041181</v>
      </c>
      <c r="F26" s="297" t="s">
        <v>660</v>
      </c>
      <c r="G26" s="297" t="s">
        <v>660</v>
      </c>
      <c r="H26" s="297" t="s">
        <v>660</v>
      </c>
      <c r="I26" s="297" t="s">
        <v>660</v>
      </c>
      <c r="J26" s="297" t="s">
        <v>660</v>
      </c>
      <c r="K26" s="308" t="s">
        <v>662</v>
      </c>
    </row>
    <row r="27" spans="1:11" ht="20.100000000000001" customHeight="1" x14ac:dyDescent="0.2">
      <c r="A27" s="265" t="s">
        <v>4</v>
      </c>
      <c r="B27" s="272" t="s">
        <v>666</v>
      </c>
      <c r="C27" s="276" t="s">
        <v>250</v>
      </c>
      <c r="D27" s="304"/>
      <c r="E27" s="376"/>
      <c r="F27" s="309"/>
      <c r="G27" s="211" t="s">
        <v>660</v>
      </c>
      <c r="H27" s="304"/>
      <c r="I27" s="211" t="s">
        <v>660</v>
      </c>
      <c r="J27" s="309"/>
      <c r="K27" s="234" t="str">
        <f t="shared" ref="K27:K36" si="0">IF(E27&gt;0,J27/E27,"n.é.")</f>
        <v>n.é.</v>
      </c>
    </row>
    <row r="28" spans="1:11" ht="20.100000000000001" customHeight="1" x14ac:dyDescent="0.2">
      <c r="A28" s="265" t="s">
        <v>5</v>
      </c>
      <c r="B28" s="272" t="s">
        <v>667</v>
      </c>
      <c r="C28" s="276" t="s">
        <v>251</v>
      </c>
      <c r="D28" s="304"/>
      <c r="E28" s="376"/>
      <c r="F28" s="309"/>
      <c r="G28" s="211" t="s">
        <v>660</v>
      </c>
      <c r="H28" s="309"/>
      <c r="I28" s="211" t="s">
        <v>660</v>
      </c>
      <c r="J28" s="309"/>
      <c r="K28" s="234" t="str">
        <f t="shared" si="0"/>
        <v>n.é.</v>
      </c>
    </row>
    <row r="29" spans="1:11" s="3" customFormat="1" ht="20.100000000000001" customHeight="1" x14ac:dyDescent="0.2">
      <c r="A29" s="306" t="s">
        <v>6</v>
      </c>
      <c r="B29" s="310" t="s">
        <v>252</v>
      </c>
      <c r="C29" s="317" t="s">
        <v>253</v>
      </c>
      <c r="D29" s="303">
        <f>D8+D14+D17+D25+D27+D28</f>
        <v>169847795</v>
      </c>
      <c r="E29" s="378">
        <f>E8+E14+E17+E25+E27+E28</f>
        <v>172769652</v>
      </c>
      <c r="F29" s="303">
        <f>F8+F14+F17+F25+F27+F28</f>
        <v>0</v>
      </c>
      <c r="G29" s="312" t="s">
        <v>660</v>
      </c>
      <c r="H29" s="303">
        <f>H8+H14+H17+H25+H27+H28</f>
        <v>0</v>
      </c>
      <c r="I29" s="312" t="s">
        <v>660</v>
      </c>
      <c r="J29" s="303">
        <f>J8+J14+J17+J25+J27+J28</f>
        <v>180229450</v>
      </c>
      <c r="K29" s="311">
        <f t="shared" si="0"/>
        <v>1.0431777104002038</v>
      </c>
    </row>
    <row r="30" spans="1:11" ht="20.100000000000001" customHeight="1" x14ac:dyDescent="0.2">
      <c r="A30" s="265" t="s">
        <v>7</v>
      </c>
      <c r="B30" s="272" t="s">
        <v>254</v>
      </c>
      <c r="C30" s="276" t="s">
        <v>255</v>
      </c>
      <c r="D30" s="304"/>
      <c r="E30" s="376"/>
      <c r="F30" s="304"/>
      <c r="G30" s="211" t="s">
        <v>660</v>
      </c>
      <c r="H30" s="304"/>
      <c r="I30" s="211" t="s">
        <v>660</v>
      </c>
      <c r="J30" s="304"/>
      <c r="K30" s="234" t="str">
        <f t="shared" si="0"/>
        <v>n.é.</v>
      </c>
    </row>
    <row r="31" spans="1:11" ht="20.100000000000001" customHeight="1" x14ac:dyDescent="0.2">
      <c r="A31" s="265" t="s">
        <v>8</v>
      </c>
      <c r="B31" s="272" t="s">
        <v>427</v>
      </c>
      <c r="C31" s="276" t="s">
        <v>256</v>
      </c>
      <c r="D31" s="304"/>
      <c r="E31" s="376"/>
      <c r="F31" s="304"/>
      <c r="G31" s="211" t="s">
        <v>660</v>
      </c>
      <c r="H31" s="304"/>
      <c r="I31" s="211" t="s">
        <v>660</v>
      </c>
      <c r="J31" s="304"/>
      <c r="K31" s="234" t="str">
        <f t="shared" si="0"/>
        <v>n.é.</v>
      </c>
    </row>
    <row r="32" spans="1:11" ht="20.100000000000001" customHeight="1" x14ac:dyDescent="0.2">
      <c r="A32" s="265" t="s">
        <v>9</v>
      </c>
      <c r="B32" s="272" t="s">
        <v>428</v>
      </c>
      <c r="C32" s="276" t="s">
        <v>257</v>
      </c>
      <c r="D32" s="304"/>
      <c r="E32" s="376"/>
      <c r="F32" s="304"/>
      <c r="G32" s="211" t="s">
        <v>660</v>
      </c>
      <c r="H32" s="304"/>
      <c r="I32" s="211" t="s">
        <v>660</v>
      </c>
      <c r="J32" s="304"/>
      <c r="K32" s="234" t="str">
        <f t="shared" si="0"/>
        <v>n.é.</v>
      </c>
    </row>
    <row r="33" spans="1:11" ht="20.100000000000001" customHeight="1" x14ac:dyDescent="0.2">
      <c r="A33" s="265" t="s">
        <v>10</v>
      </c>
      <c r="B33" s="272" t="s">
        <v>429</v>
      </c>
      <c r="C33" s="276" t="s">
        <v>258</v>
      </c>
      <c r="D33" s="304"/>
      <c r="E33" s="376"/>
      <c r="F33" s="304"/>
      <c r="G33" s="211" t="s">
        <v>660</v>
      </c>
      <c r="H33" s="304"/>
      <c r="I33" s="211" t="s">
        <v>660</v>
      </c>
      <c r="J33" s="304"/>
      <c r="K33" s="234" t="str">
        <f t="shared" si="0"/>
        <v>n.é.</v>
      </c>
    </row>
    <row r="34" spans="1:11" ht="20.100000000000001" customHeight="1" x14ac:dyDescent="0.2">
      <c r="A34" s="265" t="s">
        <v>11</v>
      </c>
      <c r="B34" s="272" t="s">
        <v>259</v>
      </c>
      <c r="C34" s="276" t="s">
        <v>260</v>
      </c>
      <c r="D34" s="304">
        <f>38307600+23565842+19631292-(32626623+3424073+1058606-4482679)+28622600</f>
        <v>77500711</v>
      </c>
      <c r="E34" s="376">
        <v>77955621</v>
      </c>
      <c r="F34" s="309"/>
      <c r="G34" s="211" t="s">
        <v>660</v>
      </c>
      <c r="H34" s="304"/>
      <c r="I34" s="211" t="s">
        <v>660</v>
      </c>
      <c r="J34" s="309">
        <v>39455419</v>
      </c>
      <c r="K34" s="234">
        <f t="shared" si="0"/>
        <v>0.50612667173801362</v>
      </c>
    </row>
    <row r="35" spans="1:11" s="3" customFormat="1" ht="29.25" customHeight="1" x14ac:dyDescent="0.2">
      <c r="A35" s="306" t="s">
        <v>12</v>
      </c>
      <c r="B35" s="310" t="s">
        <v>261</v>
      </c>
      <c r="C35" s="317" t="s">
        <v>262</v>
      </c>
      <c r="D35" s="303">
        <f>SUM(D29:D34)</f>
        <v>247348506</v>
      </c>
      <c r="E35" s="378">
        <f>SUM(E29:E34)</f>
        <v>250725273</v>
      </c>
      <c r="F35" s="303">
        <f>SUM(F29:F34)</f>
        <v>0</v>
      </c>
      <c r="G35" s="312" t="s">
        <v>660</v>
      </c>
      <c r="H35" s="303">
        <f>SUM(H29:H34)</f>
        <v>0</v>
      </c>
      <c r="I35" s="312" t="s">
        <v>660</v>
      </c>
      <c r="J35" s="303">
        <f>SUM(J29:J34)</f>
        <v>219684869</v>
      </c>
      <c r="K35" s="311">
        <f t="shared" si="0"/>
        <v>0.8761975463079863</v>
      </c>
    </row>
    <row r="36" spans="1:11" ht="20.100000000000001" customHeight="1" x14ac:dyDescent="0.2">
      <c r="A36" s="265" t="s">
        <v>13</v>
      </c>
      <c r="B36" s="272" t="s">
        <v>263</v>
      </c>
      <c r="C36" s="276" t="s">
        <v>264</v>
      </c>
      <c r="D36" s="304"/>
      <c r="E36" s="376"/>
      <c r="F36" s="309"/>
      <c r="G36" s="211" t="s">
        <v>660</v>
      </c>
      <c r="H36" s="309"/>
      <c r="I36" s="211" t="s">
        <v>660</v>
      </c>
      <c r="J36" s="309"/>
      <c r="K36" s="234" t="str">
        <f t="shared" si="0"/>
        <v>n.é.</v>
      </c>
    </row>
    <row r="37" spans="1:11" s="6" customFormat="1" ht="20.100000000000001" customHeight="1" x14ac:dyDescent="0.2">
      <c r="A37" s="293" t="s">
        <v>476</v>
      </c>
      <c r="B37" s="294" t="s">
        <v>490</v>
      </c>
      <c r="C37" s="295" t="s">
        <v>476</v>
      </c>
      <c r="D37" s="296"/>
      <c r="E37" s="377"/>
      <c r="F37" s="297" t="s">
        <v>660</v>
      </c>
      <c r="G37" s="297" t="s">
        <v>660</v>
      </c>
      <c r="H37" s="297" t="s">
        <v>660</v>
      </c>
      <c r="I37" s="297" t="s">
        <v>660</v>
      </c>
      <c r="J37" s="297" t="s">
        <v>660</v>
      </c>
      <c r="K37" s="308" t="s">
        <v>662</v>
      </c>
    </row>
    <row r="38" spans="1:11" ht="20.100000000000001" customHeight="1" x14ac:dyDescent="0.2">
      <c r="A38" s="265" t="s">
        <v>14</v>
      </c>
      <c r="B38" s="272" t="s">
        <v>430</v>
      </c>
      <c r="C38" s="276" t="s">
        <v>265</v>
      </c>
      <c r="D38" s="304"/>
      <c r="E38" s="376"/>
      <c r="F38" s="304"/>
      <c r="G38" s="211" t="s">
        <v>660</v>
      </c>
      <c r="H38" s="304"/>
      <c r="I38" s="211" t="s">
        <v>660</v>
      </c>
      <c r="J38" s="304"/>
      <c r="K38" s="234" t="str">
        <f t="shared" ref="K38:K48" si="1">IF(E38&gt;0,J38/E38,"n.é.")</f>
        <v>n.é.</v>
      </c>
    </row>
    <row r="39" spans="1:11" ht="20.100000000000001" customHeight="1" x14ac:dyDescent="0.2">
      <c r="A39" s="265" t="s">
        <v>15</v>
      </c>
      <c r="B39" s="272" t="s">
        <v>431</v>
      </c>
      <c r="C39" s="276" t="s">
        <v>266</v>
      </c>
      <c r="D39" s="304"/>
      <c r="E39" s="376"/>
      <c r="F39" s="304"/>
      <c r="G39" s="211" t="s">
        <v>660</v>
      </c>
      <c r="H39" s="304"/>
      <c r="I39" s="211" t="s">
        <v>660</v>
      </c>
      <c r="J39" s="304"/>
      <c r="K39" s="234" t="str">
        <f t="shared" si="1"/>
        <v>n.é.</v>
      </c>
    </row>
    <row r="40" spans="1:11" ht="20.100000000000001" customHeight="1" x14ac:dyDescent="0.2">
      <c r="A40" s="265" t="s">
        <v>53</v>
      </c>
      <c r="B40" s="272" t="s">
        <v>432</v>
      </c>
      <c r="C40" s="276" t="s">
        <v>267</v>
      </c>
      <c r="D40" s="304"/>
      <c r="E40" s="376"/>
      <c r="F40" s="304"/>
      <c r="G40" s="211" t="s">
        <v>660</v>
      </c>
      <c r="H40" s="304"/>
      <c r="I40" s="211" t="s">
        <v>660</v>
      </c>
      <c r="J40" s="304"/>
      <c r="K40" s="234" t="str">
        <f t="shared" si="1"/>
        <v>n.é.</v>
      </c>
    </row>
    <row r="41" spans="1:11" ht="20.100000000000001" customHeight="1" x14ac:dyDescent="0.2">
      <c r="A41" s="265" t="s">
        <v>54</v>
      </c>
      <c r="B41" s="272" t="s">
        <v>268</v>
      </c>
      <c r="C41" s="276" t="s">
        <v>269</v>
      </c>
      <c r="D41" s="304">
        <v>234479639</v>
      </c>
      <c r="E41" s="376">
        <v>234479639</v>
      </c>
      <c r="F41" s="309"/>
      <c r="G41" s="211" t="s">
        <v>660</v>
      </c>
      <c r="H41" s="309"/>
      <c r="I41" s="211" t="s">
        <v>660</v>
      </c>
      <c r="J41" s="309">
        <v>27080457</v>
      </c>
      <c r="K41" s="234">
        <f t="shared" si="1"/>
        <v>0.1154917207971307</v>
      </c>
    </row>
    <row r="42" spans="1:11" s="3" customFormat="1" ht="20.100000000000001" customHeight="1" x14ac:dyDescent="0.2">
      <c r="A42" s="306" t="s">
        <v>55</v>
      </c>
      <c r="B42" s="310" t="s">
        <v>270</v>
      </c>
      <c r="C42" s="317" t="s">
        <v>271</v>
      </c>
      <c r="D42" s="303">
        <f>SUM(D36:D41)-D37</f>
        <v>234479639</v>
      </c>
      <c r="E42" s="378">
        <f>SUM(E36:E41)-E37</f>
        <v>234479639</v>
      </c>
      <c r="F42" s="303">
        <f>SUM(F36:F41)</f>
        <v>0</v>
      </c>
      <c r="G42" s="312" t="s">
        <v>660</v>
      </c>
      <c r="H42" s="303">
        <f>SUM(H36:H41)</f>
        <v>0</v>
      </c>
      <c r="I42" s="312" t="s">
        <v>660</v>
      </c>
      <c r="J42" s="303">
        <f>SUM(J36:J41)</f>
        <v>27080457</v>
      </c>
      <c r="K42" s="311">
        <f t="shared" si="1"/>
        <v>0.1154917207971307</v>
      </c>
    </row>
    <row r="43" spans="1:11" ht="20.100000000000001" customHeight="1" x14ac:dyDescent="0.2">
      <c r="A43" s="265" t="s">
        <v>56</v>
      </c>
      <c r="B43" s="272" t="s">
        <v>272</v>
      </c>
      <c r="C43" s="276" t="s">
        <v>273</v>
      </c>
      <c r="D43" s="304"/>
      <c r="E43" s="376"/>
      <c r="F43" s="304"/>
      <c r="G43" s="211" t="s">
        <v>660</v>
      </c>
      <c r="H43" s="304"/>
      <c r="I43" s="211" t="s">
        <v>660</v>
      </c>
      <c r="J43" s="304"/>
      <c r="K43" s="234" t="str">
        <f t="shared" si="1"/>
        <v>n.é.</v>
      </c>
    </row>
    <row r="44" spans="1:11" ht="20.100000000000001" customHeight="1" x14ac:dyDescent="0.2">
      <c r="A44" s="265" t="s">
        <v>106</v>
      </c>
      <c r="B44" s="272" t="s">
        <v>274</v>
      </c>
      <c r="C44" s="276" t="s">
        <v>275</v>
      </c>
      <c r="D44" s="304"/>
      <c r="E44" s="376"/>
      <c r="F44" s="304"/>
      <c r="G44" s="211" t="s">
        <v>660</v>
      </c>
      <c r="H44" s="304"/>
      <c r="I44" s="211" t="s">
        <v>660</v>
      </c>
      <c r="J44" s="304"/>
      <c r="K44" s="234" t="str">
        <f t="shared" si="1"/>
        <v>n.é.</v>
      </c>
    </row>
    <row r="45" spans="1:11" s="3" customFormat="1" ht="20.100000000000001" customHeight="1" x14ac:dyDescent="0.2">
      <c r="A45" s="306" t="s">
        <v>107</v>
      </c>
      <c r="B45" s="310" t="s">
        <v>276</v>
      </c>
      <c r="C45" s="317" t="s">
        <v>277</v>
      </c>
      <c r="D45" s="303">
        <f>SUM(D43:D44)</f>
        <v>0</v>
      </c>
      <c r="E45" s="378">
        <f>SUM(E43:E44)</f>
        <v>0</v>
      </c>
      <c r="F45" s="303">
        <f>SUM(F43:F44)</f>
        <v>0</v>
      </c>
      <c r="G45" s="312" t="s">
        <v>660</v>
      </c>
      <c r="H45" s="303">
        <f>SUM(H43:H44)</f>
        <v>0</v>
      </c>
      <c r="I45" s="312" t="s">
        <v>660</v>
      </c>
      <c r="J45" s="303">
        <f>SUM(J43:J44)</f>
        <v>0</v>
      </c>
      <c r="K45" s="311" t="str">
        <f t="shared" si="1"/>
        <v>n.é.</v>
      </c>
    </row>
    <row r="46" spans="1:11" ht="20.100000000000001" customHeight="1" x14ac:dyDescent="0.2">
      <c r="A46" s="265" t="s">
        <v>179</v>
      </c>
      <c r="B46" s="272" t="s">
        <v>278</v>
      </c>
      <c r="C46" s="276" t="s">
        <v>279</v>
      </c>
      <c r="D46" s="304"/>
      <c r="E46" s="376"/>
      <c r="F46" s="304"/>
      <c r="G46" s="211" t="s">
        <v>660</v>
      </c>
      <c r="H46" s="304"/>
      <c r="I46" s="211" t="s">
        <v>660</v>
      </c>
      <c r="J46" s="304"/>
      <c r="K46" s="234" t="str">
        <f t="shared" si="1"/>
        <v>n.é.</v>
      </c>
    </row>
    <row r="47" spans="1:11" ht="20.100000000000001" customHeight="1" x14ac:dyDescent="0.2">
      <c r="A47" s="265" t="s">
        <v>180</v>
      </c>
      <c r="B47" s="272" t="s">
        <v>280</v>
      </c>
      <c r="C47" s="276" t="s">
        <v>281</v>
      </c>
      <c r="D47" s="304"/>
      <c r="E47" s="376"/>
      <c r="F47" s="304"/>
      <c r="G47" s="211" t="s">
        <v>660</v>
      </c>
      <c r="H47" s="304"/>
      <c r="I47" s="211" t="s">
        <v>660</v>
      </c>
      <c r="J47" s="304"/>
      <c r="K47" s="234" t="str">
        <f t="shared" si="1"/>
        <v>n.é.</v>
      </c>
    </row>
    <row r="48" spans="1:11" ht="20.100000000000001" customHeight="1" x14ac:dyDescent="0.2">
      <c r="A48" s="265" t="s">
        <v>181</v>
      </c>
      <c r="B48" s="272" t="s">
        <v>282</v>
      </c>
      <c r="C48" s="276" t="s">
        <v>283</v>
      </c>
      <c r="D48" s="304">
        <f>SUM(D49)</f>
        <v>3500000</v>
      </c>
      <c r="E48" s="376">
        <f>SUM(E49)</f>
        <v>3500000</v>
      </c>
      <c r="F48" s="309"/>
      <c r="G48" s="211" t="s">
        <v>660</v>
      </c>
      <c r="H48" s="309"/>
      <c r="I48" s="211" t="s">
        <v>660</v>
      </c>
      <c r="J48" s="309">
        <v>3450369</v>
      </c>
      <c r="K48" s="234">
        <f t="shared" si="1"/>
        <v>0.98581971428571424</v>
      </c>
    </row>
    <row r="49" spans="1:11" s="6" customFormat="1" ht="20.100000000000001" customHeight="1" x14ac:dyDescent="0.2">
      <c r="A49" s="293" t="s">
        <v>476</v>
      </c>
      <c r="B49" s="294" t="s">
        <v>485</v>
      </c>
      <c r="C49" s="295" t="s">
        <v>476</v>
      </c>
      <c r="D49" s="296">
        <v>3500000</v>
      </c>
      <c r="E49" s="377">
        <v>3500000</v>
      </c>
      <c r="F49" s="297" t="s">
        <v>660</v>
      </c>
      <c r="G49" s="297" t="s">
        <v>660</v>
      </c>
      <c r="H49" s="297" t="s">
        <v>660</v>
      </c>
      <c r="I49" s="297" t="s">
        <v>660</v>
      </c>
      <c r="J49" s="297" t="s">
        <v>660</v>
      </c>
      <c r="K49" s="308" t="s">
        <v>662</v>
      </c>
    </row>
    <row r="50" spans="1:11" ht="20.100000000000001" customHeight="1" x14ac:dyDescent="0.2">
      <c r="A50" s="265" t="s">
        <v>182</v>
      </c>
      <c r="B50" s="272" t="s">
        <v>284</v>
      </c>
      <c r="C50" s="276" t="s">
        <v>285</v>
      </c>
      <c r="D50" s="304">
        <f>D51</f>
        <v>98500000</v>
      </c>
      <c r="E50" s="376">
        <v>100329527</v>
      </c>
      <c r="F50" s="309"/>
      <c r="G50" s="211" t="s">
        <v>660</v>
      </c>
      <c r="H50" s="309"/>
      <c r="I50" s="211" t="s">
        <v>660</v>
      </c>
      <c r="J50" s="309">
        <v>85085779</v>
      </c>
      <c r="K50" s="234">
        <f>IF(E50&gt;0,J50/E50,"n.é.")</f>
        <v>0.84806319280265319</v>
      </c>
    </row>
    <row r="51" spans="1:11" s="6" customFormat="1" ht="20.100000000000001" customHeight="1" x14ac:dyDescent="0.2">
      <c r="A51" s="293" t="s">
        <v>476</v>
      </c>
      <c r="B51" s="294" t="s">
        <v>486</v>
      </c>
      <c r="C51" s="295" t="s">
        <v>476</v>
      </c>
      <c r="D51" s="296">
        <v>98500000</v>
      </c>
      <c r="E51" s="377">
        <v>98500000</v>
      </c>
      <c r="F51" s="297" t="s">
        <v>660</v>
      </c>
      <c r="G51" s="297" t="s">
        <v>660</v>
      </c>
      <c r="H51" s="297" t="s">
        <v>660</v>
      </c>
      <c r="I51" s="297" t="s">
        <v>660</v>
      </c>
      <c r="J51" s="297" t="s">
        <v>660</v>
      </c>
      <c r="K51" s="308" t="s">
        <v>662</v>
      </c>
    </row>
    <row r="52" spans="1:11" ht="20.100000000000001" customHeight="1" x14ac:dyDescent="0.2">
      <c r="A52" s="265" t="s">
        <v>183</v>
      </c>
      <c r="B52" s="272" t="s">
        <v>286</v>
      </c>
      <c r="C52" s="276" t="s">
        <v>287</v>
      </c>
      <c r="D52" s="304"/>
      <c r="E52" s="376"/>
      <c r="F52" s="304"/>
      <c r="G52" s="211" t="s">
        <v>660</v>
      </c>
      <c r="H52" s="304"/>
      <c r="I52" s="211" t="s">
        <v>660</v>
      </c>
      <c r="J52" s="304"/>
      <c r="K52" s="234" t="str">
        <f>IF(E52&gt;0,J52/E52,"n.é.")</f>
        <v>n.é.</v>
      </c>
    </row>
    <row r="53" spans="1:11" ht="20.100000000000001" customHeight="1" x14ac:dyDescent="0.2">
      <c r="A53" s="265" t="s">
        <v>184</v>
      </c>
      <c r="B53" s="272" t="s">
        <v>288</v>
      </c>
      <c r="C53" s="276" t="s">
        <v>289</v>
      </c>
      <c r="D53" s="304"/>
      <c r="E53" s="376"/>
      <c r="F53" s="304"/>
      <c r="G53" s="211" t="s">
        <v>660</v>
      </c>
      <c r="H53" s="304"/>
      <c r="I53" s="211" t="s">
        <v>660</v>
      </c>
      <c r="J53" s="304"/>
      <c r="K53" s="234" t="str">
        <f>IF(E53&gt;0,J53/E53,"n.é.")</f>
        <v>n.é.</v>
      </c>
    </row>
    <row r="54" spans="1:11" ht="20.100000000000001" customHeight="1" x14ac:dyDescent="0.2">
      <c r="A54" s="265" t="s">
        <v>185</v>
      </c>
      <c r="B54" s="272" t="s">
        <v>290</v>
      </c>
      <c r="C54" s="276" t="s">
        <v>291</v>
      </c>
      <c r="D54" s="304">
        <v>7450000</v>
      </c>
      <c r="E54" s="376">
        <f>7450000-7450000</f>
        <v>0</v>
      </c>
      <c r="F54" s="309"/>
      <c r="G54" s="211" t="s">
        <v>660</v>
      </c>
      <c r="H54" s="309"/>
      <c r="I54" s="211" t="s">
        <v>660</v>
      </c>
      <c r="J54" s="309">
        <v>0</v>
      </c>
      <c r="K54" s="234" t="str">
        <f>IF(E54&gt;0,J54/E54,"n.é.")</f>
        <v>n.é.</v>
      </c>
    </row>
    <row r="55" spans="1:11" ht="20.100000000000001" customHeight="1" x14ac:dyDescent="0.2">
      <c r="A55" s="265" t="s">
        <v>186</v>
      </c>
      <c r="B55" s="272" t="s">
        <v>292</v>
      </c>
      <c r="C55" s="276" t="s">
        <v>293</v>
      </c>
      <c r="D55" s="304"/>
      <c r="E55" s="376"/>
      <c r="F55" s="309"/>
      <c r="G55" s="211" t="s">
        <v>660</v>
      </c>
      <c r="H55" s="309"/>
      <c r="I55" s="211" t="s">
        <v>660</v>
      </c>
      <c r="J55" s="309"/>
      <c r="K55" s="234" t="str">
        <f>IF(E55&gt;0,J55/E55,"n.é.")</f>
        <v>n.é.</v>
      </c>
    </row>
    <row r="56" spans="1:11" s="6" customFormat="1" ht="20.100000000000001" customHeight="1" x14ac:dyDescent="0.2">
      <c r="A56" s="293" t="s">
        <v>476</v>
      </c>
      <c r="B56" s="335" t="s">
        <v>662</v>
      </c>
      <c r="C56" s="295" t="s">
        <v>476</v>
      </c>
      <c r="D56" s="296"/>
      <c r="E56" s="377"/>
      <c r="F56" s="297" t="s">
        <v>660</v>
      </c>
      <c r="G56" s="297" t="s">
        <v>660</v>
      </c>
      <c r="H56" s="297" t="s">
        <v>660</v>
      </c>
      <c r="I56" s="297" t="s">
        <v>660</v>
      </c>
      <c r="J56" s="297" t="s">
        <v>660</v>
      </c>
      <c r="K56" s="308" t="s">
        <v>662</v>
      </c>
    </row>
    <row r="57" spans="1:11" s="3" customFormat="1" ht="20.100000000000001" customHeight="1" x14ac:dyDescent="0.2">
      <c r="A57" s="306" t="s">
        <v>187</v>
      </c>
      <c r="B57" s="310" t="s">
        <v>294</v>
      </c>
      <c r="C57" s="317" t="s">
        <v>295</v>
      </c>
      <c r="D57" s="303">
        <f>SUM(D50:D56)-D51-D56</f>
        <v>105950000</v>
      </c>
      <c r="E57" s="378">
        <f>SUM(E50:E56)-E51-E56</f>
        <v>100329527</v>
      </c>
      <c r="F57" s="303">
        <f>SUM(F50:F56)</f>
        <v>0</v>
      </c>
      <c r="G57" s="312" t="s">
        <v>660</v>
      </c>
      <c r="H57" s="303">
        <f>SUM(H50:H56)</f>
        <v>0</v>
      </c>
      <c r="I57" s="312" t="s">
        <v>660</v>
      </c>
      <c r="J57" s="303">
        <f>SUM(J50:J56)</f>
        <v>85085779</v>
      </c>
      <c r="K57" s="311">
        <f>IF(E57&gt;0,J57/E57,"n.é.")</f>
        <v>0.84806319280265319</v>
      </c>
    </row>
    <row r="58" spans="1:11" ht="20.100000000000001" customHeight="1" x14ac:dyDescent="0.2">
      <c r="A58" s="265" t="s">
        <v>188</v>
      </c>
      <c r="B58" s="272" t="s">
        <v>296</v>
      </c>
      <c r="C58" s="276" t="s">
        <v>297</v>
      </c>
      <c r="D58" s="304">
        <f>D59+D60</f>
        <v>550000</v>
      </c>
      <c r="E58" s="376">
        <f>SUM(E59:E60)</f>
        <v>550000</v>
      </c>
      <c r="F58" s="309"/>
      <c r="G58" s="211" t="s">
        <v>660</v>
      </c>
      <c r="H58" s="309"/>
      <c r="I58" s="211" t="s">
        <v>660</v>
      </c>
      <c r="J58" s="309">
        <v>431193</v>
      </c>
      <c r="K58" s="234">
        <f>IF(E58&gt;0,J58/E58,"n.é.")</f>
        <v>0.78398727272727275</v>
      </c>
    </row>
    <row r="59" spans="1:11" s="6" customFormat="1" ht="20.100000000000001" customHeight="1" x14ac:dyDescent="0.2">
      <c r="A59" s="293" t="s">
        <v>476</v>
      </c>
      <c r="B59" s="294" t="s">
        <v>487</v>
      </c>
      <c r="C59" s="295" t="s">
        <v>476</v>
      </c>
      <c r="D59" s="296">
        <v>50000</v>
      </c>
      <c r="E59" s="377">
        <v>50000</v>
      </c>
      <c r="F59" s="297" t="s">
        <v>660</v>
      </c>
      <c r="G59" s="297" t="s">
        <v>660</v>
      </c>
      <c r="H59" s="297" t="s">
        <v>660</v>
      </c>
      <c r="I59" s="297" t="s">
        <v>660</v>
      </c>
      <c r="J59" s="297" t="s">
        <v>660</v>
      </c>
      <c r="K59" s="308" t="s">
        <v>662</v>
      </c>
    </row>
    <row r="60" spans="1:11" s="6" customFormat="1" ht="20.100000000000001" customHeight="1" x14ac:dyDescent="0.2">
      <c r="A60" s="293" t="s">
        <v>476</v>
      </c>
      <c r="B60" s="294" t="s">
        <v>892</v>
      </c>
      <c r="C60" s="295" t="s">
        <v>476</v>
      </c>
      <c r="D60" s="296">
        <v>500000</v>
      </c>
      <c r="E60" s="377">
        <v>500000</v>
      </c>
      <c r="F60" s="297" t="s">
        <v>660</v>
      </c>
      <c r="G60" s="297" t="s">
        <v>660</v>
      </c>
      <c r="H60" s="297" t="s">
        <v>660</v>
      </c>
      <c r="I60" s="297" t="s">
        <v>660</v>
      </c>
      <c r="J60" s="297" t="s">
        <v>660</v>
      </c>
      <c r="K60" s="308" t="s">
        <v>662</v>
      </c>
    </row>
    <row r="61" spans="1:11" s="3" customFormat="1" ht="20.100000000000001" customHeight="1" x14ac:dyDescent="0.2">
      <c r="A61" s="306" t="s">
        <v>189</v>
      </c>
      <c r="B61" s="310" t="s">
        <v>298</v>
      </c>
      <c r="C61" s="317" t="s">
        <v>299</v>
      </c>
      <c r="D61" s="303">
        <f>D45+D46+D47+D48+D57+D58</f>
        <v>110000000</v>
      </c>
      <c r="E61" s="378">
        <f t="shared" ref="E61" si="2">E45+E46+E47+E48+E57+E58</f>
        <v>104379527</v>
      </c>
      <c r="F61" s="303">
        <f t="shared" ref="F61" si="3">F45+F46+F47+F48+F57+F58</f>
        <v>0</v>
      </c>
      <c r="G61" s="312" t="s">
        <v>660</v>
      </c>
      <c r="H61" s="303">
        <f t="shared" ref="H61" si="4">H45+H46+H47+H48+H57+H58</f>
        <v>0</v>
      </c>
      <c r="I61" s="312" t="s">
        <v>660</v>
      </c>
      <c r="J61" s="303">
        <f t="shared" ref="J61" si="5">J45+J46+J47+J48+J57+J58</f>
        <v>88967341</v>
      </c>
      <c r="K61" s="311">
        <f>IF(E61&gt;0,J61/E61,"n.é.")</f>
        <v>0.85234474189560183</v>
      </c>
    </row>
    <row r="62" spans="1:11" ht="20.100000000000001" customHeight="1" x14ac:dyDescent="0.2">
      <c r="A62" s="265" t="s">
        <v>190</v>
      </c>
      <c r="B62" s="272" t="s">
        <v>300</v>
      </c>
      <c r="C62" s="276" t="s">
        <v>301</v>
      </c>
      <c r="D62" s="304"/>
      <c r="E62" s="376"/>
      <c r="F62" s="309">
        <v>87702</v>
      </c>
      <c r="G62" s="211" t="s">
        <v>660</v>
      </c>
      <c r="H62" s="309"/>
      <c r="I62" s="211" t="s">
        <v>660</v>
      </c>
      <c r="J62" s="309">
        <v>87702</v>
      </c>
      <c r="K62" s="234" t="str">
        <f>IF(E62&gt;0,J62/E62,"n.é.")</f>
        <v>n.é.</v>
      </c>
    </row>
    <row r="63" spans="1:11" ht="20.100000000000001" customHeight="1" x14ac:dyDescent="0.2">
      <c r="A63" s="265" t="s">
        <v>191</v>
      </c>
      <c r="B63" s="272" t="s">
        <v>302</v>
      </c>
      <c r="C63" s="276" t="s">
        <v>303</v>
      </c>
      <c r="D63" s="304">
        <f>D64+D65+D66</f>
        <v>2822000</v>
      </c>
      <c r="E63" s="376">
        <f>SUM(E64:E66)</f>
        <v>15819480</v>
      </c>
      <c r="F63" s="309"/>
      <c r="G63" s="211" t="s">
        <v>660</v>
      </c>
      <c r="H63" s="309"/>
      <c r="I63" s="211" t="s">
        <v>660</v>
      </c>
      <c r="J63" s="309">
        <v>9309429</v>
      </c>
      <c r="K63" s="234">
        <f>IF(E63&gt;0,J63/E63,"n.é.")</f>
        <v>0.58847882484127167</v>
      </c>
    </row>
    <row r="64" spans="1:11" s="6" customFormat="1" ht="20.100000000000001" customHeight="1" x14ac:dyDescent="0.2">
      <c r="A64" s="293" t="s">
        <v>476</v>
      </c>
      <c r="B64" s="294" t="s">
        <v>540</v>
      </c>
      <c r="C64" s="295" t="s">
        <v>476</v>
      </c>
      <c r="D64" s="296">
        <v>55000</v>
      </c>
      <c r="E64" s="377">
        <v>55000</v>
      </c>
      <c r="F64" s="297" t="s">
        <v>660</v>
      </c>
      <c r="G64" s="297" t="s">
        <v>660</v>
      </c>
      <c r="H64" s="297" t="s">
        <v>660</v>
      </c>
      <c r="I64" s="297" t="s">
        <v>660</v>
      </c>
      <c r="J64" s="297" t="s">
        <v>660</v>
      </c>
      <c r="K64" s="308" t="s">
        <v>662</v>
      </c>
    </row>
    <row r="65" spans="1:11" s="6" customFormat="1" ht="20.100000000000001" customHeight="1" x14ac:dyDescent="0.2">
      <c r="A65" s="293" t="s">
        <v>476</v>
      </c>
      <c r="B65" s="294" t="s">
        <v>541</v>
      </c>
      <c r="C65" s="295" t="s">
        <v>476</v>
      </c>
      <c r="D65" s="296">
        <f>97000+170000</f>
        <v>267000</v>
      </c>
      <c r="E65" s="377">
        <v>267000</v>
      </c>
      <c r="F65" s="297" t="s">
        <v>660</v>
      </c>
      <c r="G65" s="297" t="s">
        <v>660</v>
      </c>
      <c r="H65" s="297" t="s">
        <v>660</v>
      </c>
      <c r="I65" s="297" t="s">
        <v>660</v>
      </c>
      <c r="J65" s="297" t="s">
        <v>660</v>
      </c>
      <c r="K65" s="308" t="s">
        <v>662</v>
      </c>
    </row>
    <row r="66" spans="1:11" s="6" customFormat="1" ht="20.100000000000001" customHeight="1" x14ac:dyDescent="0.2">
      <c r="A66" s="293" t="s">
        <v>476</v>
      </c>
      <c r="B66" s="294" t="s">
        <v>890</v>
      </c>
      <c r="C66" s="295" t="s">
        <v>476</v>
      </c>
      <c r="D66" s="296">
        <f>2500000</f>
        <v>2500000</v>
      </c>
      <c r="E66" s="377">
        <f>2500000+828000+12169480</f>
        <v>15497480</v>
      </c>
      <c r="F66" s="297" t="s">
        <v>660</v>
      </c>
      <c r="G66" s="297" t="s">
        <v>660</v>
      </c>
      <c r="H66" s="297" t="s">
        <v>660</v>
      </c>
      <c r="I66" s="297" t="s">
        <v>660</v>
      </c>
      <c r="J66" s="297" t="s">
        <v>660</v>
      </c>
      <c r="K66" s="308" t="s">
        <v>662</v>
      </c>
    </row>
    <row r="67" spans="1:11" ht="20.100000000000001" customHeight="1" x14ac:dyDescent="0.2">
      <c r="A67" s="265" t="s">
        <v>192</v>
      </c>
      <c r="B67" s="272" t="s">
        <v>304</v>
      </c>
      <c r="C67" s="276" t="s">
        <v>305</v>
      </c>
      <c r="D67" s="304">
        <v>2000000</v>
      </c>
      <c r="E67" s="376">
        <v>2000000</v>
      </c>
      <c r="F67" s="304"/>
      <c r="G67" s="305" t="s">
        <v>660</v>
      </c>
      <c r="H67" s="304"/>
      <c r="I67" s="305" t="s">
        <v>660</v>
      </c>
      <c r="J67" s="304">
        <v>4870845</v>
      </c>
      <c r="K67" s="288">
        <f t="shared" ref="K67:K93" si="6">IF(E67&gt;0,J67/E67,"n.é.")</f>
        <v>2.4354225</v>
      </c>
    </row>
    <row r="68" spans="1:11" ht="20.100000000000001" customHeight="1" x14ac:dyDescent="0.2">
      <c r="A68" s="265" t="s">
        <v>193</v>
      </c>
      <c r="B68" s="272" t="s">
        <v>306</v>
      </c>
      <c r="C68" s="276" t="s">
        <v>307</v>
      </c>
      <c r="D68" s="304">
        <v>1500000</v>
      </c>
      <c r="E68" s="376">
        <v>1500000</v>
      </c>
      <c r="F68" s="304"/>
      <c r="G68" s="305" t="s">
        <v>660</v>
      </c>
      <c r="H68" s="304"/>
      <c r="I68" s="305" t="s">
        <v>660</v>
      </c>
      <c r="J68" s="304">
        <v>0</v>
      </c>
      <c r="K68" s="288">
        <f t="shared" si="6"/>
        <v>0</v>
      </c>
    </row>
    <row r="69" spans="1:11" ht="22.5" customHeight="1" x14ac:dyDescent="0.2">
      <c r="A69" s="265" t="s">
        <v>194</v>
      </c>
      <c r="B69" s="272" t="s">
        <v>308</v>
      </c>
      <c r="C69" s="276" t="s">
        <v>309</v>
      </c>
      <c r="D69" s="304"/>
      <c r="E69" s="376"/>
      <c r="F69" s="304"/>
      <c r="G69" s="305" t="s">
        <v>660</v>
      </c>
      <c r="H69" s="304"/>
      <c r="I69" s="305" t="s">
        <v>660</v>
      </c>
      <c r="J69" s="304"/>
      <c r="K69" s="288" t="str">
        <f t="shared" si="6"/>
        <v>n.é.</v>
      </c>
    </row>
    <row r="70" spans="1:11" ht="20.100000000000001" customHeight="1" x14ac:dyDescent="0.2">
      <c r="A70" s="265" t="s">
        <v>195</v>
      </c>
      <c r="B70" s="272" t="s">
        <v>310</v>
      </c>
      <c r="C70" s="276" t="s">
        <v>311</v>
      </c>
      <c r="D70" s="304"/>
      <c r="E70" s="376"/>
      <c r="F70" s="304"/>
      <c r="G70" s="305" t="s">
        <v>660</v>
      </c>
      <c r="H70" s="304"/>
      <c r="I70" s="305" t="s">
        <v>660</v>
      </c>
      <c r="J70" s="304"/>
      <c r="K70" s="288" t="str">
        <f t="shared" si="6"/>
        <v>n.é.</v>
      </c>
    </row>
    <row r="71" spans="1:11" ht="20.100000000000001" customHeight="1" x14ac:dyDescent="0.2">
      <c r="A71" s="265" t="s">
        <v>196</v>
      </c>
      <c r="B71" s="272" t="s">
        <v>312</v>
      </c>
      <c r="C71" s="276" t="s">
        <v>313</v>
      </c>
      <c r="D71" s="304"/>
      <c r="E71" s="376"/>
      <c r="F71" s="304"/>
      <c r="G71" s="305" t="s">
        <v>660</v>
      </c>
      <c r="H71" s="304"/>
      <c r="I71" s="305" t="s">
        <v>660</v>
      </c>
      <c r="J71" s="304"/>
      <c r="K71" s="288" t="str">
        <f t="shared" si="6"/>
        <v>n.é.</v>
      </c>
    </row>
    <row r="72" spans="1:11" ht="20.100000000000001" customHeight="1" x14ac:dyDescent="0.2">
      <c r="A72" s="265" t="s">
        <v>197</v>
      </c>
      <c r="B72" s="272" t="s">
        <v>314</v>
      </c>
      <c r="C72" s="276" t="s">
        <v>315</v>
      </c>
      <c r="D72" s="304"/>
      <c r="E72" s="376"/>
      <c r="F72" s="304"/>
      <c r="G72" s="305" t="s">
        <v>660</v>
      </c>
      <c r="H72" s="304"/>
      <c r="I72" s="305" t="s">
        <v>660</v>
      </c>
      <c r="J72" s="304"/>
      <c r="K72" s="288" t="str">
        <f t="shared" si="6"/>
        <v>n.é.</v>
      </c>
    </row>
    <row r="73" spans="1:11" ht="20.100000000000001" customHeight="1" x14ac:dyDescent="0.2">
      <c r="A73" s="265" t="s">
        <v>198</v>
      </c>
      <c r="B73" s="272" t="s">
        <v>316</v>
      </c>
      <c r="C73" s="276" t="s">
        <v>317</v>
      </c>
      <c r="D73" s="304"/>
      <c r="E73" s="376"/>
      <c r="F73" s="304"/>
      <c r="G73" s="305" t="s">
        <v>660</v>
      </c>
      <c r="H73" s="304"/>
      <c r="I73" s="305" t="s">
        <v>660</v>
      </c>
      <c r="J73" s="304"/>
      <c r="K73" s="288" t="str">
        <f t="shared" si="6"/>
        <v>n.é.</v>
      </c>
    </row>
    <row r="74" spans="1:11" ht="20.100000000000001" customHeight="1" x14ac:dyDescent="0.2">
      <c r="A74" s="265" t="s">
        <v>199</v>
      </c>
      <c r="B74" s="272" t="s">
        <v>670</v>
      </c>
      <c r="C74" s="276" t="s">
        <v>319</v>
      </c>
      <c r="D74" s="304"/>
      <c r="E74" s="376"/>
      <c r="F74" s="304"/>
      <c r="G74" s="305" t="s">
        <v>660</v>
      </c>
      <c r="H74" s="304"/>
      <c r="I74" s="305" t="s">
        <v>660</v>
      </c>
      <c r="J74" s="304"/>
      <c r="K74" s="288" t="str">
        <f t="shared" si="6"/>
        <v>n.é.</v>
      </c>
    </row>
    <row r="75" spans="1:11" ht="20.100000000000001" customHeight="1" x14ac:dyDescent="0.2">
      <c r="A75" s="265" t="s">
        <v>200</v>
      </c>
      <c r="B75" s="272" t="s">
        <v>318</v>
      </c>
      <c r="C75" s="276" t="s">
        <v>669</v>
      </c>
      <c r="D75" s="304"/>
      <c r="E75" s="376"/>
      <c r="F75" s="304"/>
      <c r="G75" s="305" t="s">
        <v>660</v>
      </c>
      <c r="H75" s="304"/>
      <c r="I75" s="305" t="s">
        <v>660</v>
      </c>
      <c r="J75" s="304"/>
      <c r="K75" s="288" t="str">
        <f t="shared" si="6"/>
        <v>n.é.</v>
      </c>
    </row>
    <row r="76" spans="1:11" s="3" customFormat="1" ht="20.100000000000001" customHeight="1" x14ac:dyDescent="0.2">
      <c r="A76" s="306" t="s">
        <v>201</v>
      </c>
      <c r="B76" s="310" t="s">
        <v>671</v>
      </c>
      <c r="C76" s="317" t="s">
        <v>320</v>
      </c>
      <c r="D76" s="303">
        <f>D62+D63+D67+D68+D69+D70+D71+D72+D73+D75</f>
        <v>6322000</v>
      </c>
      <c r="E76" s="378">
        <f>E62+E63+E67+E68+E69+E70+E71+E72+E73+E75</f>
        <v>19319480</v>
      </c>
      <c r="F76" s="303">
        <f>F62+F63+F67+F68+F69+F70+F71+F72+F73+F75</f>
        <v>87702</v>
      </c>
      <c r="G76" s="302" t="s">
        <v>660</v>
      </c>
      <c r="H76" s="303">
        <f>H62+H63+H67+H68+H69+H70+H71+H72+H73+H75</f>
        <v>0</v>
      </c>
      <c r="I76" s="302" t="s">
        <v>660</v>
      </c>
      <c r="J76" s="303">
        <f>J62+J63+J67+J68+J69+J70+J71+J72+J73+J75</f>
        <v>14267976</v>
      </c>
      <c r="K76" s="286">
        <f t="shared" si="6"/>
        <v>0.73852795209808964</v>
      </c>
    </row>
    <row r="77" spans="1:11" ht="20.100000000000001" customHeight="1" x14ac:dyDescent="0.2">
      <c r="A77" s="265" t="s">
        <v>202</v>
      </c>
      <c r="B77" s="272" t="s">
        <v>321</v>
      </c>
      <c r="C77" s="276" t="s">
        <v>322</v>
      </c>
      <c r="D77" s="304"/>
      <c r="E77" s="376"/>
      <c r="F77" s="304"/>
      <c r="G77" s="305" t="s">
        <v>660</v>
      </c>
      <c r="H77" s="304"/>
      <c r="I77" s="305" t="s">
        <v>660</v>
      </c>
      <c r="J77" s="304"/>
      <c r="K77" s="288" t="str">
        <f t="shared" si="6"/>
        <v>n.é.</v>
      </c>
    </row>
    <row r="78" spans="1:11" ht="20.100000000000001" customHeight="1" x14ac:dyDescent="0.2">
      <c r="A78" s="265" t="s">
        <v>203</v>
      </c>
      <c r="B78" s="272" t="s">
        <v>323</v>
      </c>
      <c r="C78" s="276" t="s">
        <v>324</v>
      </c>
      <c r="D78" s="304"/>
      <c r="E78" s="376"/>
      <c r="F78" s="304"/>
      <c r="G78" s="305" t="s">
        <v>660</v>
      </c>
      <c r="H78" s="304"/>
      <c r="I78" s="305" t="s">
        <v>660</v>
      </c>
      <c r="J78" s="304"/>
      <c r="K78" s="288" t="str">
        <f t="shared" si="6"/>
        <v>n.é.</v>
      </c>
    </row>
    <row r="79" spans="1:11" ht="20.100000000000001" customHeight="1" x14ac:dyDescent="0.2">
      <c r="A79" s="265" t="s">
        <v>204</v>
      </c>
      <c r="B79" s="272" t="s">
        <v>325</v>
      </c>
      <c r="C79" s="276" t="s">
        <v>326</v>
      </c>
      <c r="D79" s="304"/>
      <c r="E79" s="376"/>
      <c r="F79" s="304"/>
      <c r="G79" s="305" t="s">
        <v>660</v>
      </c>
      <c r="H79" s="304"/>
      <c r="I79" s="305" t="s">
        <v>660</v>
      </c>
      <c r="J79" s="304"/>
      <c r="K79" s="288" t="str">
        <f t="shared" si="6"/>
        <v>n.é.</v>
      </c>
    </row>
    <row r="80" spans="1:11" ht="20.100000000000001" customHeight="1" x14ac:dyDescent="0.2">
      <c r="A80" s="265" t="s">
        <v>205</v>
      </c>
      <c r="B80" s="272" t="s">
        <v>327</v>
      </c>
      <c r="C80" s="276" t="s">
        <v>328</v>
      </c>
      <c r="D80" s="304"/>
      <c r="E80" s="376"/>
      <c r="F80" s="304"/>
      <c r="G80" s="305" t="s">
        <v>660</v>
      </c>
      <c r="H80" s="304"/>
      <c r="I80" s="305" t="s">
        <v>660</v>
      </c>
      <c r="J80" s="304"/>
      <c r="K80" s="288" t="str">
        <f t="shared" si="6"/>
        <v>n.é.</v>
      </c>
    </row>
    <row r="81" spans="1:11" ht="20.100000000000001" customHeight="1" x14ac:dyDescent="0.2">
      <c r="A81" s="265" t="s">
        <v>206</v>
      </c>
      <c r="B81" s="272" t="s">
        <v>329</v>
      </c>
      <c r="C81" s="276" t="s">
        <v>330</v>
      </c>
      <c r="D81" s="304"/>
      <c r="E81" s="376"/>
      <c r="F81" s="304"/>
      <c r="G81" s="305" t="s">
        <v>660</v>
      </c>
      <c r="H81" s="304"/>
      <c r="I81" s="305" t="s">
        <v>660</v>
      </c>
      <c r="J81" s="304"/>
      <c r="K81" s="288" t="str">
        <f t="shared" si="6"/>
        <v>n.é.</v>
      </c>
    </row>
    <row r="82" spans="1:11" s="3" customFormat="1" ht="20.100000000000001" customHeight="1" x14ac:dyDescent="0.2">
      <c r="A82" s="306" t="s">
        <v>207</v>
      </c>
      <c r="B82" s="310" t="s">
        <v>672</v>
      </c>
      <c r="C82" s="317" t="s">
        <v>331</v>
      </c>
      <c r="D82" s="303">
        <f>SUM(D77:D81)</f>
        <v>0</v>
      </c>
      <c r="E82" s="378">
        <f>SUM(E77:E81)</f>
        <v>0</v>
      </c>
      <c r="F82" s="303">
        <f>SUM(F77:F81)</f>
        <v>0</v>
      </c>
      <c r="G82" s="302" t="s">
        <v>660</v>
      </c>
      <c r="H82" s="303">
        <f>SUM(H77:H81)</f>
        <v>0</v>
      </c>
      <c r="I82" s="302" t="s">
        <v>660</v>
      </c>
      <c r="J82" s="303">
        <f>SUM(J77:J81)</f>
        <v>0</v>
      </c>
      <c r="K82" s="286" t="str">
        <f t="shared" si="6"/>
        <v>n.é.</v>
      </c>
    </row>
    <row r="83" spans="1:11" ht="20.100000000000001" customHeight="1" x14ac:dyDescent="0.2">
      <c r="A83" s="265" t="s">
        <v>208</v>
      </c>
      <c r="B83" s="272" t="s">
        <v>433</v>
      </c>
      <c r="C83" s="276" t="s">
        <v>332</v>
      </c>
      <c r="D83" s="304"/>
      <c r="E83" s="376"/>
      <c r="F83" s="304"/>
      <c r="G83" s="305" t="s">
        <v>660</v>
      </c>
      <c r="H83" s="304"/>
      <c r="I83" s="305" t="s">
        <v>660</v>
      </c>
      <c r="J83" s="304"/>
      <c r="K83" s="288" t="str">
        <f t="shared" si="6"/>
        <v>n.é.</v>
      </c>
    </row>
    <row r="84" spans="1:11" ht="20.100000000000001" customHeight="1" x14ac:dyDescent="0.2">
      <c r="A84" s="265" t="s">
        <v>209</v>
      </c>
      <c r="B84" s="272" t="s">
        <v>673</v>
      </c>
      <c r="C84" s="276" t="s">
        <v>333</v>
      </c>
      <c r="D84" s="304"/>
      <c r="E84" s="376"/>
      <c r="F84" s="304"/>
      <c r="G84" s="305" t="s">
        <v>660</v>
      </c>
      <c r="H84" s="304"/>
      <c r="I84" s="305" t="s">
        <v>660</v>
      </c>
      <c r="J84" s="304"/>
      <c r="K84" s="288" t="str">
        <f t="shared" si="6"/>
        <v>n.é.</v>
      </c>
    </row>
    <row r="85" spans="1:11" ht="20.100000000000001" customHeight="1" x14ac:dyDescent="0.2">
      <c r="A85" s="265" t="s">
        <v>210</v>
      </c>
      <c r="B85" s="272" t="s">
        <v>676</v>
      </c>
      <c r="C85" s="276" t="s">
        <v>335</v>
      </c>
      <c r="D85" s="304"/>
      <c r="E85" s="376"/>
      <c r="F85" s="304"/>
      <c r="G85" s="305" t="s">
        <v>660</v>
      </c>
      <c r="H85" s="304"/>
      <c r="I85" s="305" t="s">
        <v>660</v>
      </c>
      <c r="J85" s="304"/>
      <c r="K85" s="288" t="str">
        <f t="shared" si="6"/>
        <v>n.é.</v>
      </c>
    </row>
    <row r="86" spans="1:11" ht="20.100000000000001" customHeight="1" x14ac:dyDescent="0.2">
      <c r="A86" s="265" t="s">
        <v>211</v>
      </c>
      <c r="B86" s="272" t="s">
        <v>434</v>
      </c>
      <c r="C86" s="276" t="s">
        <v>674</v>
      </c>
      <c r="D86" s="304">
        <v>1000000</v>
      </c>
      <c r="E86" s="376">
        <v>1000000</v>
      </c>
      <c r="F86" s="304"/>
      <c r="G86" s="305" t="s">
        <v>660</v>
      </c>
      <c r="H86" s="304"/>
      <c r="I86" s="305" t="s">
        <v>660</v>
      </c>
      <c r="J86" s="304">
        <v>350783</v>
      </c>
      <c r="K86" s="288">
        <f t="shared" si="6"/>
        <v>0.35078300000000001</v>
      </c>
    </row>
    <row r="87" spans="1:11" ht="20.100000000000001" customHeight="1" x14ac:dyDescent="0.2">
      <c r="A87" s="265" t="s">
        <v>212</v>
      </c>
      <c r="B87" s="272" t="s">
        <v>334</v>
      </c>
      <c r="C87" s="276" t="s">
        <v>675</v>
      </c>
      <c r="D87" s="304">
        <v>1738781</v>
      </c>
      <c r="E87" s="376">
        <v>1738781</v>
      </c>
      <c r="F87" s="304"/>
      <c r="G87" s="305" t="s">
        <v>660</v>
      </c>
      <c r="H87" s="304"/>
      <c r="I87" s="305" t="s">
        <v>660</v>
      </c>
      <c r="J87" s="304">
        <v>0</v>
      </c>
      <c r="K87" s="288">
        <f t="shared" si="6"/>
        <v>0</v>
      </c>
    </row>
    <row r="88" spans="1:11" s="3" customFormat="1" ht="20.100000000000001" customHeight="1" x14ac:dyDescent="0.2">
      <c r="A88" s="306" t="s">
        <v>213</v>
      </c>
      <c r="B88" s="310" t="s">
        <v>681</v>
      </c>
      <c r="C88" s="317" t="s">
        <v>336</v>
      </c>
      <c r="D88" s="303">
        <f>SUM(D83:D87)</f>
        <v>2738781</v>
      </c>
      <c r="E88" s="378">
        <f>SUM(E83:E87)</f>
        <v>2738781</v>
      </c>
      <c r="F88" s="303">
        <f>SUM(F83:F87)</f>
        <v>0</v>
      </c>
      <c r="G88" s="302" t="s">
        <v>660</v>
      </c>
      <c r="H88" s="303">
        <f>SUM(H83:H87)</f>
        <v>0</v>
      </c>
      <c r="I88" s="302" t="s">
        <v>660</v>
      </c>
      <c r="J88" s="303">
        <f>SUM(J83:J87)</f>
        <v>350783</v>
      </c>
      <c r="K88" s="286">
        <f t="shared" si="6"/>
        <v>0.12807997426592341</v>
      </c>
    </row>
    <row r="89" spans="1:11" ht="20.100000000000001" customHeight="1" x14ac:dyDescent="0.2">
      <c r="A89" s="265" t="s">
        <v>214</v>
      </c>
      <c r="B89" s="272" t="s">
        <v>435</v>
      </c>
      <c r="C89" s="276" t="s">
        <v>337</v>
      </c>
      <c r="D89" s="304"/>
      <c r="E89" s="376"/>
      <c r="F89" s="304"/>
      <c r="G89" s="305" t="s">
        <v>660</v>
      </c>
      <c r="H89" s="304"/>
      <c r="I89" s="305" t="s">
        <v>660</v>
      </c>
      <c r="J89" s="304"/>
      <c r="K89" s="288" t="str">
        <f t="shared" si="6"/>
        <v>n.é.</v>
      </c>
    </row>
    <row r="90" spans="1:11" ht="20.100000000000001" customHeight="1" x14ac:dyDescent="0.2">
      <c r="A90" s="265" t="s">
        <v>215</v>
      </c>
      <c r="B90" s="272" t="s">
        <v>679</v>
      </c>
      <c r="C90" s="276" t="s">
        <v>338</v>
      </c>
      <c r="D90" s="304"/>
      <c r="E90" s="376"/>
      <c r="F90" s="304"/>
      <c r="G90" s="305" t="s">
        <v>660</v>
      </c>
      <c r="H90" s="304"/>
      <c r="I90" s="305" t="s">
        <v>660</v>
      </c>
      <c r="J90" s="304"/>
      <c r="K90" s="288" t="str">
        <f t="shared" si="6"/>
        <v>n.é.</v>
      </c>
    </row>
    <row r="91" spans="1:11" ht="20.100000000000001" customHeight="1" x14ac:dyDescent="0.2">
      <c r="A91" s="265" t="s">
        <v>216</v>
      </c>
      <c r="B91" s="272" t="s">
        <v>680</v>
      </c>
      <c r="C91" s="276" t="s">
        <v>340</v>
      </c>
      <c r="D91" s="304"/>
      <c r="E91" s="376"/>
      <c r="F91" s="304"/>
      <c r="G91" s="305" t="s">
        <v>660</v>
      </c>
      <c r="H91" s="304"/>
      <c r="I91" s="305" t="s">
        <v>660</v>
      </c>
      <c r="J91" s="304"/>
      <c r="K91" s="288" t="str">
        <f t="shared" si="6"/>
        <v>n.é.</v>
      </c>
    </row>
    <row r="92" spans="1:11" ht="20.100000000000001" customHeight="1" x14ac:dyDescent="0.2">
      <c r="A92" s="265" t="s">
        <v>217</v>
      </c>
      <c r="B92" s="272" t="s">
        <v>436</v>
      </c>
      <c r="C92" s="276" t="s">
        <v>677</v>
      </c>
      <c r="D92" s="304"/>
      <c r="E92" s="376"/>
      <c r="F92" s="304"/>
      <c r="G92" s="305" t="s">
        <v>660</v>
      </c>
      <c r="H92" s="304"/>
      <c r="I92" s="305" t="s">
        <v>660</v>
      </c>
      <c r="J92" s="304"/>
      <c r="K92" s="288" t="str">
        <f t="shared" si="6"/>
        <v>n.é.</v>
      </c>
    </row>
    <row r="93" spans="1:11" ht="20.100000000000001" customHeight="1" x14ac:dyDescent="0.2">
      <c r="A93" s="265" t="s">
        <v>218</v>
      </c>
      <c r="B93" s="272" t="s">
        <v>339</v>
      </c>
      <c r="C93" s="276" t="s">
        <v>678</v>
      </c>
      <c r="D93" s="304"/>
      <c r="E93" s="376"/>
      <c r="F93" s="304"/>
      <c r="G93" s="305" t="s">
        <v>660</v>
      </c>
      <c r="H93" s="304"/>
      <c r="I93" s="305" t="s">
        <v>660</v>
      </c>
      <c r="J93" s="304">
        <v>731965</v>
      </c>
      <c r="K93" s="288" t="str">
        <f t="shared" si="6"/>
        <v>n.é.</v>
      </c>
    </row>
    <row r="94" spans="1:11" s="6" customFormat="1" ht="20.100000000000001" customHeight="1" x14ac:dyDescent="0.2">
      <c r="A94" s="293" t="s">
        <v>476</v>
      </c>
      <c r="B94" s="294" t="s">
        <v>491</v>
      </c>
      <c r="C94" s="295" t="s">
        <v>476</v>
      </c>
      <c r="D94" s="296"/>
      <c r="E94" s="377"/>
      <c r="F94" s="297" t="s">
        <v>660</v>
      </c>
      <c r="G94" s="297" t="s">
        <v>660</v>
      </c>
      <c r="H94" s="297" t="s">
        <v>660</v>
      </c>
      <c r="I94" s="297" t="s">
        <v>660</v>
      </c>
      <c r="J94" s="297" t="s">
        <v>660</v>
      </c>
      <c r="K94" s="308" t="s">
        <v>662</v>
      </c>
    </row>
    <row r="95" spans="1:11" s="3" customFormat="1" ht="20.100000000000001" customHeight="1" x14ac:dyDescent="0.2">
      <c r="A95" s="306" t="s">
        <v>219</v>
      </c>
      <c r="B95" s="310" t="s">
        <v>682</v>
      </c>
      <c r="C95" s="317" t="s">
        <v>341</v>
      </c>
      <c r="D95" s="303">
        <f>SUM(D89:D94)</f>
        <v>0</v>
      </c>
      <c r="E95" s="378">
        <f>SUM(E89:E94)-E94</f>
        <v>0</v>
      </c>
      <c r="F95" s="303">
        <f>SUM(F89:F94)</f>
        <v>0</v>
      </c>
      <c r="G95" s="302" t="s">
        <v>660</v>
      </c>
      <c r="H95" s="303">
        <f>SUM(H89:H94)</f>
        <v>0</v>
      </c>
      <c r="I95" s="302" t="s">
        <v>660</v>
      </c>
      <c r="J95" s="303">
        <f>SUM(J89:J94)</f>
        <v>731965</v>
      </c>
      <c r="K95" s="286" t="str">
        <f t="shared" ref="K95:K126" si="7">IF(E95&gt;0,J95/E95,"n.é.")</f>
        <v>n.é.</v>
      </c>
    </row>
    <row r="96" spans="1:11" s="3" customFormat="1" ht="20.100000000000001" customHeight="1" x14ac:dyDescent="0.2">
      <c r="A96" s="269" t="s">
        <v>220</v>
      </c>
      <c r="B96" s="277" t="s">
        <v>683</v>
      </c>
      <c r="C96" s="278" t="s">
        <v>342</v>
      </c>
      <c r="D96" s="326">
        <f>D35+D42+D61+D76+D82+D88+D95</f>
        <v>600888926</v>
      </c>
      <c r="E96" s="379">
        <f>E35+E42+E61+E76+E82+E88+E95</f>
        <v>611642700</v>
      </c>
      <c r="F96" s="326">
        <f>F35+F42+F61+F76+F82+F88+F95</f>
        <v>87702</v>
      </c>
      <c r="G96" s="332" t="s">
        <v>660</v>
      </c>
      <c r="H96" s="326">
        <f>H35+H42+H61+H76+H82+H88+H95</f>
        <v>0</v>
      </c>
      <c r="I96" s="332" t="s">
        <v>660</v>
      </c>
      <c r="J96" s="326">
        <f>J35+J42+J61+J76+J82+J88+J95</f>
        <v>351083391</v>
      </c>
      <c r="K96" s="322">
        <f t="shared" si="7"/>
        <v>0.57400078673382349</v>
      </c>
    </row>
    <row r="97" spans="1:11" ht="20.100000000000001" customHeight="1" x14ac:dyDescent="0.2">
      <c r="A97" s="265" t="s">
        <v>221</v>
      </c>
      <c r="B97" s="266" t="s">
        <v>684</v>
      </c>
      <c r="C97" s="267" t="s">
        <v>343</v>
      </c>
      <c r="D97" s="304"/>
      <c r="E97" s="376"/>
      <c r="F97" s="304"/>
      <c r="G97" s="305" t="s">
        <v>660</v>
      </c>
      <c r="H97" s="304"/>
      <c r="I97" s="305" t="s">
        <v>660</v>
      </c>
      <c r="J97" s="304"/>
      <c r="K97" s="288" t="str">
        <f t="shared" si="7"/>
        <v>n.é.</v>
      </c>
    </row>
    <row r="98" spans="1:11" ht="20.100000000000001" customHeight="1" x14ac:dyDescent="0.2">
      <c r="A98" s="265" t="s">
        <v>222</v>
      </c>
      <c r="B98" s="272" t="s">
        <v>344</v>
      </c>
      <c r="C98" s="267" t="s">
        <v>345</v>
      </c>
      <c r="D98" s="304"/>
      <c r="E98" s="376"/>
      <c r="F98" s="304"/>
      <c r="G98" s="305" t="s">
        <v>660</v>
      </c>
      <c r="H98" s="304"/>
      <c r="I98" s="305" t="s">
        <v>660</v>
      </c>
      <c r="J98" s="304"/>
      <c r="K98" s="288" t="str">
        <f t="shared" si="7"/>
        <v>n.é.</v>
      </c>
    </row>
    <row r="99" spans="1:11" ht="20.100000000000001" customHeight="1" x14ac:dyDescent="0.2">
      <c r="A99" s="265" t="s">
        <v>223</v>
      </c>
      <c r="B99" s="266" t="s">
        <v>685</v>
      </c>
      <c r="C99" s="267" t="s">
        <v>346</v>
      </c>
      <c r="D99" s="304"/>
      <c r="E99" s="376"/>
      <c r="F99" s="304"/>
      <c r="G99" s="305" t="s">
        <v>660</v>
      </c>
      <c r="H99" s="304"/>
      <c r="I99" s="305" t="s">
        <v>660</v>
      </c>
      <c r="J99" s="304"/>
      <c r="K99" s="288" t="str">
        <f t="shared" si="7"/>
        <v>n.é.</v>
      </c>
    </row>
    <row r="100" spans="1:11" s="3" customFormat="1" ht="20.100000000000001" customHeight="1" x14ac:dyDescent="0.2">
      <c r="A100" s="306" t="s">
        <v>224</v>
      </c>
      <c r="B100" s="310" t="s">
        <v>688</v>
      </c>
      <c r="C100" s="291" t="s">
        <v>347</v>
      </c>
      <c r="D100" s="303">
        <f>SUM(D97:D99)</f>
        <v>0</v>
      </c>
      <c r="E100" s="378">
        <f>SUM(E97:E99)</f>
        <v>0</v>
      </c>
      <c r="F100" s="303">
        <f>SUM(F97:F99)</f>
        <v>0</v>
      </c>
      <c r="G100" s="302" t="s">
        <v>660</v>
      </c>
      <c r="H100" s="303">
        <f>SUM(H97:H99)</f>
        <v>0</v>
      </c>
      <c r="I100" s="302" t="s">
        <v>660</v>
      </c>
      <c r="J100" s="303">
        <f>SUM(J97:J99)</f>
        <v>0</v>
      </c>
      <c r="K100" s="286" t="str">
        <f t="shared" si="7"/>
        <v>n.é.</v>
      </c>
    </row>
    <row r="101" spans="1:11" ht="20.100000000000001" customHeight="1" x14ac:dyDescent="0.2">
      <c r="A101" s="265" t="s">
        <v>225</v>
      </c>
      <c r="B101" s="272" t="s">
        <v>348</v>
      </c>
      <c r="C101" s="267" t="s">
        <v>349</v>
      </c>
      <c r="D101" s="304"/>
      <c r="E101" s="376"/>
      <c r="F101" s="304"/>
      <c r="G101" s="305" t="s">
        <v>660</v>
      </c>
      <c r="H101" s="304"/>
      <c r="I101" s="305" t="s">
        <v>660</v>
      </c>
      <c r="J101" s="304"/>
      <c r="K101" s="288" t="str">
        <f t="shared" si="7"/>
        <v>n.é.</v>
      </c>
    </row>
    <row r="102" spans="1:11" ht="20.100000000000001" customHeight="1" x14ac:dyDescent="0.2">
      <c r="A102" s="265" t="s">
        <v>226</v>
      </c>
      <c r="B102" s="266" t="s">
        <v>686</v>
      </c>
      <c r="C102" s="267" t="s">
        <v>350</v>
      </c>
      <c r="D102" s="304"/>
      <c r="E102" s="376"/>
      <c r="F102" s="304"/>
      <c r="G102" s="305" t="s">
        <v>660</v>
      </c>
      <c r="H102" s="304"/>
      <c r="I102" s="305" t="s">
        <v>660</v>
      </c>
      <c r="J102" s="304"/>
      <c r="K102" s="288" t="str">
        <f t="shared" si="7"/>
        <v>n.é.</v>
      </c>
    </row>
    <row r="103" spans="1:11" ht="20.100000000000001" customHeight="1" x14ac:dyDescent="0.2">
      <c r="A103" s="265" t="s">
        <v>227</v>
      </c>
      <c r="B103" s="272" t="s">
        <v>351</v>
      </c>
      <c r="C103" s="267" t="s">
        <v>352</v>
      </c>
      <c r="D103" s="304"/>
      <c r="E103" s="376"/>
      <c r="F103" s="304"/>
      <c r="G103" s="305" t="s">
        <v>660</v>
      </c>
      <c r="H103" s="304"/>
      <c r="I103" s="305" t="s">
        <v>660</v>
      </c>
      <c r="J103" s="304"/>
      <c r="K103" s="288" t="str">
        <f t="shared" si="7"/>
        <v>n.é.</v>
      </c>
    </row>
    <row r="104" spans="1:11" ht="20.100000000000001" customHeight="1" x14ac:dyDescent="0.2">
      <c r="A104" s="265" t="s">
        <v>228</v>
      </c>
      <c r="B104" s="266" t="s">
        <v>687</v>
      </c>
      <c r="C104" s="267" t="s">
        <v>353</v>
      </c>
      <c r="D104" s="304"/>
      <c r="E104" s="376"/>
      <c r="F104" s="304"/>
      <c r="G104" s="305" t="s">
        <v>660</v>
      </c>
      <c r="H104" s="304"/>
      <c r="I104" s="305" t="s">
        <v>660</v>
      </c>
      <c r="J104" s="304"/>
      <c r="K104" s="288" t="str">
        <f t="shared" si="7"/>
        <v>n.é.</v>
      </c>
    </row>
    <row r="105" spans="1:11" s="3" customFormat="1" ht="20.100000000000001" customHeight="1" x14ac:dyDescent="0.2">
      <c r="A105" s="306" t="s">
        <v>229</v>
      </c>
      <c r="B105" s="290" t="s">
        <v>689</v>
      </c>
      <c r="C105" s="291" t="s">
        <v>354</v>
      </c>
      <c r="D105" s="303">
        <f>SUM(D101:D104)</f>
        <v>0</v>
      </c>
      <c r="E105" s="378"/>
      <c r="F105" s="303"/>
      <c r="G105" s="302" t="s">
        <v>660</v>
      </c>
      <c r="H105" s="303"/>
      <c r="I105" s="302" t="s">
        <v>660</v>
      </c>
      <c r="J105" s="303"/>
      <c r="K105" s="286" t="str">
        <f t="shared" si="7"/>
        <v>n.é.</v>
      </c>
    </row>
    <row r="106" spans="1:11" ht="20.100000000000001" customHeight="1" x14ac:dyDescent="0.2">
      <c r="A106" s="265" t="s">
        <v>230</v>
      </c>
      <c r="B106" s="272" t="s">
        <v>355</v>
      </c>
      <c r="C106" s="267" t="s">
        <v>356</v>
      </c>
      <c r="D106" s="304">
        <v>44107095</v>
      </c>
      <c r="E106" s="376">
        <f>44107095+186167</f>
        <v>44293262</v>
      </c>
      <c r="F106" s="304"/>
      <c r="G106" s="305" t="s">
        <v>660</v>
      </c>
      <c r="H106" s="304"/>
      <c r="I106" s="305" t="s">
        <v>660</v>
      </c>
      <c r="J106" s="304">
        <v>44293262</v>
      </c>
      <c r="K106" s="288">
        <f t="shared" si="7"/>
        <v>1</v>
      </c>
    </row>
    <row r="107" spans="1:11" ht="20.100000000000001" customHeight="1" x14ac:dyDescent="0.2">
      <c r="A107" s="265" t="s">
        <v>231</v>
      </c>
      <c r="B107" s="272" t="s">
        <v>357</v>
      </c>
      <c r="C107" s="267" t="s">
        <v>358</v>
      </c>
      <c r="D107" s="304"/>
      <c r="E107" s="376"/>
      <c r="F107" s="304"/>
      <c r="G107" s="305" t="s">
        <v>660</v>
      </c>
      <c r="H107" s="304"/>
      <c r="I107" s="305" t="s">
        <v>660</v>
      </c>
      <c r="J107" s="304"/>
      <c r="K107" s="288" t="str">
        <f t="shared" si="7"/>
        <v>n.é.</v>
      </c>
    </row>
    <row r="108" spans="1:11" s="3" customFormat="1" ht="20.100000000000001" customHeight="1" x14ac:dyDescent="0.2">
      <c r="A108" s="306" t="s">
        <v>232</v>
      </c>
      <c r="B108" s="310" t="s">
        <v>691</v>
      </c>
      <c r="C108" s="291" t="s">
        <v>359</v>
      </c>
      <c r="D108" s="197">
        <f>SUM(D106:D107)</f>
        <v>44107095</v>
      </c>
      <c r="E108" s="380">
        <f>SUM(E106:E107)</f>
        <v>44293262</v>
      </c>
      <c r="F108" s="197">
        <f>SUM(F106:F107)</f>
        <v>0</v>
      </c>
      <c r="G108" s="206" t="s">
        <v>660</v>
      </c>
      <c r="H108" s="197">
        <f>SUM(H106:H107)</f>
        <v>0</v>
      </c>
      <c r="I108" s="206" t="s">
        <v>660</v>
      </c>
      <c r="J108" s="197">
        <f>SUM(J106:J107)</f>
        <v>44293262</v>
      </c>
      <c r="K108" s="286">
        <f t="shared" si="7"/>
        <v>1</v>
      </c>
    </row>
    <row r="109" spans="1:11" ht="20.100000000000001" customHeight="1" x14ac:dyDescent="0.2">
      <c r="A109" s="265" t="s">
        <v>233</v>
      </c>
      <c r="B109" s="266" t="s">
        <v>360</v>
      </c>
      <c r="C109" s="267" t="s">
        <v>361</v>
      </c>
      <c r="D109" s="304"/>
      <c r="E109" s="376"/>
      <c r="F109" s="304"/>
      <c r="G109" s="305" t="s">
        <v>660</v>
      </c>
      <c r="H109" s="304"/>
      <c r="I109" s="305" t="s">
        <v>660</v>
      </c>
      <c r="J109" s="304">
        <v>392917</v>
      </c>
      <c r="K109" s="288" t="str">
        <f t="shared" si="7"/>
        <v>n.é.</v>
      </c>
    </row>
    <row r="110" spans="1:11" ht="20.100000000000001" customHeight="1" x14ac:dyDescent="0.2">
      <c r="A110" s="265" t="s">
        <v>234</v>
      </c>
      <c r="B110" s="266" t="s">
        <v>362</v>
      </c>
      <c r="C110" s="267" t="s">
        <v>363</v>
      </c>
      <c r="D110" s="304"/>
      <c r="E110" s="376"/>
      <c r="F110" s="304"/>
      <c r="G110" s="305" t="s">
        <v>660</v>
      </c>
      <c r="H110" s="304"/>
      <c r="I110" s="305" t="s">
        <v>660</v>
      </c>
      <c r="J110" s="304"/>
      <c r="K110" s="288" t="str">
        <f t="shared" si="7"/>
        <v>n.é.</v>
      </c>
    </row>
    <row r="111" spans="1:11" ht="20.100000000000001" customHeight="1" x14ac:dyDescent="0.2">
      <c r="A111" s="265" t="s">
        <v>235</v>
      </c>
      <c r="B111" s="266" t="s">
        <v>364</v>
      </c>
      <c r="C111" s="267" t="s">
        <v>365</v>
      </c>
      <c r="D111" s="304"/>
      <c r="E111" s="376"/>
      <c r="F111" s="304"/>
      <c r="G111" s="305" t="s">
        <v>660</v>
      </c>
      <c r="H111" s="304"/>
      <c r="I111" s="305" t="s">
        <v>660</v>
      </c>
      <c r="J111" s="304"/>
      <c r="K111" s="288" t="str">
        <f t="shared" si="7"/>
        <v>n.é.</v>
      </c>
    </row>
    <row r="112" spans="1:11" ht="20.100000000000001" customHeight="1" x14ac:dyDescent="0.2">
      <c r="A112" s="265" t="s">
        <v>236</v>
      </c>
      <c r="B112" s="266" t="s">
        <v>690</v>
      </c>
      <c r="C112" s="267" t="s">
        <v>366</v>
      </c>
      <c r="D112" s="304"/>
      <c r="E112" s="376"/>
      <c r="F112" s="304"/>
      <c r="G112" s="305" t="s">
        <v>660</v>
      </c>
      <c r="H112" s="304"/>
      <c r="I112" s="305" t="s">
        <v>660</v>
      </c>
      <c r="J112" s="304"/>
      <c r="K112" s="288" t="str">
        <f t="shared" si="7"/>
        <v>n.é.</v>
      </c>
    </row>
    <row r="113" spans="1:11" ht="20.100000000000001" customHeight="1" x14ac:dyDescent="0.2">
      <c r="A113" s="265" t="s">
        <v>237</v>
      </c>
      <c r="B113" s="272" t="s">
        <v>367</v>
      </c>
      <c r="C113" s="267" t="s">
        <v>368</v>
      </c>
      <c r="D113" s="304"/>
      <c r="E113" s="376"/>
      <c r="F113" s="304"/>
      <c r="G113" s="305" t="s">
        <v>660</v>
      </c>
      <c r="H113" s="304"/>
      <c r="I113" s="305" t="s">
        <v>660</v>
      </c>
      <c r="J113" s="304"/>
      <c r="K113" s="288" t="str">
        <f t="shared" si="7"/>
        <v>n.é.</v>
      </c>
    </row>
    <row r="114" spans="1:11" ht="20.100000000000001" customHeight="1" x14ac:dyDescent="0.2">
      <c r="A114" s="265" t="s">
        <v>238</v>
      </c>
      <c r="B114" s="272" t="s">
        <v>695</v>
      </c>
      <c r="C114" s="267" t="s">
        <v>693</v>
      </c>
      <c r="D114" s="304"/>
      <c r="E114" s="376"/>
      <c r="F114" s="304"/>
      <c r="G114" s="305" t="s">
        <v>660</v>
      </c>
      <c r="H114" s="304"/>
      <c r="I114" s="305" t="s">
        <v>660</v>
      </c>
      <c r="J114" s="304"/>
      <c r="K114" s="288" t="str">
        <f t="shared" si="7"/>
        <v>n.é.</v>
      </c>
    </row>
    <row r="115" spans="1:11" ht="20.100000000000001" customHeight="1" x14ac:dyDescent="0.2">
      <c r="A115" s="265" t="s">
        <v>239</v>
      </c>
      <c r="B115" s="272" t="s">
        <v>696</v>
      </c>
      <c r="C115" s="267" t="s">
        <v>694</v>
      </c>
      <c r="D115" s="304"/>
      <c r="E115" s="376"/>
      <c r="F115" s="304"/>
      <c r="G115" s="305" t="s">
        <v>660</v>
      </c>
      <c r="H115" s="304"/>
      <c r="I115" s="305" t="s">
        <v>660</v>
      </c>
      <c r="J115" s="304"/>
      <c r="K115" s="288" t="str">
        <f t="shared" si="7"/>
        <v>n.é.</v>
      </c>
    </row>
    <row r="116" spans="1:11" s="3" customFormat="1" ht="20.100000000000001" customHeight="1" x14ac:dyDescent="0.2">
      <c r="A116" s="306" t="s">
        <v>240</v>
      </c>
      <c r="B116" s="310" t="s">
        <v>698</v>
      </c>
      <c r="C116" s="291" t="s">
        <v>692</v>
      </c>
      <c r="D116" s="334">
        <f>SUM(D114:D115)</f>
        <v>0</v>
      </c>
      <c r="E116" s="381">
        <f>SUM(E114:E115)</f>
        <v>0</v>
      </c>
      <c r="F116" s="334">
        <f>SUM(F114:F115)</f>
        <v>0</v>
      </c>
      <c r="G116" s="333" t="s">
        <v>660</v>
      </c>
      <c r="H116" s="334">
        <f>SUM(H114:H115)</f>
        <v>0</v>
      </c>
      <c r="I116" s="333" t="s">
        <v>660</v>
      </c>
      <c r="J116" s="334">
        <f>SUM(J114:J115)</f>
        <v>0</v>
      </c>
      <c r="K116" s="286" t="str">
        <f t="shared" si="7"/>
        <v>n.é.</v>
      </c>
    </row>
    <row r="117" spans="1:11" s="3" customFormat="1" ht="20.100000000000001" customHeight="1" x14ac:dyDescent="0.2">
      <c r="A117" s="306" t="s">
        <v>500</v>
      </c>
      <c r="B117" s="310" t="s">
        <v>697</v>
      </c>
      <c r="C117" s="291" t="s">
        <v>369</v>
      </c>
      <c r="D117" s="303">
        <f>D100+D105+SUM(D108:D113)</f>
        <v>44107095</v>
      </c>
      <c r="E117" s="378">
        <f>E100+E105+SUM(E108:E113)</f>
        <v>44293262</v>
      </c>
      <c r="F117" s="303">
        <f>F100+F105+SUM(F108:F113)</f>
        <v>0</v>
      </c>
      <c r="G117" s="302" t="s">
        <v>660</v>
      </c>
      <c r="H117" s="303">
        <f>H100+H105+SUM(H108:H113)</f>
        <v>0</v>
      </c>
      <c r="I117" s="302" t="s">
        <v>660</v>
      </c>
      <c r="J117" s="303">
        <f>J100+J105+SUM(J108:J113)</f>
        <v>44686179</v>
      </c>
      <c r="K117" s="286">
        <f t="shared" si="7"/>
        <v>1.0088708074830885</v>
      </c>
    </row>
    <row r="118" spans="1:11" ht="20.100000000000001" customHeight="1" x14ac:dyDescent="0.2">
      <c r="A118" s="265" t="s">
        <v>501</v>
      </c>
      <c r="B118" s="272" t="s">
        <v>370</v>
      </c>
      <c r="C118" s="267" t="s">
        <v>371</v>
      </c>
      <c r="D118" s="304"/>
      <c r="E118" s="376"/>
      <c r="F118" s="304"/>
      <c r="G118" s="305" t="s">
        <v>660</v>
      </c>
      <c r="H118" s="304"/>
      <c r="I118" s="305" t="s">
        <v>660</v>
      </c>
      <c r="J118" s="304"/>
      <c r="K118" s="288" t="str">
        <f t="shared" si="7"/>
        <v>n.é.</v>
      </c>
    </row>
    <row r="119" spans="1:11" ht="20.100000000000001" customHeight="1" x14ac:dyDescent="0.2">
      <c r="A119" s="265" t="s">
        <v>502</v>
      </c>
      <c r="B119" s="272" t="s">
        <v>372</v>
      </c>
      <c r="C119" s="267" t="s">
        <v>373</v>
      </c>
      <c r="D119" s="304"/>
      <c r="E119" s="376"/>
      <c r="F119" s="304"/>
      <c r="G119" s="305" t="s">
        <v>660</v>
      </c>
      <c r="H119" s="304"/>
      <c r="I119" s="305" t="s">
        <v>660</v>
      </c>
      <c r="J119" s="304"/>
      <c r="K119" s="288" t="str">
        <f t="shared" si="7"/>
        <v>n.é.</v>
      </c>
    </row>
    <row r="120" spans="1:11" ht="20.100000000000001" customHeight="1" x14ac:dyDescent="0.2">
      <c r="A120" s="265" t="s">
        <v>503</v>
      </c>
      <c r="B120" s="266" t="s">
        <v>374</v>
      </c>
      <c r="C120" s="267" t="s">
        <v>375</v>
      </c>
      <c r="D120" s="304"/>
      <c r="E120" s="376"/>
      <c r="F120" s="304"/>
      <c r="G120" s="305" t="s">
        <v>660</v>
      </c>
      <c r="H120" s="304"/>
      <c r="I120" s="305" t="s">
        <v>660</v>
      </c>
      <c r="J120" s="304"/>
      <c r="K120" s="288" t="str">
        <f t="shared" si="7"/>
        <v>n.é.</v>
      </c>
    </row>
    <row r="121" spans="1:11" ht="20.100000000000001" customHeight="1" x14ac:dyDescent="0.2">
      <c r="A121" s="265" t="s">
        <v>504</v>
      </c>
      <c r="B121" s="266" t="s">
        <v>701</v>
      </c>
      <c r="C121" s="267" t="s">
        <v>376</v>
      </c>
      <c r="D121" s="304"/>
      <c r="E121" s="376"/>
      <c r="F121" s="304"/>
      <c r="G121" s="305" t="s">
        <v>660</v>
      </c>
      <c r="H121" s="304"/>
      <c r="I121" s="305" t="s">
        <v>660</v>
      </c>
      <c r="J121" s="304"/>
      <c r="K121" s="288" t="str">
        <f t="shared" si="7"/>
        <v>n.é.</v>
      </c>
    </row>
    <row r="122" spans="1:11" ht="20.100000000000001" customHeight="1" x14ac:dyDescent="0.2">
      <c r="A122" s="265" t="s">
        <v>505</v>
      </c>
      <c r="B122" s="266" t="s">
        <v>700</v>
      </c>
      <c r="C122" s="267" t="s">
        <v>702</v>
      </c>
      <c r="D122" s="304"/>
      <c r="E122" s="376"/>
      <c r="F122" s="304"/>
      <c r="G122" s="305" t="s">
        <v>660</v>
      </c>
      <c r="H122" s="304"/>
      <c r="I122" s="305" t="s">
        <v>660</v>
      </c>
      <c r="J122" s="304"/>
      <c r="K122" s="288" t="str">
        <f t="shared" si="7"/>
        <v>n.é.</v>
      </c>
    </row>
    <row r="123" spans="1:11" s="3" customFormat="1" ht="20.100000000000001" customHeight="1" x14ac:dyDescent="0.2">
      <c r="A123" s="306" t="s">
        <v>506</v>
      </c>
      <c r="B123" s="290" t="s">
        <v>699</v>
      </c>
      <c r="C123" s="291" t="s">
        <v>377</v>
      </c>
      <c r="D123" s="303">
        <f>SUM(D118:D122)</f>
        <v>0</v>
      </c>
      <c r="E123" s="378">
        <f>SUM(E118:E121)</f>
        <v>0</v>
      </c>
      <c r="F123" s="303">
        <f>SUM(F118:F121)</f>
        <v>0</v>
      </c>
      <c r="G123" s="302" t="s">
        <v>660</v>
      </c>
      <c r="H123" s="303">
        <f>SUM(H118:H121)</f>
        <v>0</v>
      </c>
      <c r="I123" s="302" t="s">
        <v>660</v>
      </c>
      <c r="J123" s="303">
        <f>SUM(J118:J121)</f>
        <v>0</v>
      </c>
      <c r="K123" s="286" t="str">
        <f t="shared" si="7"/>
        <v>n.é.</v>
      </c>
    </row>
    <row r="124" spans="1:11" s="3" customFormat="1" ht="20.100000000000001" customHeight="1" x14ac:dyDescent="0.2">
      <c r="A124" s="265" t="s">
        <v>507</v>
      </c>
      <c r="B124" s="272" t="s">
        <v>378</v>
      </c>
      <c r="C124" s="267" t="s">
        <v>379</v>
      </c>
      <c r="D124" s="304"/>
      <c r="E124" s="376"/>
      <c r="F124" s="304"/>
      <c r="G124" s="305" t="s">
        <v>660</v>
      </c>
      <c r="H124" s="304"/>
      <c r="I124" s="305" t="s">
        <v>660</v>
      </c>
      <c r="J124" s="304"/>
      <c r="K124" s="288" t="str">
        <f t="shared" si="7"/>
        <v>n.é.</v>
      </c>
    </row>
    <row r="125" spans="1:11" ht="20.100000000000001" customHeight="1" x14ac:dyDescent="0.2">
      <c r="A125" s="265" t="s">
        <v>508</v>
      </c>
      <c r="B125" s="272" t="s">
        <v>706</v>
      </c>
      <c r="C125" s="267" t="s">
        <v>704</v>
      </c>
      <c r="D125" s="304"/>
      <c r="E125" s="376"/>
      <c r="F125" s="304"/>
      <c r="G125" s="305" t="s">
        <v>660</v>
      </c>
      <c r="H125" s="304"/>
      <c r="I125" s="305" t="s">
        <v>660</v>
      </c>
      <c r="J125" s="304"/>
      <c r="K125" s="288" t="str">
        <f t="shared" si="7"/>
        <v>n.é.</v>
      </c>
    </row>
    <row r="126" spans="1:11" s="3" customFormat="1" ht="20.100000000000001" customHeight="1" x14ac:dyDescent="0.2">
      <c r="A126" s="269" t="s">
        <v>509</v>
      </c>
      <c r="B126" s="324" t="s">
        <v>705</v>
      </c>
      <c r="C126" s="325" t="s">
        <v>380</v>
      </c>
      <c r="D126" s="326">
        <f>D117+D123+D125</f>
        <v>44107095</v>
      </c>
      <c r="E126" s="379">
        <f t="shared" ref="E126" si="8">E117+E123+E125</f>
        <v>44293262</v>
      </c>
      <c r="F126" s="326">
        <f t="shared" ref="F126" si="9">F117+F123+F125</f>
        <v>0</v>
      </c>
      <c r="G126" s="332" t="s">
        <v>660</v>
      </c>
      <c r="H126" s="326">
        <f t="shared" ref="H126" si="10">H117+H123+H125</f>
        <v>0</v>
      </c>
      <c r="I126" s="332" t="s">
        <v>660</v>
      </c>
      <c r="J126" s="326">
        <f t="shared" ref="J126" si="11">J117+J123+J125</f>
        <v>44686179</v>
      </c>
      <c r="K126" s="322">
        <f t="shared" si="7"/>
        <v>1.0088708074830885</v>
      </c>
    </row>
    <row r="127" spans="1:11" s="3" customFormat="1" ht="20.100000000000001" customHeight="1" x14ac:dyDescent="0.2">
      <c r="A127" s="261" t="s">
        <v>510</v>
      </c>
      <c r="B127" s="92" t="s">
        <v>703</v>
      </c>
      <c r="C127" s="5"/>
      <c r="D127" s="329">
        <f>D96+D126</f>
        <v>644996021</v>
      </c>
      <c r="E127" s="382">
        <f t="shared" ref="E127" si="12">E96+E126</f>
        <v>655935962</v>
      </c>
      <c r="F127" s="329">
        <f t="shared" ref="F127" si="13">F96+F126</f>
        <v>87702</v>
      </c>
      <c r="G127" s="330" t="s">
        <v>660</v>
      </c>
      <c r="H127" s="329">
        <f t="shared" ref="H127" si="14">H96+H126</f>
        <v>0</v>
      </c>
      <c r="I127" s="330" t="s">
        <v>660</v>
      </c>
      <c r="J127" s="329">
        <f t="shared" ref="J127" si="15">J96+J126</f>
        <v>395769570</v>
      </c>
      <c r="K127" s="331">
        <f t="shared" ref="K127:K158" si="16">IF(E127&gt;0,J127/E127,"n.é.")</f>
        <v>0.60336617128487313</v>
      </c>
    </row>
    <row r="128" spans="1:11" ht="20.100000000000001" customHeight="1" x14ac:dyDescent="0.2">
      <c r="A128" s="265" t="s">
        <v>511</v>
      </c>
      <c r="B128" s="316" t="s">
        <v>20</v>
      </c>
      <c r="C128" s="328" t="s">
        <v>51</v>
      </c>
      <c r="D128" s="304">
        <f>15610056+20612857/1.175</f>
        <v>33152913.021276597</v>
      </c>
      <c r="E128" s="376">
        <v>34057910</v>
      </c>
      <c r="F128" s="298"/>
      <c r="G128" s="298"/>
      <c r="H128" s="298"/>
      <c r="I128" s="298"/>
      <c r="J128" s="298">
        <v>32286996</v>
      </c>
      <c r="K128" s="299">
        <f t="shared" si="16"/>
        <v>0.94800285748597024</v>
      </c>
    </row>
    <row r="129" spans="1:11" ht="20.100000000000001" customHeight="1" x14ac:dyDescent="0.2">
      <c r="A129" s="265" t="s">
        <v>512</v>
      </c>
      <c r="B129" s="316" t="s">
        <v>47</v>
      </c>
      <c r="C129" s="268" t="s">
        <v>50</v>
      </c>
      <c r="D129" s="298"/>
      <c r="E129" s="376"/>
      <c r="F129" s="298"/>
      <c r="G129" s="298"/>
      <c r="H129" s="298"/>
      <c r="I129" s="298"/>
      <c r="J129" s="298"/>
      <c r="K129" s="299" t="str">
        <f t="shared" si="16"/>
        <v>n.é.</v>
      </c>
    </row>
    <row r="130" spans="1:11" ht="20.100000000000001" customHeight="1" x14ac:dyDescent="0.2">
      <c r="A130" s="265" t="s">
        <v>513</v>
      </c>
      <c r="B130" s="316" t="s">
        <v>46</v>
      </c>
      <c r="C130" s="268" t="s">
        <v>49</v>
      </c>
      <c r="D130" s="298">
        <v>631800</v>
      </c>
      <c r="E130" s="376">
        <v>631800</v>
      </c>
      <c r="F130" s="298"/>
      <c r="G130" s="298"/>
      <c r="H130" s="298"/>
      <c r="I130" s="298"/>
      <c r="J130" s="298">
        <v>631800</v>
      </c>
      <c r="K130" s="299">
        <f t="shared" si="16"/>
        <v>1</v>
      </c>
    </row>
    <row r="131" spans="1:11" ht="20.100000000000001" customHeight="1" x14ac:dyDescent="0.2">
      <c r="A131" s="265" t="s">
        <v>515</v>
      </c>
      <c r="B131" s="307" t="s">
        <v>19</v>
      </c>
      <c r="C131" s="268" t="s">
        <v>48</v>
      </c>
      <c r="D131" s="298"/>
      <c r="E131" s="376"/>
      <c r="F131" s="298"/>
      <c r="G131" s="298"/>
      <c r="H131" s="298"/>
      <c r="I131" s="298"/>
      <c r="J131" s="298"/>
      <c r="K131" s="299" t="str">
        <f t="shared" si="16"/>
        <v>n.é.</v>
      </c>
    </row>
    <row r="132" spans="1:11" ht="20.100000000000001" customHeight="1" x14ac:dyDescent="0.2">
      <c r="A132" s="265" t="s">
        <v>516</v>
      </c>
      <c r="B132" s="307" t="s">
        <v>16</v>
      </c>
      <c r="C132" s="268" t="s">
        <v>45</v>
      </c>
      <c r="D132" s="298"/>
      <c r="E132" s="376"/>
      <c r="F132" s="298"/>
      <c r="G132" s="298"/>
      <c r="H132" s="298"/>
      <c r="I132" s="298"/>
      <c r="J132" s="298"/>
      <c r="K132" s="299" t="str">
        <f t="shared" si="16"/>
        <v>n.é.</v>
      </c>
    </row>
    <row r="133" spans="1:11" ht="20.100000000000001" customHeight="1" x14ac:dyDescent="0.2">
      <c r="A133" s="265" t="s">
        <v>517</v>
      </c>
      <c r="B133" s="307" t="s">
        <v>17</v>
      </c>
      <c r="C133" s="268" t="s">
        <v>44</v>
      </c>
      <c r="D133" s="298"/>
      <c r="E133" s="376"/>
      <c r="F133" s="298"/>
      <c r="G133" s="298"/>
      <c r="H133" s="298"/>
      <c r="I133" s="298"/>
      <c r="J133" s="298"/>
      <c r="K133" s="299" t="str">
        <f t="shared" si="16"/>
        <v>n.é.</v>
      </c>
    </row>
    <row r="134" spans="1:11" ht="20.100000000000001" customHeight="1" x14ac:dyDescent="0.2">
      <c r="A134" s="265" t="s">
        <v>518</v>
      </c>
      <c r="B134" s="307" t="s">
        <v>21</v>
      </c>
      <c r="C134" s="268" t="s">
        <v>43</v>
      </c>
      <c r="D134" s="304">
        <v>1159500</v>
      </c>
      <c r="E134" s="376">
        <v>1318150</v>
      </c>
      <c r="F134" s="298"/>
      <c r="G134" s="298"/>
      <c r="H134" s="298"/>
      <c r="I134" s="298"/>
      <c r="J134" s="298">
        <v>1318150</v>
      </c>
      <c r="K134" s="299">
        <f t="shared" si="16"/>
        <v>1</v>
      </c>
    </row>
    <row r="135" spans="1:11" ht="20.100000000000001" customHeight="1" x14ac:dyDescent="0.2">
      <c r="A135" s="265" t="s">
        <v>519</v>
      </c>
      <c r="B135" s="307" t="s">
        <v>41</v>
      </c>
      <c r="C135" s="268" t="s">
        <v>42</v>
      </c>
      <c r="D135" s="298"/>
      <c r="E135" s="376"/>
      <c r="F135" s="298"/>
      <c r="G135" s="298"/>
      <c r="H135" s="298"/>
      <c r="I135" s="298"/>
      <c r="J135" s="298"/>
      <c r="K135" s="299" t="str">
        <f t="shared" si="16"/>
        <v>n.é.</v>
      </c>
    </row>
    <row r="136" spans="1:11" ht="20.100000000000001" customHeight="1" x14ac:dyDescent="0.2">
      <c r="A136" s="265" t="s">
        <v>520</v>
      </c>
      <c r="B136" s="272" t="s">
        <v>18</v>
      </c>
      <c r="C136" s="268" t="s">
        <v>40</v>
      </c>
      <c r="D136" s="298"/>
      <c r="E136" s="376"/>
      <c r="F136" s="298"/>
      <c r="G136" s="298"/>
      <c r="H136" s="298"/>
      <c r="I136" s="298"/>
      <c r="J136" s="298"/>
      <c r="K136" s="299" t="str">
        <f t="shared" si="16"/>
        <v>n.é.</v>
      </c>
    </row>
    <row r="137" spans="1:11" ht="20.100000000000001" customHeight="1" x14ac:dyDescent="0.2">
      <c r="A137" s="265" t="s">
        <v>521</v>
      </c>
      <c r="B137" s="272" t="s">
        <v>37</v>
      </c>
      <c r="C137" s="268" t="s">
        <v>39</v>
      </c>
      <c r="D137" s="298"/>
      <c r="E137" s="376"/>
      <c r="F137" s="298"/>
      <c r="G137" s="298"/>
      <c r="H137" s="298"/>
      <c r="I137" s="298"/>
      <c r="J137" s="298"/>
      <c r="K137" s="299" t="str">
        <f t="shared" si="16"/>
        <v>n.é.</v>
      </c>
    </row>
    <row r="138" spans="1:11" ht="20.100000000000001" customHeight="1" x14ac:dyDescent="0.2">
      <c r="A138" s="265" t="s">
        <v>522</v>
      </c>
      <c r="B138" s="272" t="s">
        <v>36</v>
      </c>
      <c r="C138" s="268" t="s">
        <v>38</v>
      </c>
      <c r="D138" s="298"/>
      <c r="E138" s="376"/>
      <c r="F138" s="298"/>
      <c r="G138" s="298"/>
      <c r="H138" s="298"/>
      <c r="I138" s="298"/>
      <c r="J138" s="298"/>
      <c r="K138" s="299" t="str">
        <f t="shared" si="16"/>
        <v>n.é.</v>
      </c>
    </row>
    <row r="139" spans="1:11" s="2" customFormat="1" ht="20.100000000000001" customHeight="1" x14ac:dyDescent="0.2">
      <c r="A139" s="265" t="s">
        <v>523</v>
      </c>
      <c r="B139" s="272" t="s">
        <v>35</v>
      </c>
      <c r="C139" s="268" t="s">
        <v>34</v>
      </c>
      <c r="D139" s="298"/>
      <c r="E139" s="376"/>
      <c r="F139" s="298"/>
      <c r="G139" s="298"/>
      <c r="H139" s="298"/>
      <c r="I139" s="298"/>
      <c r="J139" s="298"/>
      <c r="K139" s="299" t="str">
        <f t="shared" si="16"/>
        <v>n.é.</v>
      </c>
    </row>
    <row r="140" spans="1:11" s="2" customFormat="1" ht="20.100000000000001" customHeight="1" x14ac:dyDescent="0.2">
      <c r="A140" s="265" t="s">
        <v>524</v>
      </c>
      <c r="B140" s="272" t="s">
        <v>25</v>
      </c>
      <c r="C140" s="268" t="s">
        <v>33</v>
      </c>
      <c r="D140" s="298">
        <v>353383</v>
      </c>
      <c r="E140" s="376">
        <v>485793</v>
      </c>
      <c r="F140" s="298"/>
      <c r="G140" s="298"/>
      <c r="H140" s="298"/>
      <c r="I140" s="298"/>
      <c r="J140" s="298">
        <v>422689</v>
      </c>
      <c r="K140" s="299">
        <f t="shared" si="16"/>
        <v>0.87010105127080872</v>
      </c>
    </row>
    <row r="141" spans="1:11" s="2" customFormat="1" ht="20.100000000000001" customHeight="1" x14ac:dyDescent="0.2">
      <c r="A141" s="306" t="s">
        <v>525</v>
      </c>
      <c r="B141" s="318" t="s">
        <v>842</v>
      </c>
      <c r="C141" s="314" t="s">
        <v>27</v>
      </c>
      <c r="D141" s="303">
        <f t="shared" ref="D141:J141" si="17">SUM(D128:D140)</f>
        <v>35297596.021276593</v>
      </c>
      <c r="E141" s="378">
        <f t="shared" si="17"/>
        <v>36493653</v>
      </c>
      <c r="F141" s="303">
        <f t="shared" si="17"/>
        <v>0</v>
      </c>
      <c r="G141" s="303">
        <f t="shared" si="17"/>
        <v>0</v>
      </c>
      <c r="H141" s="303">
        <f t="shared" si="17"/>
        <v>0</v>
      </c>
      <c r="I141" s="303">
        <f t="shared" si="17"/>
        <v>0</v>
      </c>
      <c r="J141" s="303">
        <f t="shared" si="17"/>
        <v>34659635</v>
      </c>
      <c r="K141" s="286">
        <f t="shared" si="16"/>
        <v>0.94974419250383069</v>
      </c>
    </row>
    <row r="142" spans="1:11" ht="20.100000000000001" customHeight="1" x14ac:dyDescent="0.2">
      <c r="A142" s="265" t="s">
        <v>526</v>
      </c>
      <c r="B142" s="272" t="s">
        <v>22</v>
      </c>
      <c r="C142" s="268" t="s">
        <v>28</v>
      </c>
      <c r="D142" s="304">
        <v>13116320</v>
      </c>
      <c r="E142" s="376">
        <v>13103440</v>
      </c>
      <c r="F142" s="298"/>
      <c r="G142" s="298"/>
      <c r="H142" s="298"/>
      <c r="I142" s="298"/>
      <c r="J142" s="298">
        <v>8906600</v>
      </c>
      <c r="K142" s="299">
        <f t="shared" si="16"/>
        <v>0.67971463981977254</v>
      </c>
    </row>
    <row r="143" spans="1:11" ht="20.100000000000001" customHeight="1" x14ac:dyDescent="0.2">
      <c r="A143" s="265" t="s">
        <v>527</v>
      </c>
      <c r="B143" s="272" t="s">
        <v>426</v>
      </c>
      <c r="C143" s="268" t="s">
        <v>29</v>
      </c>
      <c r="D143" s="298">
        <v>2000000</v>
      </c>
      <c r="E143" s="376">
        <v>2000000</v>
      </c>
      <c r="F143" s="298"/>
      <c r="G143" s="298"/>
      <c r="H143" s="298"/>
      <c r="I143" s="298"/>
      <c r="J143" s="298">
        <v>655205</v>
      </c>
      <c r="K143" s="299">
        <f t="shared" si="16"/>
        <v>0.32760250000000002</v>
      </c>
    </row>
    <row r="144" spans="1:11" ht="20.100000000000001" customHeight="1" x14ac:dyDescent="0.2">
      <c r="A144" s="265" t="s">
        <v>528</v>
      </c>
      <c r="B144" s="266" t="s">
        <v>23</v>
      </c>
      <c r="C144" s="268" t="s">
        <v>30</v>
      </c>
      <c r="D144" s="304"/>
      <c r="E144" s="376">
        <v>35923</v>
      </c>
      <c r="F144" s="298"/>
      <c r="G144" s="298"/>
      <c r="H144" s="298"/>
      <c r="I144" s="298"/>
      <c r="J144" s="298">
        <v>35923</v>
      </c>
      <c r="K144" s="299">
        <f t="shared" si="16"/>
        <v>1</v>
      </c>
    </row>
    <row r="145" spans="1:11" ht="20.100000000000001" customHeight="1" x14ac:dyDescent="0.2">
      <c r="A145" s="306" t="s">
        <v>529</v>
      </c>
      <c r="B145" s="310" t="s">
        <v>843</v>
      </c>
      <c r="C145" s="314" t="s">
        <v>31</v>
      </c>
      <c r="D145" s="303">
        <f t="shared" ref="D145:J145" si="18">SUM(D142:D144)</f>
        <v>15116320</v>
      </c>
      <c r="E145" s="378">
        <f t="shared" si="18"/>
        <v>15139363</v>
      </c>
      <c r="F145" s="303">
        <f t="shared" si="18"/>
        <v>0</v>
      </c>
      <c r="G145" s="303">
        <f t="shared" si="18"/>
        <v>0</v>
      </c>
      <c r="H145" s="303">
        <f t="shared" si="18"/>
        <v>0</v>
      </c>
      <c r="I145" s="303">
        <f t="shared" si="18"/>
        <v>0</v>
      </c>
      <c r="J145" s="303">
        <f t="shared" si="18"/>
        <v>9597728</v>
      </c>
      <c r="K145" s="286">
        <f t="shared" si="16"/>
        <v>0.6339585093507567</v>
      </c>
    </row>
    <row r="146" spans="1:11" ht="20.100000000000001" customHeight="1" x14ac:dyDescent="0.2">
      <c r="A146" s="306" t="s">
        <v>530</v>
      </c>
      <c r="B146" s="318" t="s">
        <v>844</v>
      </c>
      <c r="C146" s="314" t="s">
        <v>32</v>
      </c>
      <c r="D146" s="303">
        <f>D141+D145</f>
        <v>50413916.021276593</v>
      </c>
      <c r="E146" s="378">
        <f t="shared" ref="E146" si="19">E141+E145</f>
        <v>51633016</v>
      </c>
      <c r="F146" s="303">
        <f t="shared" ref="F146" si="20">F141+F145</f>
        <v>0</v>
      </c>
      <c r="G146" s="303">
        <f t="shared" ref="G146" si="21">G141+G145</f>
        <v>0</v>
      </c>
      <c r="H146" s="303">
        <f t="shared" ref="H146" si="22">H141+H145</f>
        <v>0</v>
      </c>
      <c r="I146" s="303">
        <f t="shared" ref="I146" si="23">I141+I145</f>
        <v>0</v>
      </c>
      <c r="J146" s="303">
        <f t="shared" ref="J146" si="24">J141+J145</f>
        <v>44257363</v>
      </c>
      <c r="K146" s="286">
        <f t="shared" si="16"/>
        <v>0.85715238869641086</v>
      </c>
    </row>
    <row r="147" spans="1:11" s="3" customFormat="1" ht="20.100000000000001" customHeight="1" x14ac:dyDescent="0.2">
      <c r="A147" s="306" t="s">
        <v>531</v>
      </c>
      <c r="B147" s="310" t="s">
        <v>24</v>
      </c>
      <c r="C147" s="314" t="s">
        <v>52</v>
      </c>
      <c r="D147" s="303">
        <f>5412897+20612857*0.175+D143*0.175</f>
        <v>9370146.9749999996</v>
      </c>
      <c r="E147" s="378">
        <f>9370147-140000</f>
        <v>9230147</v>
      </c>
      <c r="F147" s="303">
        <v>0</v>
      </c>
      <c r="G147" s="303">
        <v>0</v>
      </c>
      <c r="H147" s="303">
        <v>0</v>
      </c>
      <c r="I147" s="303">
        <v>0</v>
      </c>
      <c r="J147" s="303">
        <v>6421372</v>
      </c>
      <c r="K147" s="286">
        <f t="shared" si="16"/>
        <v>0.69569552900945131</v>
      </c>
    </row>
    <row r="148" spans="1:11" ht="20.100000000000001" customHeight="1" x14ac:dyDescent="0.2">
      <c r="A148" s="265" t="s">
        <v>532</v>
      </c>
      <c r="B148" s="272" t="s">
        <v>63</v>
      </c>
      <c r="C148" s="268" t="s">
        <v>82</v>
      </c>
      <c r="D148" s="298">
        <v>280000</v>
      </c>
      <c r="E148" s="376">
        <f>280000-500</f>
        <v>279500</v>
      </c>
      <c r="F148" s="298"/>
      <c r="G148" s="298"/>
      <c r="H148" s="298"/>
      <c r="I148" s="298"/>
      <c r="J148" s="298">
        <v>217058</v>
      </c>
      <c r="K148" s="299">
        <f t="shared" si="16"/>
        <v>0.77659391771019681</v>
      </c>
    </row>
    <row r="149" spans="1:11" ht="20.100000000000001" customHeight="1" x14ac:dyDescent="0.2">
      <c r="A149" s="265" t="s">
        <v>533</v>
      </c>
      <c r="B149" s="272" t="s">
        <v>64</v>
      </c>
      <c r="C149" s="268" t="s">
        <v>83</v>
      </c>
      <c r="D149" s="298">
        <v>6800000</v>
      </c>
      <c r="E149" s="376">
        <f>6800000</f>
        <v>6800000</v>
      </c>
      <c r="F149" s="298"/>
      <c r="G149" s="298"/>
      <c r="H149" s="298"/>
      <c r="I149" s="298"/>
      <c r="J149" s="298">
        <v>4691731</v>
      </c>
      <c r="K149" s="299">
        <f t="shared" si="16"/>
        <v>0.6899604411764706</v>
      </c>
    </row>
    <row r="150" spans="1:11" ht="20.100000000000001" customHeight="1" x14ac:dyDescent="0.2">
      <c r="A150" s="265" t="s">
        <v>534</v>
      </c>
      <c r="B150" s="272" t="s">
        <v>65</v>
      </c>
      <c r="C150" s="268" t="s">
        <v>84</v>
      </c>
      <c r="D150" s="298"/>
      <c r="E150" s="376"/>
      <c r="F150" s="298"/>
      <c r="G150" s="298"/>
      <c r="H150" s="298"/>
      <c r="I150" s="298"/>
      <c r="J150" s="298"/>
      <c r="K150" s="299" t="str">
        <f t="shared" si="16"/>
        <v>n.é.</v>
      </c>
    </row>
    <row r="151" spans="1:11" ht="20.100000000000001" customHeight="1" x14ac:dyDescent="0.2">
      <c r="A151" s="306" t="s">
        <v>535</v>
      </c>
      <c r="B151" s="310" t="s">
        <v>845</v>
      </c>
      <c r="C151" s="314" t="s">
        <v>92</v>
      </c>
      <c r="D151" s="303">
        <f t="shared" ref="D151:J151" si="25">SUM(D148:D150)</f>
        <v>7080000</v>
      </c>
      <c r="E151" s="378">
        <f t="shared" si="25"/>
        <v>7079500</v>
      </c>
      <c r="F151" s="303">
        <f t="shared" si="25"/>
        <v>0</v>
      </c>
      <c r="G151" s="303">
        <f t="shared" si="25"/>
        <v>0</v>
      </c>
      <c r="H151" s="303">
        <f t="shared" si="25"/>
        <v>0</v>
      </c>
      <c r="I151" s="303">
        <f t="shared" si="25"/>
        <v>0</v>
      </c>
      <c r="J151" s="303">
        <f t="shared" si="25"/>
        <v>4908789</v>
      </c>
      <c r="K151" s="286">
        <f t="shared" si="16"/>
        <v>0.69338074722791154</v>
      </c>
    </row>
    <row r="152" spans="1:11" ht="20.100000000000001" customHeight="1" x14ac:dyDescent="0.2">
      <c r="A152" s="265" t="s">
        <v>536</v>
      </c>
      <c r="B152" s="272" t="s">
        <v>66</v>
      </c>
      <c r="C152" s="268" t="s">
        <v>85</v>
      </c>
      <c r="D152" s="298">
        <v>2040000</v>
      </c>
      <c r="E152" s="376">
        <v>2040000</v>
      </c>
      <c r="F152" s="298"/>
      <c r="G152" s="298"/>
      <c r="H152" s="298"/>
      <c r="I152" s="298"/>
      <c r="J152" s="298">
        <v>1125717</v>
      </c>
      <c r="K152" s="299">
        <f t="shared" si="16"/>
        <v>0.55182205882352942</v>
      </c>
    </row>
    <row r="153" spans="1:11" ht="20.100000000000001" customHeight="1" x14ac:dyDescent="0.2">
      <c r="A153" s="265" t="s">
        <v>537</v>
      </c>
      <c r="B153" s="272" t="s">
        <v>67</v>
      </c>
      <c r="C153" s="268" t="s">
        <v>86</v>
      </c>
      <c r="D153" s="298">
        <v>700000</v>
      </c>
      <c r="E153" s="376">
        <v>1031922</v>
      </c>
      <c r="F153" s="298"/>
      <c r="G153" s="298"/>
      <c r="H153" s="298"/>
      <c r="I153" s="298"/>
      <c r="J153" s="298">
        <v>744093</v>
      </c>
      <c r="K153" s="299">
        <f t="shared" si="16"/>
        <v>0.72107484868042349</v>
      </c>
    </row>
    <row r="154" spans="1:11" ht="20.100000000000001" customHeight="1" x14ac:dyDescent="0.2">
      <c r="A154" s="306" t="s">
        <v>538</v>
      </c>
      <c r="B154" s="310" t="s">
        <v>846</v>
      </c>
      <c r="C154" s="314" t="s">
        <v>93</v>
      </c>
      <c r="D154" s="303">
        <f t="shared" ref="D154:J154" si="26">SUM(D152:D153)</f>
        <v>2740000</v>
      </c>
      <c r="E154" s="378">
        <f t="shared" si="26"/>
        <v>3071922</v>
      </c>
      <c r="F154" s="303">
        <f t="shared" si="26"/>
        <v>0</v>
      </c>
      <c r="G154" s="303">
        <f t="shared" si="26"/>
        <v>0</v>
      </c>
      <c r="H154" s="303">
        <f t="shared" si="26"/>
        <v>0</v>
      </c>
      <c r="I154" s="303">
        <f t="shared" si="26"/>
        <v>0</v>
      </c>
      <c r="J154" s="303">
        <f t="shared" si="26"/>
        <v>1869810</v>
      </c>
      <c r="K154" s="286">
        <f t="shared" si="16"/>
        <v>0.60867756407877549</v>
      </c>
    </row>
    <row r="155" spans="1:11" ht="20.100000000000001" customHeight="1" x14ac:dyDescent="0.2">
      <c r="A155" s="265" t="s">
        <v>539</v>
      </c>
      <c r="B155" s="272" t="s">
        <v>68</v>
      </c>
      <c r="C155" s="268" t="s">
        <v>87</v>
      </c>
      <c r="D155" s="298">
        <v>6350000</v>
      </c>
      <c r="E155" s="376">
        <v>8330653</v>
      </c>
      <c r="F155" s="298"/>
      <c r="G155" s="298"/>
      <c r="H155" s="298"/>
      <c r="I155" s="298"/>
      <c r="J155" s="298">
        <v>5547308</v>
      </c>
      <c r="K155" s="299">
        <f t="shared" si="16"/>
        <v>0.66589113722537718</v>
      </c>
    </row>
    <row r="156" spans="1:11" ht="20.100000000000001" customHeight="1" x14ac:dyDescent="0.2">
      <c r="A156" s="265" t="s">
        <v>707</v>
      </c>
      <c r="B156" s="272" t="s">
        <v>69</v>
      </c>
      <c r="C156" s="268" t="s">
        <v>88</v>
      </c>
      <c r="D156" s="298"/>
      <c r="E156" s="376">
        <v>107574</v>
      </c>
      <c r="F156" s="298"/>
      <c r="G156" s="298"/>
      <c r="H156" s="298"/>
      <c r="I156" s="298"/>
      <c r="J156" s="298">
        <v>107574</v>
      </c>
      <c r="K156" s="299">
        <f t="shared" si="16"/>
        <v>1</v>
      </c>
    </row>
    <row r="157" spans="1:11" ht="20.100000000000001" customHeight="1" x14ac:dyDescent="0.2">
      <c r="A157" s="265" t="s">
        <v>708</v>
      </c>
      <c r="B157" s="272" t="s">
        <v>70</v>
      </c>
      <c r="C157" s="268" t="s">
        <v>89</v>
      </c>
      <c r="D157" s="298">
        <v>2000000</v>
      </c>
      <c r="E157" s="376">
        <v>2254368</v>
      </c>
      <c r="F157" s="298"/>
      <c r="G157" s="298"/>
      <c r="H157" s="298"/>
      <c r="I157" s="298"/>
      <c r="J157" s="298">
        <v>1997622</v>
      </c>
      <c r="K157" s="299">
        <f t="shared" si="16"/>
        <v>0.8861117616999532</v>
      </c>
    </row>
    <row r="158" spans="1:11" ht="20.100000000000001" customHeight="1" x14ac:dyDescent="0.2">
      <c r="A158" s="265" t="s">
        <v>709</v>
      </c>
      <c r="B158" s="272" t="s">
        <v>71</v>
      </c>
      <c r="C158" s="268" t="s">
        <v>90</v>
      </c>
      <c r="D158" s="298">
        <v>5500000</v>
      </c>
      <c r="E158" s="383">
        <f>5566603+2000000</f>
        <v>7566603</v>
      </c>
      <c r="F158" s="298"/>
      <c r="G158" s="298"/>
      <c r="H158" s="298"/>
      <c r="I158" s="298"/>
      <c r="J158" s="298">
        <v>4950603</v>
      </c>
      <c r="K158" s="299">
        <f t="shared" si="16"/>
        <v>0.65427021874941771</v>
      </c>
    </row>
    <row r="159" spans="1:11" ht="20.100000000000001" customHeight="1" x14ac:dyDescent="0.2">
      <c r="A159" s="265" t="s">
        <v>710</v>
      </c>
      <c r="B159" s="313" t="s">
        <v>72</v>
      </c>
      <c r="C159" s="268" t="s">
        <v>91</v>
      </c>
      <c r="D159" s="298">
        <v>2000000</v>
      </c>
      <c r="E159" s="376">
        <v>4431387</v>
      </c>
      <c r="F159" s="298"/>
      <c r="G159" s="298"/>
      <c r="H159" s="298"/>
      <c r="I159" s="298"/>
      <c r="J159" s="298">
        <v>3066502</v>
      </c>
      <c r="K159" s="299">
        <f t="shared" ref="K159:K190" si="27">IF(E159&gt;0,J159/E159,"n.é.")</f>
        <v>0.69199598229628778</v>
      </c>
    </row>
    <row r="160" spans="1:11" ht="20.100000000000001" customHeight="1" x14ac:dyDescent="0.2">
      <c r="A160" s="265" t="s">
        <v>711</v>
      </c>
      <c r="B160" s="266" t="s">
        <v>73</v>
      </c>
      <c r="C160" s="268" t="s">
        <v>94</v>
      </c>
      <c r="D160" s="298">
        <f>25000000+6255821+(2573961)-6910249+4482679</f>
        <v>31402212</v>
      </c>
      <c r="E160" s="376">
        <v>31402212</v>
      </c>
      <c r="F160" s="298"/>
      <c r="G160" s="298"/>
      <c r="H160" s="298"/>
      <c r="I160" s="298"/>
      <c r="J160" s="298">
        <v>20191226</v>
      </c>
      <c r="K160" s="299">
        <f t="shared" si="27"/>
        <v>0.64298737936040939</v>
      </c>
    </row>
    <row r="161" spans="1:11" ht="20.100000000000001" customHeight="1" x14ac:dyDescent="0.2">
      <c r="A161" s="265" t="s">
        <v>712</v>
      </c>
      <c r="B161" s="272" t="s">
        <v>74</v>
      </c>
      <c r="C161" s="268" t="s">
        <v>95</v>
      </c>
      <c r="D161" s="298">
        <v>6000000</v>
      </c>
      <c r="E161" s="383">
        <f>7804042+601980</f>
        <v>8406022</v>
      </c>
      <c r="F161" s="298"/>
      <c r="G161" s="298"/>
      <c r="H161" s="298"/>
      <c r="I161" s="298"/>
      <c r="J161" s="298">
        <v>5674882</v>
      </c>
      <c r="K161" s="299">
        <f t="shared" si="27"/>
        <v>0.67509721007154155</v>
      </c>
    </row>
    <row r="162" spans="1:11" ht="20.100000000000001" customHeight="1" x14ac:dyDescent="0.2">
      <c r="A162" s="306" t="s">
        <v>713</v>
      </c>
      <c r="B162" s="310" t="s">
        <v>847</v>
      </c>
      <c r="C162" s="314" t="s">
        <v>96</v>
      </c>
      <c r="D162" s="303">
        <f t="shared" ref="D162:J162" si="28">SUM(D155:D161)</f>
        <v>53252212</v>
      </c>
      <c r="E162" s="378">
        <f t="shared" si="28"/>
        <v>62498819</v>
      </c>
      <c r="F162" s="303">
        <f t="shared" si="28"/>
        <v>0</v>
      </c>
      <c r="G162" s="303">
        <f t="shared" si="28"/>
        <v>0</v>
      </c>
      <c r="H162" s="303">
        <f t="shared" si="28"/>
        <v>0</v>
      </c>
      <c r="I162" s="303">
        <f t="shared" si="28"/>
        <v>0</v>
      </c>
      <c r="J162" s="303">
        <f t="shared" si="28"/>
        <v>41535717</v>
      </c>
      <c r="K162" s="286">
        <f t="shared" si="27"/>
        <v>0.66458402997983046</v>
      </c>
    </row>
    <row r="163" spans="1:11" ht="20.100000000000001" customHeight="1" x14ac:dyDescent="0.2">
      <c r="A163" s="265" t="s">
        <v>714</v>
      </c>
      <c r="B163" s="272" t="s">
        <v>75</v>
      </c>
      <c r="C163" s="268" t="s">
        <v>97</v>
      </c>
      <c r="D163" s="298">
        <v>120000</v>
      </c>
      <c r="E163" s="376">
        <v>120000</v>
      </c>
      <c r="F163" s="298"/>
      <c r="G163" s="298"/>
      <c r="H163" s="298"/>
      <c r="I163" s="298"/>
      <c r="J163" s="298">
        <v>19450</v>
      </c>
      <c r="K163" s="299">
        <f t="shared" si="27"/>
        <v>0.16208333333333333</v>
      </c>
    </row>
    <row r="164" spans="1:11" ht="20.100000000000001" customHeight="1" x14ac:dyDescent="0.2">
      <c r="A164" s="265" t="s">
        <v>715</v>
      </c>
      <c r="B164" s="272" t="s">
        <v>76</v>
      </c>
      <c r="C164" s="268" t="s">
        <v>98</v>
      </c>
      <c r="D164" s="298">
        <v>500000</v>
      </c>
      <c r="E164" s="376">
        <v>858197</v>
      </c>
      <c r="F164" s="298"/>
      <c r="G164" s="298"/>
      <c r="H164" s="298"/>
      <c r="I164" s="298"/>
      <c r="J164" s="298">
        <v>404755</v>
      </c>
      <c r="K164" s="299">
        <f t="shared" si="27"/>
        <v>0.47163413528595416</v>
      </c>
    </row>
    <row r="165" spans="1:11" ht="20.100000000000001" customHeight="1" x14ac:dyDescent="0.2">
      <c r="A165" s="306" t="s">
        <v>716</v>
      </c>
      <c r="B165" s="310" t="s">
        <v>848</v>
      </c>
      <c r="C165" s="314" t="s">
        <v>99</v>
      </c>
      <c r="D165" s="303">
        <f t="shared" ref="D165:J165" si="29">SUM(D163:D164)</f>
        <v>620000</v>
      </c>
      <c r="E165" s="378">
        <f t="shared" si="29"/>
        <v>978197</v>
      </c>
      <c r="F165" s="303">
        <f t="shared" si="29"/>
        <v>0</v>
      </c>
      <c r="G165" s="303">
        <f t="shared" si="29"/>
        <v>0</v>
      </c>
      <c r="H165" s="303">
        <f t="shared" si="29"/>
        <v>0</v>
      </c>
      <c r="I165" s="303">
        <f t="shared" si="29"/>
        <v>0</v>
      </c>
      <c r="J165" s="303">
        <f t="shared" si="29"/>
        <v>424205</v>
      </c>
      <c r="K165" s="286">
        <f t="shared" si="27"/>
        <v>0.43366009096327224</v>
      </c>
    </row>
    <row r="166" spans="1:11" ht="20.100000000000001" customHeight="1" x14ac:dyDescent="0.2">
      <c r="A166" s="285" t="s">
        <v>717</v>
      </c>
      <c r="B166" s="272" t="s">
        <v>77</v>
      </c>
      <c r="C166" s="268" t="s">
        <v>100</v>
      </c>
      <c r="D166" s="298">
        <f>7880000+(694969)</f>
        <v>8574969</v>
      </c>
      <c r="E166" s="376">
        <v>8671682</v>
      </c>
      <c r="F166" s="298"/>
      <c r="G166" s="298"/>
      <c r="H166" s="298"/>
      <c r="I166" s="298"/>
      <c r="J166" s="298">
        <v>6138498</v>
      </c>
      <c r="K166" s="299">
        <f t="shared" si="27"/>
        <v>0.7078785868762254</v>
      </c>
    </row>
    <row r="167" spans="1:11" ht="20.100000000000001" customHeight="1" x14ac:dyDescent="0.2">
      <c r="A167" s="285" t="s">
        <v>718</v>
      </c>
      <c r="B167" s="272" t="s">
        <v>78</v>
      </c>
      <c r="C167" s="268" t="s">
        <v>101</v>
      </c>
      <c r="D167" s="298"/>
      <c r="E167" s="376"/>
      <c r="F167" s="298"/>
      <c r="G167" s="298"/>
      <c r="H167" s="298"/>
      <c r="I167" s="298"/>
      <c r="J167" s="298"/>
      <c r="K167" s="299" t="str">
        <f t="shared" si="27"/>
        <v>n.é.</v>
      </c>
    </row>
    <row r="168" spans="1:11" ht="20.100000000000001" customHeight="1" x14ac:dyDescent="0.2">
      <c r="A168" s="285" t="s">
        <v>719</v>
      </c>
      <c r="B168" s="272" t="s">
        <v>79</v>
      </c>
      <c r="C168" s="268" t="s">
        <v>102</v>
      </c>
      <c r="D168" s="298"/>
      <c r="E168" s="376"/>
      <c r="F168" s="298"/>
      <c r="G168" s="298"/>
      <c r="H168" s="298"/>
      <c r="I168" s="298"/>
      <c r="J168" s="298"/>
      <c r="K168" s="299" t="str">
        <f t="shared" si="27"/>
        <v>n.é.</v>
      </c>
    </row>
    <row r="169" spans="1:11" ht="20.100000000000001" customHeight="1" x14ac:dyDescent="0.2">
      <c r="A169" s="285" t="s">
        <v>720</v>
      </c>
      <c r="B169" s="272" t="s">
        <v>80</v>
      </c>
      <c r="C169" s="268" t="s">
        <v>103</v>
      </c>
      <c r="D169" s="298"/>
      <c r="E169" s="376"/>
      <c r="F169" s="298"/>
      <c r="G169" s="298"/>
      <c r="H169" s="298"/>
      <c r="I169" s="298"/>
      <c r="J169" s="298"/>
      <c r="K169" s="299" t="str">
        <f t="shared" si="27"/>
        <v>n.é.</v>
      </c>
    </row>
    <row r="170" spans="1:11" ht="20.100000000000001" customHeight="1" x14ac:dyDescent="0.2">
      <c r="A170" s="285" t="s">
        <v>721</v>
      </c>
      <c r="B170" s="272" t="s">
        <v>81</v>
      </c>
      <c r="C170" s="268" t="s">
        <v>104</v>
      </c>
      <c r="D170" s="298">
        <f>11400000-5200000</f>
        <v>6200000</v>
      </c>
      <c r="E170" s="383">
        <f>3493533-2000000-601980</f>
        <v>891553</v>
      </c>
      <c r="F170" s="298"/>
      <c r="G170" s="298"/>
      <c r="H170" s="298"/>
      <c r="I170" s="298"/>
      <c r="J170" s="298">
        <v>49599</v>
      </c>
      <c r="K170" s="299">
        <f t="shared" si="27"/>
        <v>5.5632138526817809E-2</v>
      </c>
    </row>
    <row r="171" spans="1:11" ht="20.100000000000001" customHeight="1" x14ac:dyDescent="0.2">
      <c r="A171" s="289" t="s">
        <v>722</v>
      </c>
      <c r="B171" s="310" t="s">
        <v>849</v>
      </c>
      <c r="C171" s="314" t="s">
        <v>105</v>
      </c>
      <c r="D171" s="303">
        <f t="shared" ref="D171:J171" si="30">SUM(D166:D170)</f>
        <v>14774969</v>
      </c>
      <c r="E171" s="378">
        <f t="shared" si="30"/>
        <v>9563235</v>
      </c>
      <c r="F171" s="303">
        <f t="shared" si="30"/>
        <v>0</v>
      </c>
      <c r="G171" s="303">
        <f t="shared" si="30"/>
        <v>0</v>
      </c>
      <c r="H171" s="303">
        <f t="shared" si="30"/>
        <v>0</v>
      </c>
      <c r="I171" s="303">
        <f t="shared" si="30"/>
        <v>0</v>
      </c>
      <c r="J171" s="303">
        <f t="shared" si="30"/>
        <v>6188097</v>
      </c>
      <c r="K171" s="286">
        <f t="shared" si="27"/>
        <v>0.64707151920871964</v>
      </c>
    </row>
    <row r="172" spans="1:11" ht="20.100000000000001" customHeight="1" x14ac:dyDescent="0.2">
      <c r="A172" s="289" t="s">
        <v>723</v>
      </c>
      <c r="B172" s="310" t="s">
        <v>850</v>
      </c>
      <c r="C172" s="314" t="s">
        <v>57</v>
      </c>
      <c r="D172" s="303">
        <f t="shared" ref="D172:J172" si="31">D151+D154+D162+D165+D171</f>
        <v>78467181</v>
      </c>
      <c r="E172" s="378">
        <f t="shared" si="31"/>
        <v>83191673</v>
      </c>
      <c r="F172" s="303">
        <f t="shared" si="31"/>
        <v>0</v>
      </c>
      <c r="G172" s="303">
        <f t="shared" si="31"/>
        <v>0</v>
      </c>
      <c r="H172" s="303">
        <f t="shared" si="31"/>
        <v>0</v>
      </c>
      <c r="I172" s="303">
        <f t="shared" si="31"/>
        <v>0</v>
      </c>
      <c r="J172" s="303">
        <f t="shared" si="31"/>
        <v>54926618</v>
      </c>
      <c r="K172" s="286">
        <f t="shared" si="27"/>
        <v>0.66024177684225682</v>
      </c>
    </row>
    <row r="173" spans="1:11" ht="20.100000000000001" customHeight="1" x14ac:dyDescent="0.2">
      <c r="A173" s="285" t="s">
        <v>724</v>
      </c>
      <c r="B173" s="272" t="s">
        <v>108</v>
      </c>
      <c r="C173" s="268" t="s">
        <v>116</v>
      </c>
      <c r="D173" s="298"/>
      <c r="E173" s="376"/>
      <c r="F173" s="298"/>
      <c r="G173" s="298"/>
      <c r="H173" s="298"/>
      <c r="I173" s="298"/>
      <c r="J173" s="298"/>
      <c r="K173" s="299" t="str">
        <f t="shared" si="27"/>
        <v>n.é.</v>
      </c>
    </row>
    <row r="174" spans="1:11" ht="20.100000000000001" customHeight="1" x14ac:dyDescent="0.2">
      <c r="A174" s="285" t="s">
        <v>725</v>
      </c>
      <c r="B174" s="272" t="s">
        <v>109</v>
      </c>
      <c r="C174" s="268" t="s">
        <v>117</v>
      </c>
      <c r="D174" s="298"/>
      <c r="E174" s="376"/>
      <c r="F174" s="298"/>
      <c r="G174" s="298"/>
      <c r="H174" s="298"/>
      <c r="I174" s="298"/>
      <c r="J174" s="298"/>
      <c r="K174" s="299" t="str">
        <f t="shared" si="27"/>
        <v>n.é.</v>
      </c>
    </row>
    <row r="175" spans="1:11" ht="20.100000000000001" customHeight="1" x14ac:dyDescent="0.2">
      <c r="A175" s="285" t="s">
        <v>726</v>
      </c>
      <c r="B175" s="313" t="s">
        <v>110</v>
      </c>
      <c r="C175" s="268" t="s">
        <v>118</v>
      </c>
      <c r="D175" s="298"/>
      <c r="E175" s="376"/>
      <c r="F175" s="298"/>
      <c r="G175" s="298"/>
      <c r="H175" s="298"/>
      <c r="I175" s="298"/>
      <c r="J175" s="298"/>
      <c r="K175" s="299" t="str">
        <f t="shared" si="27"/>
        <v>n.é.</v>
      </c>
    </row>
    <row r="176" spans="1:11" ht="20.100000000000001" customHeight="1" x14ac:dyDescent="0.2">
      <c r="A176" s="285" t="s">
        <v>727</v>
      </c>
      <c r="B176" s="313" t="s">
        <v>111</v>
      </c>
      <c r="C176" s="268" t="s">
        <v>119</v>
      </c>
      <c r="D176" s="298"/>
      <c r="E176" s="376"/>
      <c r="F176" s="298"/>
      <c r="G176" s="298"/>
      <c r="H176" s="298"/>
      <c r="I176" s="298"/>
      <c r="J176" s="298"/>
      <c r="K176" s="299" t="str">
        <f t="shared" si="27"/>
        <v>n.é.</v>
      </c>
    </row>
    <row r="177" spans="1:11" ht="20.100000000000001" customHeight="1" x14ac:dyDescent="0.2">
      <c r="A177" s="285" t="s">
        <v>728</v>
      </c>
      <c r="B177" s="313" t="s">
        <v>112</v>
      </c>
      <c r="C177" s="268" t="s">
        <v>120</v>
      </c>
      <c r="D177" s="298"/>
      <c r="E177" s="376"/>
      <c r="F177" s="298"/>
      <c r="G177" s="298"/>
      <c r="H177" s="298"/>
      <c r="I177" s="298"/>
      <c r="J177" s="298"/>
      <c r="K177" s="299" t="str">
        <f t="shared" si="27"/>
        <v>n.é.</v>
      </c>
    </row>
    <row r="178" spans="1:11" ht="20.100000000000001" customHeight="1" x14ac:dyDescent="0.2">
      <c r="A178" s="285" t="s">
        <v>729</v>
      </c>
      <c r="B178" s="272" t="s">
        <v>113</v>
      </c>
      <c r="C178" s="268" t="s">
        <v>121</v>
      </c>
      <c r="D178" s="298"/>
      <c r="E178" s="376"/>
      <c r="F178" s="298"/>
      <c r="G178" s="298"/>
      <c r="H178" s="298"/>
      <c r="I178" s="298"/>
      <c r="J178" s="298"/>
      <c r="K178" s="299" t="str">
        <f t="shared" si="27"/>
        <v>n.é.</v>
      </c>
    </row>
    <row r="179" spans="1:11" ht="20.100000000000001" customHeight="1" x14ac:dyDescent="0.2">
      <c r="A179" s="285" t="s">
        <v>730</v>
      </c>
      <c r="B179" s="272" t="s">
        <v>114</v>
      </c>
      <c r="C179" s="268" t="s">
        <v>122</v>
      </c>
      <c r="D179" s="298"/>
      <c r="E179" s="376"/>
      <c r="F179" s="298"/>
      <c r="G179" s="298"/>
      <c r="H179" s="298"/>
      <c r="I179" s="298"/>
      <c r="J179" s="298"/>
      <c r="K179" s="299" t="str">
        <f t="shared" si="27"/>
        <v>n.é.</v>
      </c>
    </row>
    <row r="180" spans="1:11" ht="20.100000000000001" customHeight="1" x14ac:dyDescent="0.2">
      <c r="A180" s="285" t="s">
        <v>731</v>
      </c>
      <c r="B180" s="272" t="s">
        <v>115</v>
      </c>
      <c r="C180" s="268" t="s">
        <v>123</v>
      </c>
      <c r="D180" s="298">
        <v>1600000</v>
      </c>
      <c r="E180" s="376">
        <v>2050000</v>
      </c>
      <c r="F180" s="298"/>
      <c r="G180" s="298"/>
      <c r="H180" s="298"/>
      <c r="I180" s="298"/>
      <c r="J180" s="298">
        <v>1948161</v>
      </c>
      <c r="K180" s="299">
        <f t="shared" si="27"/>
        <v>0.95032243902439029</v>
      </c>
    </row>
    <row r="181" spans="1:11" ht="20.100000000000001" customHeight="1" x14ac:dyDescent="0.2">
      <c r="A181" s="289" t="s">
        <v>732</v>
      </c>
      <c r="B181" s="310" t="s">
        <v>851</v>
      </c>
      <c r="C181" s="314" t="s">
        <v>58</v>
      </c>
      <c r="D181" s="303">
        <f t="shared" ref="D181:J181" si="32">D173+D174+D175+D176+D177+D178+D179+D180</f>
        <v>1600000</v>
      </c>
      <c r="E181" s="378">
        <f t="shared" si="32"/>
        <v>2050000</v>
      </c>
      <c r="F181" s="303">
        <f t="shared" si="32"/>
        <v>0</v>
      </c>
      <c r="G181" s="303">
        <f t="shared" si="32"/>
        <v>0</v>
      </c>
      <c r="H181" s="303">
        <f t="shared" si="32"/>
        <v>0</v>
      </c>
      <c r="I181" s="303">
        <f t="shared" si="32"/>
        <v>0</v>
      </c>
      <c r="J181" s="303">
        <f t="shared" si="32"/>
        <v>1948161</v>
      </c>
      <c r="K181" s="286">
        <f t="shared" si="27"/>
        <v>0.95032243902439029</v>
      </c>
    </row>
    <row r="182" spans="1:11" ht="20.100000000000001" customHeight="1" x14ac:dyDescent="0.2">
      <c r="A182" s="285" t="s">
        <v>760</v>
      </c>
      <c r="B182" s="307" t="s">
        <v>142</v>
      </c>
      <c r="C182" s="268" t="s">
        <v>131</v>
      </c>
      <c r="D182" s="298"/>
      <c r="E182" s="376"/>
      <c r="F182" s="298"/>
      <c r="G182" s="298"/>
      <c r="H182" s="298"/>
      <c r="I182" s="298"/>
      <c r="J182" s="298"/>
      <c r="K182" s="299" t="str">
        <f t="shared" si="27"/>
        <v>n.é.</v>
      </c>
    </row>
    <row r="183" spans="1:11" ht="20.100000000000001" customHeight="1" x14ac:dyDescent="0.2">
      <c r="A183" s="285" t="s">
        <v>761</v>
      </c>
      <c r="B183" s="307" t="s">
        <v>734</v>
      </c>
      <c r="C183" s="268" t="s">
        <v>733</v>
      </c>
      <c r="D183" s="298">
        <v>1544012</v>
      </c>
      <c r="E183" s="376">
        <v>1544012</v>
      </c>
      <c r="F183" s="298"/>
      <c r="G183" s="298"/>
      <c r="H183" s="298"/>
      <c r="I183" s="298"/>
      <c r="J183" s="298">
        <v>1532322</v>
      </c>
      <c r="K183" s="299">
        <f t="shared" si="27"/>
        <v>0.9924288153200882</v>
      </c>
    </row>
    <row r="184" spans="1:11" ht="20.100000000000001" customHeight="1" x14ac:dyDescent="0.2">
      <c r="A184" s="285" t="s">
        <v>762</v>
      </c>
      <c r="B184" s="307" t="s">
        <v>735</v>
      </c>
      <c r="C184" s="268" t="s">
        <v>736</v>
      </c>
      <c r="D184" s="298"/>
      <c r="E184" s="376"/>
      <c r="F184" s="298"/>
      <c r="G184" s="298"/>
      <c r="H184" s="298"/>
      <c r="I184" s="298"/>
      <c r="J184" s="298"/>
      <c r="K184" s="299" t="str">
        <f t="shared" si="27"/>
        <v>n.é.</v>
      </c>
    </row>
    <row r="185" spans="1:11" ht="20.100000000000001" customHeight="1" x14ac:dyDescent="0.2">
      <c r="A185" s="285" t="s">
        <v>763</v>
      </c>
      <c r="B185" s="307" t="s">
        <v>737</v>
      </c>
      <c r="C185" s="268" t="s">
        <v>738</v>
      </c>
      <c r="D185" s="298"/>
      <c r="E185" s="376"/>
      <c r="F185" s="298"/>
      <c r="G185" s="298"/>
      <c r="H185" s="298"/>
      <c r="I185" s="298"/>
      <c r="J185" s="298"/>
      <c r="K185" s="299" t="str">
        <f t="shared" si="27"/>
        <v>n.é.</v>
      </c>
    </row>
    <row r="186" spans="1:11" ht="20.100000000000001" customHeight="1" x14ac:dyDescent="0.2">
      <c r="A186" s="285" t="s">
        <v>764</v>
      </c>
      <c r="B186" s="307" t="s">
        <v>425</v>
      </c>
      <c r="C186" s="268" t="s">
        <v>132</v>
      </c>
      <c r="D186" s="298"/>
      <c r="E186" s="376"/>
      <c r="F186" s="298"/>
      <c r="G186" s="298"/>
      <c r="H186" s="298"/>
      <c r="I186" s="298"/>
      <c r="J186" s="298"/>
      <c r="K186" s="299" t="str">
        <f t="shared" si="27"/>
        <v>n.é.</v>
      </c>
    </row>
    <row r="187" spans="1:11" ht="20.100000000000001" customHeight="1" x14ac:dyDescent="0.2">
      <c r="A187" s="285" t="s">
        <v>765</v>
      </c>
      <c r="B187" s="307" t="s">
        <v>424</v>
      </c>
      <c r="C187" s="268" t="s">
        <v>133</v>
      </c>
      <c r="D187" s="298"/>
      <c r="E187" s="376"/>
      <c r="F187" s="298"/>
      <c r="G187" s="298"/>
      <c r="H187" s="298"/>
      <c r="I187" s="298"/>
      <c r="J187" s="298"/>
      <c r="K187" s="299" t="str">
        <f t="shared" si="27"/>
        <v>n.é.</v>
      </c>
    </row>
    <row r="188" spans="1:11" ht="20.100000000000001" customHeight="1" x14ac:dyDescent="0.2">
      <c r="A188" s="285" t="s">
        <v>766</v>
      </c>
      <c r="B188" s="307" t="s">
        <v>423</v>
      </c>
      <c r="C188" s="268" t="s">
        <v>134</v>
      </c>
      <c r="D188" s="298"/>
      <c r="E188" s="376"/>
      <c r="F188" s="298"/>
      <c r="G188" s="298"/>
      <c r="H188" s="298"/>
      <c r="I188" s="298"/>
      <c r="J188" s="298"/>
      <c r="K188" s="299" t="str">
        <f t="shared" si="27"/>
        <v>n.é.</v>
      </c>
    </row>
    <row r="189" spans="1:11" ht="20.100000000000001" customHeight="1" x14ac:dyDescent="0.2">
      <c r="A189" s="285" t="s">
        <v>767</v>
      </c>
      <c r="B189" s="307" t="s">
        <v>143</v>
      </c>
      <c r="C189" s="268" t="s">
        <v>135</v>
      </c>
      <c r="D189" s="298">
        <v>1600000</v>
      </c>
      <c r="E189" s="376">
        <v>14013159</v>
      </c>
      <c r="F189" s="298"/>
      <c r="G189" s="298"/>
      <c r="H189" s="298"/>
      <c r="I189" s="298"/>
      <c r="J189" s="298">
        <v>11337899</v>
      </c>
      <c r="K189" s="299">
        <f t="shared" si="27"/>
        <v>0.80908944228778112</v>
      </c>
    </row>
    <row r="190" spans="1:11" ht="20.100000000000001" customHeight="1" x14ac:dyDescent="0.2">
      <c r="A190" s="285" t="s">
        <v>768</v>
      </c>
      <c r="B190" s="307" t="s">
        <v>422</v>
      </c>
      <c r="C190" s="268" t="s">
        <v>136</v>
      </c>
      <c r="D190" s="298"/>
      <c r="E190" s="376"/>
      <c r="F190" s="298"/>
      <c r="G190" s="298"/>
      <c r="H190" s="298"/>
      <c r="I190" s="298"/>
      <c r="J190" s="298"/>
      <c r="K190" s="299" t="str">
        <f t="shared" si="27"/>
        <v>n.é.</v>
      </c>
    </row>
    <row r="191" spans="1:11" ht="20.100000000000001" customHeight="1" x14ac:dyDescent="0.2">
      <c r="A191" s="285" t="s">
        <v>769</v>
      </c>
      <c r="B191" s="307" t="s">
        <v>421</v>
      </c>
      <c r="C191" s="268" t="s">
        <v>137</v>
      </c>
      <c r="D191" s="298">
        <v>800000</v>
      </c>
      <c r="E191" s="376">
        <v>874985</v>
      </c>
      <c r="F191" s="298"/>
      <c r="G191" s="298"/>
      <c r="H191" s="298"/>
      <c r="I191" s="298"/>
      <c r="J191" s="298">
        <v>874983</v>
      </c>
      <c r="K191" s="299">
        <f t="shared" ref="K191:K195" si="33">IF(E191&gt;0,J191/E191,"n.é.")</f>
        <v>0.99999771424652995</v>
      </c>
    </row>
    <row r="192" spans="1:11" ht="20.100000000000001" customHeight="1" x14ac:dyDescent="0.2">
      <c r="A192" s="285" t="s">
        <v>770</v>
      </c>
      <c r="B192" s="307" t="s">
        <v>144</v>
      </c>
      <c r="C192" s="268" t="s">
        <v>138</v>
      </c>
      <c r="D192" s="298"/>
      <c r="E192" s="376"/>
      <c r="F192" s="298"/>
      <c r="G192" s="298"/>
      <c r="H192" s="298"/>
      <c r="I192" s="298"/>
      <c r="J192" s="298"/>
      <c r="K192" s="299" t="str">
        <f t="shared" si="33"/>
        <v>n.é.</v>
      </c>
    </row>
    <row r="193" spans="1:11" ht="20.100000000000001" customHeight="1" x14ac:dyDescent="0.2">
      <c r="A193" s="285" t="s">
        <v>771</v>
      </c>
      <c r="B193" s="316" t="s">
        <v>145</v>
      </c>
      <c r="C193" s="268" t="s">
        <v>139</v>
      </c>
      <c r="D193" s="298"/>
      <c r="E193" s="376"/>
      <c r="F193" s="298"/>
      <c r="G193" s="298"/>
      <c r="H193" s="298"/>
      <c r="I193" s="298"/>
      <c r="J193" s="298"/>
      <c r="K193" s="299" t="str">
        <f t="shared" si="33"/>
        <v>n.é.</v>
      </c>
    </row>
    <row r="194" spans="1:11" ht="20.100000000000001" customHeight="1" x14ac:dyDescent="0.2">
      <c r="A194" s="285" t="s">
        <v>772</v>
      </c>
      <c r="B194" s="307" t="s">
        <v>739</v>
      </c>
      <c r="C194" s="268" t="s">
        <v>140</v>
      </c>
      <c r="D194" s="298"/>
      <c r="E194" s="376"/>
      <c r="F194" s="298"/>
      <c r="G194" s="298"/>
      <c r="H194" s="298"/>
      <c r="I194" s="298"/>
      <c r="J194" s="298"/>
      <c r="K194" s="299" t="str">
        <f t="shared" si="33"/>
        <v>n.é.</v>
      </c>
    </row>
    <row r="195" spans="1:11" ht="20.100000000000001" customHeight="1" x14ac:dyDescent="0.2">
      <c r="A195" s="285" t="s">
        <v>773</v>
      </c>
      <c r="B195" s="307" t="s">
        <v>146</v>
      </c>
      <c r="C195" s="268" t="s">
        <v>141</v>
      </c>
      <c r="D195" s="298">
        <v>5250000</v>
      </c>
      <c r="E195" s="376">
        <f>5250000+500000</f>
        <v>5750000</v>
      </c>
      <c r="F195" s="298"/>
      <c r="G195" s="298"/>
      <c r="H195" s="298"/>
      <c r="I195" s="298"/>
      <c r="J195" s="298">
        <v>4631724</v>
      </c>
      <c r="K195" s="299">
        <f t="shared" si="33"/>
        <v>0.80551721739130433</v>
      </c>
    </row>
    <row r="196" spans="1:11" ht="20.100000000000001" customHeight="1" x14ac:dyDescent="0.2">
      <c r="A196" s="285" t="s">
        <v>774</v>
      </c>
      <c r="B196" s="316" t="s">
        <v>147</v>
      </c>
      <c r="C196" s="268" t="s">
        <v>740</v>
      </c>
      <c r="D196" s="315">
        <f>4482678</f>
        <v>4482678</v>
      </c>
      <c r="E196" s="376">
        <v>220344</v>
      </c>
      <c r="F196" s="297" t="s">
        <v>660</v>
      </c>
      <c r="G196" s="297" t="s">
        <v>660</v>
      </c>
      <c r="H196" s="297" t="s">
        <v>660</v>
      </c>
      <c r="I196" s="297" t="s">
        <v>660</v>
      </c>
      <c r="J196" s="297" t="s">
        <v>660</v>
      </c>
      <c r="K196" s="308" t="s">
        <v>662</v>
      </c>
    </row>
    <row r="197" spans="1:11" ht="20.100000000000001" customHeight="1" x14ac:dyDescent="0.2">
      <c r="A197" s="289" t="s">
        <v>775</v>
      </c>
      <c r="B197" s="310" t="s">
        <v>852</v>
      </c>
      <c r="C197" s="314" t="s">
        <v>59</v>
      </c>
      <c r="D197" s="303">
        <f t="shared" ref="D197:J197" si="34">SUM(D182:D196)</f>
        <v>13676690</v>
      </c>
      <c r="E197" s="378">
        <f t="shared" si="34"/>
        <v>22402500</v>
      </c>
      <c r="F197" s="303">
        <f t="shared" si="34"/>
        <v>0</v>
      </c>
      <c r="G197" s="303">
        <f t="shared" si="34"/>
        <v>0</v>
      </c>
      <c r="H197" s="303">
        <f t="shared" si="34"/>
        <v>0</v>
      </c>
      <c r="I197" s="303">
        <f t="shared" si="34"/>
        <v>0</v>
      </c>
      <c r="J197" s="303">
        <f t="shared" si="34"/>
        <v>18376928</v>
      </c>
      <c r="K197" s="286">
        <f t="shared" ref="K197:K228" si="35">IF(E197&gt;0,J197/E197,"n.é.")</f>
        <v>0.82030701930588101</v>
      </c>
    </row>
    <row r="198" spans="1:11" ht="20.100000000000001" customHeight="1" x14ac:dyDescent="0.2">
      <c r="A198" s="285" t="s">
        <v>776</v>
      </c>
      <c r="B198" s="327" t="s">
        <v>148</v>
      </c>
      <c r="C198" s="268" t="s">
        <v>124</v>
      </c>
      <c r="D198" s="298"/>
      <c r="E198" s="376"/>
      <c r="F198" s="298"/>
      <c r="G198" s="298"/>
      <c r="H198" s="298"/>
      <c r="I198" s="298"/>
      <c r="J198" s="298"/>
      <c r="K198" s="299" t="str">
        <f t="shared" si="35"/>
        <v>n.é.</v>
      </c>
    </row>
    <row r="199" spans="1:11" ht="20.100000000000001" customHeight="1" x14ac:dyDescent="0.2">
      <c r="A199" s="285" t="s">
        <v>777</v>
      </c>
      <c r="B199" s="327" t="s">
        <v>149</v>
      </c>
      <c r="C199" s="268" t="s">
        <v>125</v>
      </c>
      <c r="D199" s="298"/>
      <c r="E199" s="376">
        <v>8000000</v>
      </c>
      <c r="F199" s="298"/>
      <c r="G199" s="298"/>
      <c r="H199" s="298"/>
      <c r="I199" s="298"/>
      <c r="J199" s="298">
        <v>2054102</v>
      </c>
      <c r="K199" s="299">
        <f t="shared" si="35"/>
        <v>0.25676274999999998</v>
      </c>
    </row>
    <row r="200" spans="1:11" ht="20.100000000000001" customHeight="1" x14ac:dyDescent="0.2">
      <c r="A200" s="285" t="s">
        <v>778</v>
      </c>
      <c r="B200" s="327" t="s">
        <v>150</v>
      </c>
      <c r="C200" s="268" t="s">
        <v>126</v>
      </c>
      <c r="D200" s="298"/>
      <c r="E200" s="376">
        <v>328346</v>
      </c>
      <c r="F200" s="298"/>
      <c r="G200" s="298"/>
      <c r="H200" s="298"/>
      <c r="I200" s="298"/>
      <c r="J200" s="298">
        <v>328346</v>
      </c>
      <c r="K200" s="299">
        <f t="shared" si="35"/>
        <v>1</v>
      </c>
    </row>
    <row r="201" spans="1:11" ht="20.100000000000001" customHeight="1" x14ac:dyDescent="0.2">
      <c r="A201" s="285" t="s">
        <v>779</v>
      </c>
      <c r="B201" s="327" t="s">
        <v>151</v>
      </c>
      <c r="C201" s="268" t="s">
        <v>127</v>
      </c>
      <c r="D201" s="298">
        <v>19060087</v>
      </c>
      <c r="E201" s="376">
        <v>19060087</v>
      </c>
      <c r="F201" s="298"/>
      <c r="G201" s="298"/>
      <c r="H201" s="298"/>
      <c r="I201" s="298"/>
      <c r="J201" s="298">
        <v>13333879</v>
      </c>
      <c r="K201" s="299">
        <f t="shared" si="35"/>
        <v>0.69957073123538205</v>
      </c>
    </row>
    <row r="202" spans="1:11" ht="20.100000000000001" customHeight="1" x14ac:dyDescent="0.2">
      <c r="A202" s="285" t="s">
        <v>780</v>
      </c>
      <c r="B202" s="266" t="s">
        <v>152</v>
      </c>
      <c r="C202" s="268" t="s">
        <v>128</v>
      </c>
      <c r="D202" s="298"/>
      <c r="E202" s="376"/>
      <c r="F202" s="298"/>
      <c r="G202" s="298"/>
      <c r="H202" s="298"/>
      <c r="I202" s="298"/>
      <c r="J202" s="298"/>
      <c r="K202" s="299" t="str">
        <f t="shared" si="35"/>
        <v>n.é.</v>
      </c>
    </row>
    <row r="203" spans="1:11" ht="20.100000000000001" customHeight="1" x14ac:dyDescent="0.2">
      <c r="A203" s="285" t="s">
        <v>781</v>
      </c>
      <c r="B203" s="266" t="s">
        <v>153</v>
      </c>
      <c r="C203" s="268" t="s">
        <v>129</v>
      </c>
      <c r="D203" s="298"/>
      <c r="E203" s="376"/>
      <c r="F203" s="298"/>
      <c r="G203" s="298"/>
      <c r="H203" s="298"/>
      <c r="I203" s="298"/>
      <c r="J203" s="298"/>
      <c r="K203" s="299" t="str">
        <f t="shared" si="35"/>
        <v>n.é.</v>
      </c>
    </row>
    <row r="204" spans="1:11" ht="20.100000000000001" customHeight="1" x14ac:dyDescent="0.2">
      <c r="A204" s="285" t="s">
        <v>782</v>
      </c>
      <c r="B204" s="266" t="s">
        <v>154</v>
      </c>
      <c r="C204" s="268" t="s">
        <v>130</v>
      </c>
      <c r="D204" s="298">
        <v>5146223</v>
      </c>
      <c r="E204" s="376">
        <f>5146223+88654</f>
        <v>5234877</v>
      </c>
      <c r="F204" s="298"/>
      <c r="G204" s="298"/>
      <c r="H204" s="298"/>
      <c r="I204" s="298"/>
      <c r="J204" s="298">
        <v>4000813</v>
      </c>
      <c r="K204" s="299">
        <f t="shared" si="35"/>
        <v>0.76426112781637467</v>
      </c>
    </row>
    <row r="205" spans="1:11" s="3" customFormat="1" ht="20.100000000000001" customHeight="1" x14ac:dyDescent="0.2">
      <c r="A205" s="289" t="s">
        <v>783</v>
      </c>
      <c r="B205" s="290" t="s">
        <v>830</v>
      </c>
      <c r="C205" s="314" t="s">
        <v>60</v>
      </c>
      <c r="D205" s="303">
        <f t="shared" ref="D205:J205" si="36">SUM(D198:D204)</f>
        <v>24206310</v>
      </c>
      <c r="E205" s="378">
        <f t="shared" si="36"/>
        <v>32623310</v>
      </c>
      <c r="F205" s="303">
        <f t="shared" si="36"/>
        <v>0</v>
      </c>
      <c r="G205" s="303">
        <f t="shared" si="36"/>
        <v>0</v>
      </c>
      <c r="H205" s="303">
        <f t="shared" si="36"/>
        <v>0</v>
      </c>
      <c r="I205" s="303">
        <f t="shared" si="36"/>
        <v>0</v>
      </c>
      <c r="J205" s="303">
        <f t="shared" si="36"/>
        <v>19717140</v>
      </c>
      <c r="K205" s="286">
        <f t="shared" si="35"/>
        <v>0.60438808937535771</v>
      </c>
    </row>
    <row r="206" spans="1:11" ht="20.100000000000001" customHeight="1" x14ac:dyDescent="0.2">
      <c r="A206" s="285" t="s">
        <v>784</v>
      </c>
      <c r="B206" s="272" t="s">
        <v>167</v>
      </c>
      <c r="C206" s="268" t="s">
        <v>155</v>
      </c>
      <c r="D206" s="298">
        <v>208785087</v>
      </c>
      <c r="E206" s="376">
        <v>197155786</v>
      </c>
      <c r="F206" s="298"/>
      <c r="G206" s="298"/>
      <c r="H206" s="298"/>
      <c r="I206" s="298"/>
      <c r="J206" s="298">
        <v>36857255</v>
      </c>
      <c r="K206" s="299">
        <f t="shared" si="35"/>
        <v>0.18694483052097696</v>
      </c>
    </row>
    <row r="207" spans="1:11" ht="20.100000000000001" customHeight="1" x14ac:dyDescent="0.2">
      <c r="A207" s="285" t="s">
        <v>785</v>
      </c>
      <c r="B207" s="272" t="s">
        <v>168</v>
      </c>
      <c r="C207" s="268" t="s">
        <v>156</v>
      </c>
      <c r="D207" s="298"/>
      <c r="E207" s="376"/>
      <c r="F207" s="298"/>
      <c r="G207" s="298"/>
      <c r="H207" s="298"/>
      <c r="I207" s="298"/>
      <c r="J207" s="298"/>
      <c r="K207" s="299" t="str">
        <f t="shared" si="35"/>
        <v>n.é.</v>
      </c>
    </row>
    <row r="208" spans="1:11" ht="20.100000000000001" customHeight="1" x14ac:dyDescent="0.2">
      <c r="A208" s="285" t="s">
        <v>786</v>
      </c>
      <c r="B208" s="272" t="s">
        <v>169</v>
      </c>
      <c r="C208" s="268" t="s">
        <v>157</v>
      </c>
      <c r="D208" s="298"/>
      <c r="E208" s="376"/>
      <c r="F208" s="298"/>
      <c r="G208" s="298"/>
      <c r="H208" s="298"/>
      <c r="I208" s="298"/>
      <c r="J208" s="298"/>
      <c r="K208" s="299" t="str">
        <f t="shared" si="35"/>
        <v>n.é.</v>
      </c>
    </row>
    <row r="209" spans="1:11" ht="20.100000000000001" customHeight="1" x14ac:dyDescent="0.2">
      <c r="A209" s="285" t="s">
        <v>787</v>
      </c>
      <c r="B209" s="272" t="s">
        <v>170</v>
      </c>
      <c r="C209" s="268" t="s">
        <v>158</v>
      </c>
      <c r="D209" s="298">
        <v>56371973</v>
      </c>
      <c r="E209" s="376">
        <f>56371973-861991</f>
        <v>55509982</v>
      </c>
      <c r="F209" s="298"/>
      <c r="G209" s="298"/>
      <c r="H209" s="298"/>
      <c r="I209" s="298"/>
      <c r="J209" s="298">
        <v>9789255</v>
      </c>
      <c r="K209" s="299">
        <f t="shared" si="35"/>
        <v>0.17635125516704364</v>
      </c>
    </row>
    <row r="210" spans="1:11" s="3" customFormat="1" ht="20.100000000000001" customHeight="1" x14ac:dyDescent="0.2">
      <c r="A210" s="289" t="s">
        <v>788</v>
      </c>
      <c r="B210" s="310" t="s">
        <v>831</v>
      </c>
      <c r="C210" s="314" t="s">
        <v>61</v>
      </c>
      <c r="D210" s="303">
        <f t="shared" ref="D210:J210" si="37">SUM(D206:D209)</f>
        <v>265157060</v>
      </c>
      <c r="E210" s="378">
        <f t="shared" si="37"/>
        <v>252665768</v>
      </c>
      <c r="F210" s="303">
        <f t="shared" si="37"/>
        <v>0</v>
      </c>
      <c r="G210" s="303">
        <f t="shared" si="37"/>
        <v>0</v>
      </c>
      <c r="H210" s="303">
        <f t="shared" si="37"/>
        <v>0</v>
      </c>
      <c r="I210" s="303">
        <f t="shared" si="37"/>
        <v>0</v>
      </c>
      <c r="J210" s="303">
        <f t="shared" si="37"/>
        <v>46646510</v>
      </c>
      <c r="K210" s="286">
        <f t="shared" si="35"/>
        <v>0.18461745082935019</v>
      </c>
    </row>
    <row r="211" spans="1:11" ht="20.100000000000001" customHeight="1" x14ac:dyDescent="0.2">
      <c r="A211" s="285" t="s">
        <v>789</v>
      </c>
      <c r="B211" s="272" t="s">
        <v>416</v>
      </c>
      <c r="C211" s="268" t="s">
        <v>159</v>
      </c>
      <c r="D211" s="298"/>
      <c r="E211" s="376"/>
      <c r="F211" s="298"/>
      <c r="G211" s="298"/>
      <c r="H211" s="298"/>
      <c r="I211" s="298"/>
      <c r="J211" s="298"/>
      <c r="K211" s="299" t="str">
        <f t="shared" si="35"/>
        <v>n.é.</v>
      </c>
    </row>
    <row r="212" spans="1:11" ht="20.100000000000001" customHeight="1" x14ac:dyDescent="0.2">
      <c r="A212" s="285" t="s">
        <v>790</v>
      </c>
      <c r="B212" s="272" t="s">
        <v>417</v>
      </c>
      <c r="C212" s="268" t="s">
        <v>160</v>
      </c>
      <c r="D212" s="298"/>
      <c r="E212" s="376"/>
      <c r="F212" s="298"/>
      <c r="G212" s="298"/>
      <c r="H212" s="298"/>
      <c r="I212" s="298"/>
      <c r="J212" s="298"/>
      <c r="K212" s="299" t="str">
        <f t="shared" si="35"/>
        <v>n.é.</v>
      </c>
    </row>
    <row r="213" spans="1:11" ht="20.100000000000001" customHeight="1" x14ac:dyDescent="0.2">
      <c r="A213" s="285" t="s">
        <v>791</v>
      </c>
      <c r="B213" s="272" t="s">
        <v>418</v>
      </c>
      <c r="C213" s="268" t="s">
        <v>161</v>
      </c>
      <c r="D213" s="298"/>
      <c r="E213" s="376"/>
      <c r="F213" s="298"/>
      <c r="G213" s="298"/>
      <c r="H213" s="298"/>
      <c r="I213" s="298"/>
      <c r="J213" s="298"/>
      <c r="K213" s="299" t="str">
        <f t="shared" si="35"/>
        <v>n.é.</v>
      </c>
    </row>
    <row r="214" spans="1:11" ht="20.100000000000001" customHeight="1" x14ac:dyDescent="0.2">
      <c r="A214" s="285" t="s">
        <v>792</v>
      </c>
      <c r="B214" s="272" t="s">
        <v>171</v>
      </c>
      <c r="C214" s="268" t="s">
        <v>162</v>
      </c>
      <c r="D214" s="298"/>
      <c r="E214" s="376"/>
      <c r="F214" s="298"/>
      <c r="G214" s="298"/>
      <c r="H214" s="298"/>
      <c r="I214" s="298"/>
      <c r="J214" s="298"/>
      <c r="K214" s="299" t="str">
        <f t="shared" si="35"/>
        <v>n.é.</v>
      </c>
    </row>
    <row r="215" spans="1:11" ht="20.100000000000001" customHeight="1" x14ac:dyDescent="0.2">
      <c r="A215" s="285" t="s">
        <v>793</v>
      </c>
      <c r="B215" s="272" t="s">
        <v>419</v>
      </c>
      <c r="C215" s="268" t="s">
        <v>163</v>
      </c>
      <c r="D215" s="298"/>
      <c r="E215" s="376"/>
      <c r="F215" s="298"/>
      <c r="G215" s="298"/>
      <c r="H215" s="298"/>
      <c r="I215" s="298"/>
      <c r="J215" s="298"/>
      <c r="K215" s="299" t="str">
        <f t="shared" si="35"/>
        <v>n.é.</v>
      </c>
    </row>
    <row r="216" spans="1:11" ht="20.100000000000001" customHeight="1" x14ac:dyDescent="0.2">
      <c r="A216" s="285" t="s">
        <v>794</v>
      </c>
      <c r="B216" s="272" t="s">
        <v>420</v>
      </c>
      <c r="C216" s="268" t="s">
        <v>164</v>
      </c>
      <c r="D216" s="298"/>
      <c r="E216" s="376"/>
      <c r="F216" s="298"/>
      <c r="G216" s="298"/>
      <c r="H216" s="298"/>
      <c r="I216" s="298"/>
      <c r="J216" s="298"/>
      <c r="K216" s="299" t="str">
        <f t="shared" si="35"/>
        <v>n.é.</v>
      </c>
    </row>
    <row r="217" spans="1:11" ht="20.100000000000001" customHeight="1" x14ac:dyDescent="0.2">
      <c r="A217" s="285" t="s">
        <v>795</v>
      </c>
      <c r="B217" s="272" t="s">
        <v>172</v>
      </c>
      <c r="C217" s="268" t="s">
        <v>165</v>
      </c>
      <c r="D217" s="298"/>
      <c r="E217" s="376"/>
      <c r="F217" s="298"/>
      <c r="G217" s="298"/>
      <c r="H217" s="298"/>
      <c r="I217" s="298"/>
      <c r="J217" s="298"/>
      <c r="K217" s="299" t="str">
        <f t="shared" si="35"/>
        <v>n.é.</v>
      </c>
    </row>
    <row r="218" spans="1:11" ht="20.100000000000001" customHeight="1" x14ac:dyDescent="0.2">
      <c r="A218" s="285" t="s">
        <v>796</v>
      </c>
      <c r="B218" s="272" t="s">
        <v>741</v>
      </c>
      <c r="C218" s="268" t="s">
        <v>166</v>
      </c>
      <c r="D218" s="298"/>
      <c r="E218" s="376"/>
      <c r="F218" s="298"/>
      <c r="G218" s="298"/>
      <c r="H218" s="298"/>
      <c r="I218" s="298"/>
      <c r="J218" s="298"/>
      <c r="K218" s="299" t="str">
        <f t="shared" si="35"/>
        <v>n.é.</v>
      </c>
    </row>
    <row r="219" spans="1:11" ht="20.100000000000001" customHeight="1" x14ac:dyDescent="0.2">
      <c r="A219" s="285" t="s">
        <v>797</v>
      </c>
      <c r="B219" s="272" t="s">
        <v>173</v>
      </c>
      <c r="C219" s="268" t="s">
        <v>742</v>
      </c>
      <c r="D219" s="298"/>
      <c r="E219" s="376"/>
      <c r="F219" s="298"/>
      <c r="G219" s="298"/>
      <c r="H219" s="298"/>
      <c r="I219" s="298"/>
      <c r="J219" s="298"/>
      <c r="K219" s="299" t="str">
        <f t="shared" si="35"/>
        <v>n.é.</v>
      </c>
    </row>
    <row r="220" spans="1:11" ht="20.100000000000001" customHeight="1" x14ac:dyDescent="0.2">
      <c r="A220" s="289" t="s">
        <v>798</v>
      </c>
      <c r="B220" s="310" t="s">
        <v>832</v>
      </c>
      <c r="C220" s="314" t="s">
        <v>62</v>
      </c>
      <c r="D220" s="303">
        <f t="shared" ref="D220:J220" si="38">SUM(D211:D219)</f>
        <v>0</v>
      </c>
      <c r="E220" s="378">
        <f t="shared" si="38"/>
        <v>0</v>
      </c>
      <c r="F220" s="303">
        <f t="shared" si="38"/>
        <v>0</v>
      </c>
      <c r="G220" s="303">
        <f t="shared" si="38"/>
        <v>0</v>
      </c>
      <c r="H220" s="303">
        <f t="shared" si="38"/>
        <v>0</v>
      </c>
      <c r="I220" s="303">
        <f t="shared" si="38"/>
        <v>0</v>
      </c>
      <c r="J220" s="303">
        <f t="shared" si="38"/>
        <v>0</v>
      </c>
      <c r="K220" s="286" t="str">
        <f t="shared" si="35"/>
        <v>n.é.</v>
      </c>
    </row>
    <row r="221" spans="1:11" s="3" customFormat="1" ht="20.100000000000001" customHeight="1" x14ac:dyDescent="0.2">
      <c r="A221" s="323" t="s">
        <v>799</v>
      </c>
      <c r="B221" s="324" t="s">
        <v>833</v>
      </c>
      <c r="C221" s="271" t="s">
        <v>174</v>
      </c>
      <c r="D221" s="326">
        <f t="shared" ref="D221:J221" si="39">D146+D147+D172+D181+D197+D205+D210+D220</f>
        <v>442891303.99627662</v>
      </c>
      <c r="E221" s="379">
        <f t="shared" si="39"/>
        <v>453796414</v>
      </c>
      <c r="F221" s="326">
        <f t="shared" si="39"/>
        <v>0</v>
      </c>
      <c r="G221" s="326">
        <f t="shared" si="39"/>
        <v>0</v>
      </c>
      <c r="H221" s="326">
        <f t="shared" si="39"/>
        <v>0</v>
      </c>
      <c r="I221" s="326">
        <f t="shared" si="39"/>
        <v>0</v>
      </c>
      <c r="J221" s="326">
        <f t="shared" si="39"/>
        <v>192294092</v>
      </c>
      <c r="K221" s="322">
        <f t="shared" si="35"/>
        <v>0.42374528768312392</v>
      </c>
    </row>
    <row r="222" spans="1:11" ht="20.100000000000001" customHeight="1" x14ac:dyDescent="0.2">
      <c r="A222" s="285" t="s">
        <v>800</v>
      </c>
      <c r="B222" s="272" t="s">
        <v>743</v>
      </c>
      <c r="C222" s="267" t="s">
        <v>381</v>
      </c>
      <c r="D222" s="284"/>
      <c r="E222" s="384"/>
      <c r="F222" s="284"/>
      <c r="G222" s="284"/>
      <c r="H222" s="284"/>
      <c r="I222" s="284"/>
      <c r="J222" s="284"/>
      <c r="K222" s="286" t="str">
        <f t="shared" si="35"/>
        <v>n.é.</v>
      </c>
    </row>
    <row r="223" spans="1:11" ht="20.100000000000001" customHeight="1" x14ac:dyDescent="0.2">
      <c r="A223" s="285" t="s">
        <v>801</v>
      </c>
      <c r="B223" s="272" t="s">
        <v>382</v>
      </c>
      <c r="C223" s="267" t="s">
        <v>383</v>
      </c>
      <c r="D223" s="284"/>
      <c r="E223" s="384"/>
      <c r="F223" s="284"/>
      <c r="G223" s="284"/>
      <c r="H223" s="284"/>
      <c r="I223" s="284"/>
      <c r="J223" s="284"/>
      <c r="K223" s="286" t="str">
        <f t="shared" si="35"/>
        <v>n.é.</v>
      </c>
    </row>
    <row r="224" spans="1:11" ht="20.100000000000001" customHeight="1" x14ac:dyDescent="0.2">
      <c r="A224" s="285" t="s">
        <v>802</v>
      </c>
      <c r="B224" s="272" t="s">
        <v>744</v>
      </c>
      <c r="C224" s="267" t="s">
        <v>384</v>
      </c>
      <c r="D224" s="284"/>
      <c r="E224" s="384"/>
      <c r="F224" s="284"/>
      <c r="G224" s="284"/>
      <c r="H224" s="284"/>
      <c r="I224" s="284"/>
      <c r="J224" s="284"/>
      <c r="K224" s="286" t="str">
        <f t="shared" si="35"/>
        <v>n.é.</v>
      </c>
    </row>
    <row r="225" spans="1:11" ht="20.100000000000001" customHeight="1" x14ac:dyDescent="0.2">
      <c r="A225" s="289" t="s">
        <v>803</v>
      </c>
      <c r="B225" s="310" t="s">
        <v>834</v>
      </c>
      <c r="C225" s="291" t="s">
        <v>385</v>
      </c>
      <c r="D225" s="287">
        <f t="shared" ref="D225:J225" si="40">SUM(D222:D224)</f>
        <v>0</v>
      </c>
      <c r="E225" s="385">
        <f t="shared" si="40"/>
        <v>0</v>
      </c>
      <c r="F225" s="287">
        <f t="shared" si="40"/>
        <v>0</v>
      </c>
      <c r="G225" s="287">
        <f t="shared" si="40"/>
        <v>0</v>
      </c>
      <c r="H225" s="287">
        <f t="shared" si="40"/>
        <v>0</v>
      </c>
      <c r="I225" s="287">
        <f t="shared" si="40"/>
        <v>0</v>
      </c>
      <c r="J225" s="287">
        <f t="shared" si="40"/>
        <v>0</v>
      </c>
      <c r="K225" s="286" t="str">
        <f t="shared" si="35"/>
        <v>n.é.</v>
      </c>
    </row>
    <row r="226" spans="1:11" ht="20.100000000000001" customHeight="1" x14ac:dyDescent="0.2">
      <c r="A226" s="285" t="s">
        <v>804</v>
      </c>
      <c r="B226" s="266" t="s">
        <v>386</v>
      </c>
      <c r="C226" s="267" t="s">
        <v>387</v>
      </c>
      <c r="D226" s="284"/>
      <c r="E226" s="384"/>
      <c r="F226" s="284"/>
      <c r="G226" s="284"/>
      <c r="H226" s="284"/>
      <c r="I226" s="284"/>
      <c r="J226" s="284"/>
      <c r="K226" s="286" t="str">
        <f t="shared" si="35"/>
        <v>n.é.</v>
      </c>
    </row>
    <row r="227" spans="1:11" ht="20.100000000000001" customHeight="1" x14ac:dyDescent="0.2">
      <c r="A227" s="285" t="s">
        <v>805</v>
      </c>
      <c r="B227" s="272" t="s">
        <v>389</v>
      </c>
      <c r="C227" s="267" t="s">
        <v>388</v>
      </c>
      <c r="D227" s="284"/>
      <c r="E227" s="384"/>
      <c r="F227" s="284"/>
      <c r="G227" s="284"/>
      <c r="H227" s="284"/>
      <c r="I227" s="284"/>
      <c r="J227" s="284"/>
      <c r="K227" s="286" t="str">
        <f t="shared" si="35"/>
        <v>n.é.</v>
      </c>
    </row>
    <row r="228" spans="1:11" ht="20.100000000000001" customHeight="1" x14ac:dyDescent="0.2">
      <c r="A228" s="285" t="s">
        <v>806</v>
      </c>
      <c r="B228" s="272" t="s">
        <v>745</v>
      </c>
      <c r="C228" s="267" t="s">
        <v>390</v>
      </c>
      <c r="D228" s="284"/>
      <c r="E228" s="384"/>
      <c r="F228" s="284"/>
      <c r="G228" s="284"/>
      <c r="H228" s="284"/>
      <c r="I228" s="284"/>
      <c r="J228" s="284"/>
      <c r="K228" s="286" t="str">
        <f t="shared" si="35"/>
        <v>n.é.</v>
      </c>
    </row>
    <row r="229" spans="1:11" ht="20.100000000000001" customHeight="1" x14ac:dyDescent="0.2">
      <c r="A229" s="285" t="s">
        <v>807</v>
      </c>
      <c r="B229" s="272" t="s">
        <v>746</v>
      </c>
      <c r="C229" s="267" t="s">
        <v>391</v>
      </c>
      <c r="D229" s="284"/>
      <c r="E229" s="384"/>
      <c r="F229" s="284"/>
      <c r="G229" s="284"/>
      <c r="H229" s="284"/>
      <c r="I229" s="284"/>
      <c r="J229" s="284"/>
      <c r="K229" s="286" t="str">
        <f t="shared" ref="K229:K254" si="41">IF(E229&gt;0,J229/E229,"n.é.")</f>
        <v>n.é.</v>
      </c>
    </row>
    <row r="230" spans="1:11" ht="20.100000000000001" customHeight="1" x14ac:dyDescent="0.2">
      <c r="A230" s="285" t="s">
        <v>808</v>
      </c>
      <c r="B230" s="272" t="s">
        <v>747</v>
      </c>
      <c r="C230" s="267" t="s">
        <v>748</v>
      </c>
      <c r="D230" s="284"/>
      <c r="E230" s="384"/>
      <c r="F230" s="284"/>
      <c r="G230" s="284"/>
      <c r="H230" s="284"/>
      <c r="I230" s="284"/>
      <c r="J230" s="284"/>
      <c r="K230" s="286" t="str">
        <f t="shared" si="41"/>
        <v>n.é.</v>
      </c>
    </row>
    <row r="231" spans="1:11" ht="20.100000000000001" customHeight="1" x14ac:dyDescent="0.2">
      <c r="A231" s="289" t="s">
        <v>809</v>
      </c>
      <c r="B231" s="290" t="s">
        <v>835</v>
      </c>
      <c r="C231" s="291" t="s">
        <v>392</v>
      </c>
      <c r="D231" s="287">
        <f t="shared" ref="D231:J231" si="42">SUM(D226:D230)</f>
        <v>0</v>
      </c>
      <c r="E231" s="385">
        <f t="shared" si="42"/>
        <v>0</v>
      </c>
      <c r="F231" s="287">
        <f t="shared" si="42"/>
        <v>0</v>
      </c>
      <c r="G231" s="287">
        <f t="shared" si="42"/>
        <v>0</v>
      </c>
      <c r="H231" s="287">
        <f t="shared" si="42"/>
        <v>0</v>
      </c>
      <c r="I231" s="287">
        <f t="shared" si="42"/>
        <v>0</v>
      </c>
      <c r="J231" s="287">
        <f t="shared" si="42"/>
        <v>0</v>
      </c>
      <c r="K231" s="286" t="str">
        <f t="shared" si="41"/>
        <v>n.é.</v>
      </c>
    </row>
    <row r="232" spans="1:11" ht="20.100000000000001" customHeight="1" x14ac:dyDescent="0.2">
      <c r="A232" s="285" t="s">
        <v>810</v>
      </c>
      <c r="B232" s="266" t="s">
        <v>393</v>
      </c>
      <c r="C232" s="267" t="s">
        <v>394</v>
      </c>
      <c r="D232" s="284"/>
      <c r="E232" s="384"/>
      <c r="F232" s="284"/>
      <c r="G232" s="284"/>
      <c r="H232" s="284"/>
      <c r="I232" s="284"/>
      <c r="J232" s="284"/>
      <c r="K232" s="288" t="str">
        <f t="shared" si="41"/>
        <v>n.é.</v>
      </c>
    </row>
    <row r="233" spans="1:11" ht="20.100000000000001" customHeight="1" x14ac:dyDescent="0.2">
      <c r="A233" s="285" t="s">
        <v>811</v>
      </c>
      <c r="B233" s="266" t="s">
        <v>395</v>
      </c>
      <c r="C233" s="267" t="s">
        <v>396</v>
      </c>
      <c r="D233" s="284">
        <v>6910249</v>
      </c>
      <c r="E233" s="384">
        <f>6910249+276580</f>
        <v>7186829</v>
      </c>
      <c r="F233" s="284"/>
      <c r="G233" s="284"/>
      <c r="H233" s="284"/>
      <c r="I233" s="284"/>
      <c r="J233" s="284">
        <v>7186829</v>
      </c>
      <c r="K233" s="288">
        <f t="shared" si="41"/>
        <v>1</v>
      </c>
    </row>
    <row r="234" spans="1:11" ht="20.100000000000001" customHeight="1" x14ac:dyDescent="0.2">
      <c r="A234" s="285" t="s">
        <v>812</v>
      </c>
      <c r="B234" s="266" t="s">
        <v>397</v>
      </c>
      <c r="C234" s="267" t="s">
        <v>398</v>
      </c>
      <c r="D234" s="284">
        <f>SUM(D235:D237)</f>
        <v>195194468</v>
      </c>
      <c r="E234" s="384">
        <v>194952719</v>
      </c>
      <c r="F234" s="284"/>
      <c r="G234" s="284"/>
      <c r="H234" s="284"/>
      <c r="I234" s="284"/>
      <c r="J234" s="284">
        <v>134562315</v>
      </c>
      <c r="K234" s="288">
        <f t="shared" si="41"/>
        <v>0.69023051173756644</v>
      </c>
    </row>
    <row r="235" spans="1:11" s="6" customFormat="1" ht="20.100000000000001" customHeight="1" x14ac:dyDescent="0.2">
      <c r="A235" s="293" t="s">
        <v>476</v>
      </c>
      <c r="B235" s="294" t="s">
        <v>498</v>
      </c>
      <c r="C235" s="295" t="s">
        <v>476</v>
      </c>
      <c r="D235" s="296">
        <f>'06'!D86:D86</f>
        <v>53998281</v>
      </c>
      <c r="E235" s="377">
        <f>53998281-191526</f>
        <v>53806755</v>
      </c>
      <c r="F235" s="297" t="s">
        <v>660</v>
      </c>
      <c r="G235" s="297" t="s">
        <v>660</v>
      </c>
      <c r="H235" s="297" t="s">
        <v>660</v>
      </c>
      <c r="I235" s="297" t="s">
        <v>660</v>
      </c>
      <c r="J235" s="300"/>
      <c r="K235" s="301">
        <f t="shared" si="41"/>
        <v>0</v>
      </c>
    </row>
    <row r="236" spans="1:11" s="6" customFormat="1" ht="20.100000000000001" customHeight="1" x14ac:dyDescent="0.2">
      <c r="A236" s="293" t="s">
        <v>476</v>
      </c>
      <c r="B236" s="294" t="s">
        <v>499</v>
      </c>
      <c r="C236" s="295" t="s">
        <v>476</v>
      </c>
      <c r="D236" s="296">
        <f>'05'!D86:D86</f>
        <v>105397741</v>
      </c>
      <c r="E236" s="377">
        <f>105397741-1700112+600000+1337000</f>
        <v>105634629</v>
      </c>
      <c r="F236" s="297" t="s">
        <v>660</v>
      </c>
      <c r="G236" s="297" t="s">
        <v>660</v>
      </c>
      <c r="H236" s="297" t="s">
        <v>660</v>
      </c>
      <c r="I236" s="297" t="s">
        <v>660</v>
      </c>
      <c r="J236" s="300"/>
      <c r="K236" s="301">
        <f t="shared" si="41"/>
        <v>0</v>
      </c>
    </row>
    <row r="237" spans="1:11" s="6" customFormat="1" ht="20.100000000000001" customHeight="1" x14ac:dyDescent="0.2">
      <c r="A237" s="293" t="s">
        <v>476</v>
      </c>
      <c r="B237" s="294" t="s">
        <v>874</v>
      </c>
      <c r="C237" s="295" t="s">
        <v>476</v>
      </c>
      <c r="D237" s="296">
        <f>'07'!D92:D92</f>
        <v>35798446</v>
      </c>
      <c r="E237" s="377">
        <f>35798446-201960</f>
        <v>35596486</v>
      </c>
      <c r="F237" s="297" t="s">
        <v>660</v>
      </c>
      <c r="G237" s="297" t="s">
        <v>660</v>
      </c>
      <c r="H237" s="297" t="s">
        <v>660</v>
      </c>
      <c r="I237" s="297" t="s">
        <v>660</v>
      </c>
      <c r="J237" s="300"/>
      <c r="K237" s="301">
        <f t="shared" si="41"/>
        <v>0</v>
      </c>
    </row>
    <row r="238" spans="1:11" ht="20.100000000000001" customHeight="1" x14ac:dyDescent="0.2">
      <c r="A238" s="285" t="s">
        <v>813</v>
      </c>
      <c r="B238" s="266" t="s">
        <v>749</v>
      </c>
      <c r="C238" s="267" t="s">
        <v>399</v>
      </c>
      <c r="D238" s="284"/>
      <c r="E238" s="384"/>
      <c r="F238" s="284"/>
      <c r="G238" s="284"/>
      <c r="H238" s="284"/>
      <c r="I238" s="284"/>
      <c r="J238" s="284"/>
      <c r="K238" s="288" t="str">
        <f t="shared" si="41"/>
        <v>n.é.</v>
      </c>
    </row>
    <row r="239" spans="1:11" ht="20.100000000000001" customHeight="1" x14ac:dyDescent="0.2">
      <c r="A239" s="285" t="s">
        <v>814</v>
      </c>
      <c r="B239" s="266" t="s">
        <v>400</v>
      </c>
      <c r="C239" s="267" t="s">
        <v>401</v>
      </c>
      <c r="D239" s="284"/>
      <c r="E239" s="384"/>
      <c r="F239" s="284"/>
      <c r="G239" s="284"/>
      <c r="H239" s="284"/>
      <c r="I239" s="284"/>
      <c r="J239" s="284"/>
      <c r="K239" s="288" t="str">
        <f t="shared" si="41"/>
        <v>n.é.</v>
      </c>
    </row>
    <row r="240" spans="1:11" ht="20.100000000000001" customHeight="1" x14ac:dyDescent="0.2">
      <c r="A240" s="285" t="s">
        <v>815</v>
      </c>
      <c r="B240" s="266" t="s">
        <v>402</v>
      </c>
      <c r="C240" s="267" t="s">
        <v>403</v>
      </c>
      <c r="D240" s="284"/>
      <c r="E240" s="384"/>
      <c r="F240" s="284"/>
      <c r="G240" s="284"/>
      <c r="H240" s="284"/>
      <c r="I240" s="284"/>
      <c r="J240" s="284"/>
      <c r="K240" s="288" t="str">
        <f t="shared" si="41"/>
        <v>n.é.</v>
      </c>
    </row>
    <row r="241" spans="1:11" ht="20.100000000000001" customHeight="1" x14ac:dyDescent="0.2">
      <c r="A241" s="285" t="s">
        <v>816</v>
      </c>
      <c r="B241" s="266" t="s">
        <v>752</v>
      </c>
      <c r="C241" s="267" t="s">
        <v>753</v>
      </c>
      <c r="D241" s="284"/>
      <c r="E241" s="384"/>
      <c r="F241" s="284"/>
      <c r="G241" s="284"/>
      <c r="H241" s="284"/>
      <c r="I241" s="284"/>
      <c r="J241" s="284"/>
      <c r="K241" s="288" t="str">
        <f t="shared" si="41"/>
        <v>n.é.</v>
      </c>
    </row>
    <row r="242" spans="1:11" ht="20.100000000000001" customHeight="1" x14ac:dyDescent="0.2">
      <c r="A242" s="285" t="s">
        <v>817</v>
      </c>
      <c r="B242" s="266" t="s">
        <v>751</v>
      </c>
      <c r="C242" s="267" t="s">
        <v>754</v>
      </c>
      <c r="D242" s="284"/>
      <c r="E242" s="384"/>
      <c r="F242" s="284"/>
      <c r="G242" s="284"/>
      <c r="H242" s="284"/>
      <c r="I242" s="284"/>
      <c r="J242" s="284"/>
      <c r="K242" s="288" t="str">
        <f t="shared" si="41"/>
        <v>n.é.</v>
      </c>
    </row>
    <row r="243" spans="1:11" s="3" customFormat="1" ht="20.100000000000001" customHeight="1" x14ac:dyDescent="0.2">
      <c r="A243" s="289" t="s">
        <v>818</v>
      </c>
      <c r="B243" s="290" t="s">
        <v>836</v>
      </c>
      <c r="C243" s="291" t="s">
        <v>750</v>
      </c>
      <c r="D243" s="292">
        <f t="shared" ref="D243:J243" si="43">SUM(D241:D242)</f>
        <v>0</v>
      </c>
      <c r="E243" s="386">
        <f t="shared" si="43"/>
        <v>0</v>
      </c>
      <c r="F243" s="292">
        <f t="shared" si="43"/>
        <v>0</v>
      </c>
      <c r="G243" s="292">
        <f t="shared" si="43"/>
        <v>0</v>
      </c>
      <c r="H243" s="292">
        <f t="shared" si="43"/>
        <v>0</v>
      </c>
      <c r="I243" s="292">
        <f t="shared" si="43"/>
        <v>0</v>
      </c>
      <c r="J243" s="292">
        <f t="shared" si="43"/>
        <v>0</v>
      </c>
      <c r="K243" s="286" t="str">
        <f t="shared" si="41"/>
        <v>n.é.</v>
      </c>
    </row>
    <row r="244" spans="1:11" ht="20.100000000000001" customHeight="1" x14ac:dyDescent="0.2">
      <c r="A244" s="289" t="s">
        <v>819</v>
      </c>
      <c r="B244" s="290" t="s">
        <v>837</v>
      </c>
      <c r="C244" s="291" t="s">
        <v>404</v>
      </c>
      <c r="D244" s="287">
        <f t="shared" ref="D244:J244" si="44">D225+SUM(D231:D240)-SUM(D235:D237)+D243</f>
        <v>202104717</v>
      </c>
      <c r="E244" s="385">
        <f t="shared" si="44"/>
        <v>202139548</v>
      </c>
      <c r="F244" s="287">
        <f t="shared" si="44"/>
        <v>0</v>
      </c>
      <c r="G244" s="287">
        <f t="shared" si="44"/>
        <v>0</v>
      </c>
      <c r="H244" s="287">
        <f t="shared" si="44"/>
        <v>0</v>
      </c>
      <c r="I244" s="287">
        <f t="shared" si="44"/>
        <v>0</v>
      </c>
      <c r="J244" s="287">
        <f t="shared" si="44"/>
        <v>141749144</v>
      </c>
      <c r="K244" s="286">
        <f t="shared" si="41"/>
        <v>0.70124399407482596</v>
      </c>
    </row>
    <row r="245" spans="1:11" ht="20.100000000000001" customHeight="1" x14ac:dyDescent="0.2">
      <c r="A245" s="285" t="s">
        <v>820</v>
      </c>
      <c r="B245" s="266" t="s">
        <v>405</v>
      </c>
      <c r="C245" s="267" t="s">
        <v>406</v>
      </c>
      <c r="D245" s="284"/>
      <c r="E245" s="384"/>
      <c r="F245" s="284"/>
      <c r="G245" s="284"/>
      <c r="H245" s="284"/>
      <c r="I245" s="284"/>
      <c r="J245" s="284"/>
      <c r="K245" s="286" t="str">
        <f t="shared" si="41"/>
        <v>n.é.</v>
      </c>
    </row>
    <row r="246" spans="1:11" ht="20.100000000000001" customHeight="1" x14ac:dyDescent="0.2">
      <c r="A246" s="285" t="s">
        <v>821</v>
      </c>
      <c r="B246" s="272" t="s">
        <v>407</v>
      </c>
      <c r="C246" s="267" t="s">
        <v>408</v>
      </c>
      <c r="D246" s="284"/>
      <c r="E246" s="384"/>
      <c r="F246" s="284"/>
      <c r="G246" s="284"/>
      <c r="H246" s="284"/>
      <c r="I246" s="284"/>
      <c r="J246" s="284"/>
      <c r="K246" s="286" t="str">
        <f t="shared" si="41"/>
        <v>n.é.</v>
      </c>
    </row>
    <row r="247" spans="1:11" ht="20.100000000000001" customHeight="1" x14ac:dyDescent="0.2">
      <c r="A247" s="285" t="s">
        <v>822</v>
      </c>
      <c r="B247" s="266" t="s">
        <v>409</v>
      </c>
      <c r="C247" s="267" t="s">
        <v>410</v>
      </c>
      <c r="D247" s="284"/>
      <c r="E247" s="384"/>
      <c r="F247" s="284"/>
      <c r="G247" s="284"/>
      <c r="H247" s="284"/>
      <c r="I247" s="284"/>
      <c r="J247" s="284"/>
      <c r="K247" s="286" t="str">
        <f t="shared" si="41"/>
        <v>n.é.</v>
      </c>
    </row>
    <row r="248" spans="1:11" ht="20.100000000000001" customHeight="1" x14ac:dyDescent="0.2">
      <c r="A248" s="285" t="s">
        <v>823</v>
      </c>
      <c r="B248" s="266" t="s">
        <v>757</v>
      </c>
      <c r="C248" s="267" t="s">
        <v>411</v>
      </c>
      <c r="D248" s="284"/>
      <c r="E248" s="384"/>
      <c r="F248" s="284"/>
      <c r="G248" s="284"/>
      <c r="H248" s="284"/>
      <c r="I248" s="284"/>
      <c r="J248" s="284"/>
      <c r="K248" s="286" t="str">
        <f t="shared" si="41"/>
        <v>n.é.</v>
      </c>
    </row>
    <row r="249" spans="1:11" ht="20.100000000000001" customHeight="1" x14ac:dyDescent="0.2">
      <c r="A249" s="285" t="s">
        <v>824</v>
      </c>
      <c r="B249" s="266" t="s">
        <v>755</v>
      </c>
      <c r="C249" s="267" t="s">
        <v>756</v>
      </c>
      <c r="D249" s="284"/>
      <c r="E249" s="384"/>
      <c r="F249" s="284"/>
      <c r="G249" s="284"/>
      <c r="H249" s="284"/>
      <c r="I249" s="284"/>
      <c r="J249" s="284"/>
      <c r="K249" s="286" t="str">
        <f t="shared" si="41"/>
        <v>n.é.</v>
      </c>
    </row>
    <row r="250" spans="1:11" s="3" customFormat="1" ht="20.100000000000001" customHeight="1" x14ac:dyDescent="0.2">
      <c r="A250" s="289" t="s">
        <v>825</v>
      </c>
      <c r="B250" s="290" t="s">
        <v>838</v>
      </c>
      <c r="C250" s="291" t="s">
        <v>412</v>
      </c>
      <c r="D250" s="287">
        <f t="shared" ref="D250:J250" si="45">SUM(D245:D249)</f>
        <v>0</v>
      </c>
      <c r="E250" s="385">
        <f t="shared" si="45"/>
        <v>0</v>
      </c>
      <c r="F250" s="287">
        <f t="shared" si="45"/>
        <v>0</v>
      </c>
      <c r="G250" s="287">
        <f t="shared" si="45"/>
        <v>0</v>
      </c>
      <c r="H250" s="287">
        <f t="shared" si="45"/>
        <v>0</v>
      </c>
      <c r="I250" s="287">
        <f t="shared" si="45"/>
        <v>0</v>
      </c>
      <c r="J250" s="287">
        <f t="shared" si="45"/>
        <v>0</v>
      </c>
      <c r="K250" s="286" t="str">
        <f t="shared" si="41"/>
        <v>n.é.</v>
      </c>
    </row>
    <row r="251" spans="1:11" ht="20.100000000000001" customHeight="1" x14ac:dyDescent="0.2">
      <c r="A251" s="285" t="s">
        <v>826</v>
      </c>
      <c r="B251" s="272" t="s">
        <v>413</v>
      </c>
      <c r="C251" s="267" t="s">
        <v>414</v>
      </c>
      <c r="D251" s="284"/>
      <c r="E251" s="384"/>
      <c r="F251" s="284"/>
      <c r="G251" s="284"/>
      <c r="H251" s="284"/>
      <c r="I251" s="284"/>
      <c r="J251" s="284"/>
      <c r="K251" s="288" t="str">
        <f t="shared" si="41"/>
        <v>n.é.</v>
      </c>
    </row>
    <row r="252" spans="1:11" ht="20.100000000000001" customHeight="1" x14ac:dyDescent="0.2">
      <c r="A252" s="285" t="s">
        <v>827</v>
      </c>
      <c r="B252" s="272" t="s">
        <v>758</v>
      </c>
      <c r="C252" s="267" t="s">
        <v>759</v>
      </c>
      <c r="D252" s="284"/>
      <c r="E252" s="384"/>
      <c r="F252" s="284"/>
      <c r="G252" s="284"/>
      <c r="H252" s="284"/>
      <c r="I252" s="284"/>
      <c r="J252" s="284"/>
      <c r="K252" s="288" t="str">
        <f t="shared" si="41"/>
        <v>n.é.</v>
      </c>
    </row>
    <row r="253" spans="1:11" s="3" customFormat="1" ht="20.100000000000001" customHeight="1" x14ac:dyDescent="0.2">
      <c r="A253" s="323" t="s">
        <v>828</v>
      </c>
      <c r="B253" s="324" t="s">
        <v>839</v>
      </c>
      <c r="C253" s="325" t="s">
        <v>415</v>
      </c>
      <c r="D253" s="321">
        <f>D244+D250+D251</f>
        <v>202104717</v>
      </c>
      <c r="E253" s="387">
        <f t="shared" ref="E253" si="46">E244+E250+E251</f>
        <v>202139548</v>
      </c>
      <c r="F253" s="321">
        <f t="shared" ref="F253" si="47">F244+F250+F251</f>
        <v>0</v>
      </c>
      <c r="G253" s="321">
        <f t="shared" ref="G253" si="48">G244+G250+G251</f>
        <v>0</v>
      </c>
      <c r="H253" s="321">
        <f t="shared" ref="H253" si="49">H244+H250+H251</f>
        <v>0</v>
      </c>
      <c r="I253" s="321">
        <f t="shared" ref="I253" si="50">I244+I250+I251</f>
        <v>0</v>
      </c>
      <c r="J253" s="321">
        <f t="shared" ref="J253" si="51">J244+J250+J251</f>
        <v>141749144</v>
      </c>
      <c r="K253" s="322">
        <f t="shared" si="41"/>
        <v>0.70124399407482596</v>
      </c>
    </row>
    <row r="254" spans="1:11" s="3" customFormat="1" ht="20.100000000000001" customHeight="1" x14ac:dyDescent="0.2">
      <c r="A254" s="261" t="s">
        <v>829</v>
      </c>
      <c r="B254" s="262" t="s">
        <v>840</v>
      </c>
      <c r="C254" s="263"/>
      <c r="D254" s="319">
        <f>D221+D253</f>
        <v>644996020.99627662</v>
      </c>
      <c r="E254" s="388">
        <f t="shared" ref="E254" si="52">E221+E253</f>
        <v>655935962</v>
      </c>
      <c r="F254" s="319">
        <f t="shared" ref="F254" si="53">F221+F253</f>
        <v>0</v>
      </c>
      <c r="G254" s="319">
        <f t="shared" ref="G254" si="54">G221+G253</f>
        <v>0</v>
      </c>
      <c r="H254" s="319">
        <f t="shared" ref="H254" si="55">H221+H253</f>
        <v>0</v>
      </c>
      <c r="I254" s="319">
        <f t="shared" ref="I254" si="56">I221+I253</f>
        <v>0</v>
      </c>
      <c r="J254" s="319">
        <f t="shared" ref="J254" si="57">J221+J253</f>
        <v>334043236</v>
      </c>
      <c r="K254" s="320">
        <f t="shared" si="41"/>
        <v>0.50926196359393994</v>
      </c>
    </row>
    <row r="256" spans="1:11" x14ac:dyDescent="0.2">
      <c r="C256" s="187"/>
      <c r="D256" s="183">
        <f>D127-D254</f>
        <v>3.7233829498291016E-3</v>
      </c>
      <c r="E256" s="183">
        <f>E254-E127</f>
        <v>0</v>
      </c>
      <c r="F256" s="182"/>
      <c r="G256" s="182"/>
      <c r="H256" s="182"/>
      <c r="I256" s="182"/>
      <c r="J256" s="183">
        <f>J127-J254</f>
        <v>61726334</v>
      </c>
      <c r="K256" s="184"/>
    </row>
  </sheetData>
  <autoFilter ref="A7:K254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1">
    <mergeCell ref="K5:K6"/>
    <mergeCell ref="A1:K1"/>
    <mergeCell ref="A2:K2"/>
    <mergeCell ref="A3:K3"/>
    <mergeCell ref="A4:K4"/>
    <mergeCell ref="A5:A6"/>
    <mergeCell ref="B5:B6"/>
    <mergeCell ref="C5:C6"/>
    <mergeCell ref="D5:E5"/>
    <mergeCell ref="F5:I5"/>
    <mergeCell ref="J5:J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26" fitToHeight="0" orientation="landscape" r:id="rId1"/>
  <headerFooter alignWithMargins="0">
    <oddFooter>&amp;P. oldal, összesen: &amp;N</oddFooter>
  </headerFooter>
  <rowBreaks count="3" manualBreakCount="3">
    <brk id="95" max="10" man="1"/>
    <brk id="183" max="10" man="1"/>
    <brk id="227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tabColor theme="6" tint="0.59999389629810485"/>
  </sheetPr>
  <dimension ref="A1:O228"/>
  <sheetViews>
    <sheetView showGridLines="0" view="pageBreakPreview" zoomScale="80" zoomScaleSheetLayoutView="80" workbookViewId="0">
      <pane xSplit="2" ySplit="7" topLeftCell="C121" activePane="bottomRight" state="frozen"/>
      <selection sqref="A1:BK1"/>
      <selection pane="topRight" sqref="A1:BK1"/>
      <selection pane="bottomLeft" sqref="A1:BK1"/>
      <selection pane="bottomRight" sqref="A1:N1"/>
    </sheetView>
  </sheetViews>
  <sheetFormatPr defaultColWidth="9.140625" defaultRowHeight="12.75" x14ac:dyDescent="0.2"/>
  <cols>
    <col min="1" max="1" width="5.28515625" style="4" customWidth="1"/>
    <col min="2" max="2" width="69.28515625" style="1" customWidth="1"/>
    <col min="3" max="3" width="7.140625" style="1" customWidth="1"/>
    <col min="4" max="4" width="13.5703125" style="1" customWidth="1"/>
    <col min="5" max="5" width="14.7109375" style="1" customWidth="1"/>
    <col min="6" max="6" width="11.7109375" style="1" customWidth="1"/>
    <col min="7" max="7" width="11.42578125" style="1" customWidth="1"/>
    <col min="8" max="8" width="11.85546875" style="1" customWidth="1"/>
    <col min="9" max="9" width="11" style="1" customWidth="1"/>
    <col min="10" max="10" width="11.85546875" style="1" customWidth="1"/>
    <col min="11" max="11" width="10.28515625" style="1" customWidth="1"/>
    <col min="12" max="12" width="12.140625" style="1" customWidth="1"/>
    <col min="13" max="13" width="11.85546875" style="1" customWidth="1"/>
    <col min="14" max="14" width="10.42578125" style="1" customWidth="1"/>
    <col min="15" max="23" width="2.7109375" style="1" customWidth="1"/>
    <col min="24" max="16384" width="9.140625" style="1"/>
  </cols>
  <sheetData>
    <row r="1" spans="1:15" ht="28.5" customHeight="1" x14ac:dyDescent="0.2">
      <c r="A1" s="423" t="s">
        <v>940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1:15" ht="28.5" customHeight="1" x14ac:dyDescent="0.2">
      <c r="A2" s="412" t="s">
        <v>514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5" ht="15" customHeight="1" x14ac:dyDescent="0.2">
      <c r="A3" s="414" t="s">
        <v>474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5" ht="15.95" customHeight="1" x14ac:dyDescent="0.2">
      <c r="A4" s="416" t="s">
        <v>659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2"/>
    </row>
    <row r="5" spans="1:15" ht="15.95" customHeight="1" x14ac:dyDescent="0.2">
      <c r="A5" s="418" t="s">
        <v>441</v>
      </c>
      <c r="B5" s="419" t="s">
        <v>26</v>
      </c>
      <c r="C5" s="420" t="s">
        <v>442</v>
      </c>
      <c r="D5" s="421" t="s">
        <v>469</v>
      </c>
      <c r="E5" s="421"/>
      <c r="F5" s="421"/>
      <c r="G5" s="421"/>
      <c r="H5" s="421"/>
      <c r="I5" s="426" t="s">
        <v>661</v>
      </c>
      <c r="J5" s="427"/>
      <c r="K5" s="427"/>
      <c r="L5" s="427"/>
      <c r="M5" s="422" t="s">
        <v>438</v>
      </c>
      <c r="N5" s="422" t="s">
        <v>439</v>
      </c>
      <c r="O5" s="2"/>
    </row>
    <row r="6" spans="1:15" ht="39.75" customHeight="1" x14ac:dyDescent="0.2">
      <c r="A6" s="418"/>
      <c r="B6" s="419"/>
      <c r="C6" s="420"/>
      <c r="D6" s="281" t="s">
        <v>467</v>
      </c>
      <c r="E6" s="281" t="s">
        <v>860</v>
      </c>
      <c r="F6" s="281" t="s">
        <v>894</v>
      </c>
      <c r="G6" s="281" t="s">
        <v>861</v>
      </c>
      <c r="H6" s="281" t="s">
        <v>468</v>
      </c>
      <c r="I6" s="337" t="s">
        <v>470</v>
      </c>
      <c r="J6" s="337" t="s">
        <v>473</v>
      </c>
      <c r="K6" s="337" t="s">
        <v>471</v>
      </c>
      <c r="L6" s="337" t="s">
        <v>472</v>
      </c>
      <c r="M6" s="422"/>
      <c r="N6" s="422"/>
    </row>
    <row r="7" spans="1:15" x14ac:dyDescent="0.2">
      <c r="A7" s="279" t="s">
        <v>176</v>
      </c>
      <c r="B7" s="280" t="s">
        <v>177</v>
      </c>
      <c r="C7" s="280" t="s">
        <v>178</v>
      </c>
      <c r="D7" s="280" t="s">
        <v>175</v>
      </c>
      <c r="E7" s="280" t="s">
        <v>440</v>
      </c>
      <c r="F7" s="280" t="s">
        <v>552</v>
      </c>
      <c r="G7" s="280" t="s">
        <v>553</v>
      </c>
      <c r="H7" s="280" t="s">
        <v>567</v>
      </c>
      <c r="I7" s="280" t="s">
        <v>568</v>
      </c>
      <c r="J7" s="280" t="s">
        <v>569</v>
      </c>
      <c r="K7" s="280" t="s">
        <v>570</v>
      </c>
      <c r="L7" s="280" t="s">
        <v>571</v>
      </c>
      <c r="M7" s="280" t="s">
        <v>572</v>
      </c>
      <c r="N7" s="280" t="s">
        <v>641</v>
      </c>
    </row>
    <row r="8" spans="1:15" ht="20.100000000000001" hidden="1" customHeight="1" x14ac:dyDescent="0.2">
      <c r="A8" s="265" t="s">
        <v>0</v>
      </c>
      <c r="B8" s="307" t="s">
        <v>242</v>
      </c>
      <c r="C8" s="276" t="s">
        <v>243</v>
      </c>
      <c r="D8" s="304"/>
      <c r="E8" s="304"/>
      <c r="F8" s="304"/>
      <c r="G8" s="304"/>
      <c r="H8" s="304"/>
      <c r="I8" s="309"/>
      <c r="J8" s="338" t="s">
        <v>853</v>
      </c>
      <c r="K8" s="309"/>
      <c r="L8" s="338" t="s">
        <v>853</v>
      </c>
      <c r="M8" s="309"/>
      <c r="N8" s="234" t="str">
        <f t="shared" ref="N8:N39" si="0">IF(H8&gt;0,M8/H8,"n.é.")</f>
        <v>n.é.</v>
      </c>
    </row>
    <row r="9" spans="1:15" ht="20.100000000000001" hidden="1" customHeight="1" x14ac:dyDescent="0.2">
      <c r="A9" s="265" t="s">
        <v>1</v>
      </c>
      <c r="B9" s="272" t="s">
        <v>244</v>
      </c>
      <c r="C9" s="276" t="s">
        <v>245</v>
      </c>
      <c r="D9" s="304"/>
      <c r="E9" s="304"/>
      <c r="F9" s="304"/>
      <c r="G9" s="304"/>
      <c r="H9" s="304"/>
      <c r="I9" s="309"/>
      <c r="J9" s="211" t="s">
        <v>853</v>
      </c>
      <c r="K9" s="309"/>
      <c r="L9" s="211" t="s">
        <v>853</v>
      </c>
      <c r="M9" s="309"/>
      <c r="N9" s="234" t="str">
        <f t="shared" si="0"/>
        <v>n.é.</v>
      </c>
    </row>
    <row r="10" spans="1:15" ht="20.100000000000001" hidden="1" customHeight="1" x14ac:dyDescent="0.2">
      <c r="A10" s="265" t="s">
        <v>2</v>
      </c>
      <c r="B10" s="272" t="s">
        <v>246</v>
      </c>
      <c r="C10" s="276" t="s">
        <v>247</v>
      </c>
      <c r="D10" s="304"/>
      <c r="E10" s="304"/>
      <c r="F10" s="304"/>
      <c r="G10" s="304"/>
      <c r="H10" s="304"/>
      <c r="I10" s="309"/>
      <c r="J10" s="211" t="s">
        <v>853</v>
      </c>
      <c r="K10" s="309"/>
      <c r="L10" s="211" t="s">
        <v>853</v>
      </c>
      <c r="M10" s="309"/>
      <c r="N10" s="234" t="str">
        <f t="shared" si="0"/>
        <v>n.é.</v>
      </c>
    </row>
    <row r="11" spans="1:15" ht="20.100000000000001" hidden="1" customHeight="1" x14ac:dyDescent="0.2">
      <c r="A11" s="265" t="s">
        <v>3</v>
      </c>
      <c r="B11" s="272" t="s">
        <v>248</v>
      </c>
      <c r="C11" s="276" t="s">
        <v>249</v>
      </c>
      <c r="D11" s="304"/>
      <c r="E11" s="304"/>
      <c r="F11" s="304"/>
      <c r="G11" s="304"/>
      <c r="H11" s="304"/>
      <c r="I11" s="309"/>
      <c r="J11" s="211" t="s">
        <v>853</v>
      </c>
      <c r="K11" s="309"/>
      <c r="L11" s="211" t="s">
        <v>853</v>
      </c>
      <c r="M11" s="309"/>
      <c r="N11" s="234" t="str">
        <f t="shared" si="0"/>
        <v>n.é.</v>
      </c>
    </row>
    <row r="12" spans="1:15" ht="20.100000000000001" hidden="1" customHeight="1" x14ac:dyDescent="0.2">
      <c r="A12" s="265" t="s">
        <v>4</v>
      </c>
      <c r="B12" s="272" t="s">
        <v>666</v>
      </c>
      <c r="C12" s="276" t="s">
        <v>250</v>
      </c>
      <c r="D12" s="304"/>
      <c r="E12" s="304"/>
      <c r="F12" s="304"/>
      <c r="G12" s="304"/>
      <c r="H12" s="304"/>
      <c r="I12" s="309"/>
      <c r="J12" s="211" t="s">
        <v>853</v>
      </c>
      <c r="K12" s="309"/>
      <c r="L12" s="211" t="s">
        <v>853</v>
      </c>
      <c r="M12" s="309"/>
      <c r="N12" s="234" t="str">
        <f t="shared" si="0"/>
        <v>n.é.</v>
      </c>
    </row>
    <row r="13" spans="1:15" ht="20.100000000000001" hidden="1" customHeight="1" x14ac:dyDescent="0.2">
      <c r="A13" s="265" t="s">
        <v>5</v>
      </c>
      <c r="B13" s="272" t="s">
        <v>667</v>
      </c>
      <c r="C13" s="276" t="s">
        <v>251</v>
      </c>
      <c r="D13" s="304"/>
      <c r="E13" s="304"/>
      <c r="F13" s="304"/>
      <c r="G13" s="304"/>
      <c r="H13" s="304"/>
      <c r="I13" s="309"/>
      <c r="J13" s="211" t="s">
        <v>853</v>
      </c>
      <c r="K13" s="309"/>
      <c r="L13" s="211" t="s">
        <v>853</v>
      </c>
      <c r="M13" s="309"/>
      <c r="N13" s="234" t="str">
        <f t="shared" si="0"/>
        <v>n.é.</v>
      </c>
    </row>
    <row r="14" spans="1:15" s="3" customFormat="1" ht="20.100000000000001" customHeight="1" x14ac:dyDescent="0.2">
      <c r="A14" s="306" t="s">
        <v>6</v>
      </c>
      <c r="B14" s="310" t="s">
        <v>252</v>
      </c>
      <c r="C14" s="317" t="s">
        <v>253</v>
      </c>
      <c r="D14" s="303">
        <f>E14+G14</f>
        <v>0</v>
      </c>
      <c r="E14" s="303">
        <f>SUM(E8:E13)</f>
        <v>0</v>
      </c>
      <c r="F14" s="303">
        <f>SUM(F8:F13)</f>
        <v>0</v>
      </c>
      <c r="G14" s="303">
        <f>SUM(G8:G13)</f>
        <v>0</v>
      </c>
      <c r="H14" s="303">
        <f>SUM(H8:H13)</f>
        <v>0</v>
      </c>
      <c r="I14" s="303">
        <f>SUM(I8:I13)</f>
        <v>0</v>
      </c>
      <c r="J14" s="302" t="s">
        <v>853</v>
      </c>
      <c r="K14" s="303">
        <f>SUM(K8:K13)</f>
        <v>0</v>
      </c>
      <c r="L14" s="302" t="s">
        <v>853</v>
      </c>
      <c r="M14" s="303">
        <f>SUM(M8:M13)</f>
        <v>0</v>
      </c>
      <c r="N14" s="311" t="str">
        <f t="shared" si="0"/>
        <v>n.é.</v>
      </c>
    </row>
    <row r="15" spans="1:15" ht="20.100000000000001" hidden="1" customHeight="1" x14ac:dyDescent="0.2">
      <c r="A15" s="265" t="s">
        <v>7</v>
      </c>
      <c r="B15" s="272" t="s">
        <v>254</v>
      </c>
      <c r="C15" s="276" t="s">
        <v>255</v>
      </c>
      <c r="D15" s="304"/>
      <c r="E15" s="304"/>
      <c r="F15" s="304"/>
      <c r="G15" s="304"/>
      <c r="H15" s="304"/>
      <c r="I15" s="309"/>
      <c r="J15" s="211" t="s">
        <v>853</v>
      </c>
      <c r="K15" s="309"/>
      <c r="L15" s="211" t="s">
        <v>853</v>
      </c>
      <c r="M15" s="309"/>
      <c r="N15" s="234" t="str">
        <f t="shared" si="0"/>
        <v>n.é.</v>
      </c>
    </row>
    <row r="16" spans="1:15" ht="20.100000000000001" hidden="1" customHeight="1" x14ac:dyDescent="0.2">
      <c r="A16" s="265" t="s">
        <v>8</v>
      </c>
      <c r="B16" s="272" t="s">
        <v>427</v>
      </c>
      <c r="C16" s="276" t="s">
        <v>256</v>
      </c>
      <c r="D16" s="304"/>
      <c r="E16" s="304"/>
      <c r="F16" s="304"/>
      <c r="G16" s="304"/>
      <c r="H16" s="304"/>
      <c r="I16" s="309"/>
      <c r="J16" s="211" t="s">
        <v>853</v>
      </c>
      <c r="K16" s="309"/>
      <c r="L16" s="211" t="s">
        <v>853</v>
      </c>
      <c r="M16" s="309"/>
      <c r="N16" s="234" t="str">
        <f t="shared" si="0"/>
        <v>n.é.</v>
      </c>
    </row>
    <row r="17" spans="1:14" ht="20.100000000000001" hidden="1" customHeight="1" x14ac:dyDescent="0.2">
      <c r="A17" s="265" t="s">
        <v>9</v>
      </c>
      <c r="B17" s="272" t="s">
        <v>428</v>
      </c>
      <c r="C17" s="276" t="s">
        <v>257</v>
      </c>
      <c r="D17" s="304"/>
      <c r="E17" s="304"/>
      <c r="F17" s="304"/>
      <c r="G17" s="304"/>
      <c r="H17" s="304"/>
      <c r="I17" s="309"/>
      <c r="J17" s="211" t="s">
        <v>853</v>
      </c>
      <c r="K17" s="309"/>
      <c r="L17" s="211" t="s">
        <v>853</v>
      </c>
      <c r="M17" s="309"/>
      <c r="N17" s="234" t="str">
        <f t="shared" si="0"/>
        <v>n.é.</v>
      </c>
    </row>
    <row r="18" spans="1:14" ht="20.100000000000001" hidden="1" customHeight="1" x14ac:dyDescent="0.2">
      <c r="A18" s="265" t="s">
        <v>10</v>
      </c>
      <c r="B18" s="272" t="s">
        <v>429</v>
      </c>
      <c r="C18" s="276" t="s">
        <v>258</v>
      </c>
      <c r="D18" s="304"/>
      <c r="E18" s="304"/>
      <c r="F18" s="304"/>
      <c r="G18" s="304"/>
      <c r="H18" s="304"/>
      <c r="I18" s="309"/>
      <c r="J18" s="211" t="s">
        <v>853</v>
      </c>
      <c r="K18" s="309"/>
      <c r="L18" s="211" t="s">
        <v>853</v>
      </c>
      <c r="M18" s="309"/>
      <c r="N18" s="234" t="str">
        <f t="shared" si="0"/>
        <v>n.é.</v>
      </c>
    </row>
    <row r="19" spans="1:14" ht="21" customHeight="1" x14ac:dyDescent="0.2">
      <c r="A19" s="265" t="s">
        <v>11</v>
      </c>
      <c r="B19" s="272" t="s">
        <v>259</v>
      </c>
      <c r="C19" s="276" t="s">
        <v>260</v>
      </c>
      <c r="D19" s="304"/>
      <c r="E19" s="304">
        <v>0</v>
      </c>
      <c r="F19" s="304">
        <v>0</v>
      </c>
      <c r="G19" s="304">
        <v>0</v>
      </c>
      <c r="H19" s="304">
        <v>8569196</v>
      </c>
      <c r="I19" s="309"/>
      <c r="J19" s="211" t="s">
        <v>853</v>
      </c>
      <c r="K19" s="309"/>
      <c r="L19" s="211" t="s">
        <v>853</v>
      </c>
      <c r="M19" s="309">
        <v>8077053</v>
      </c>
      <c r="N19" s="234">
        <f t="shared" si="0"/>
        <v>0.94256835763821956</v>
      </c>
    </row>
    <row r="20" spans="1:14" s="3" customFormat="1" ht="18.75" customHeight="1" x14ac:dyDescent="0.2">
      <c r="A20" s="306" t="s">
        <v>12</v>
      </c>
      <c r="B20" s="310" t="s">
        <v>261</v>
      </c>
      <c r="C20" s="317" t="s">
        <v>262</v>
      </c>
      <c r="D20" s="303">
        <f>E20+G20</f>
        <v>0</v>
      </c>
      <c r="E20" s="303">
        <f>SUM(E14:E19)</f>
        <v>0</v>
      </c>
      <c r="F20" s="303">
        <f>SUM(F14:F19)</f>
        <v>0</v>
      </c>
      <c r="G20" s="303">
        <f>SUM(G14:G19)</f>
        <v>0</v>
      </c>
      <c r="H20" s="303">
        <f>SUM(H14:H19)</f>
        <v>8569196</v>
      </c>
      <c r="I20" s="303">
        <f>SUM(I14:I19)</f>
        <v>0</v>
      </c>
      <c r="J20" s="302" t="s">
        <v>853</v>
      </c>
      <c r="K20" s="303">
        <f>SUM(K14:K19)</f>
        <v>0</v>
      </c>
      <c r="L20" s="302" t="s">
        <v>853</v>
      </c>
      <c r="M20" s="303">
        <f>SUM(M14:M19)</f>
        <v>8077053</v>
      </c>
      <c r="N20" s="311">
        <f t="shared" si="0"/>
        <v>0.94256835763821956</v>
      </c>
    </row>
    <row r="21" spans="1:14" ht="20.100000000000001" hidden="1" customHeight="1" x14ac:dyDescent="0.2">
      <c r="A21" s="265" t="s">
        <v>13</v>
      </c>
      <c r="B21" s="272" t="s">
        <v>263</v>
      </c>
      <c r="C21" s="276" t="s">
        <v>264</v>
      </c>
      <c r="D21" s="304"/>
      <c r="E21" s="304"/>
      <c r="F21" s="304"/>
      <c r="G21" s="304"/>
      <c r="H21" s="304"/>
      <c r="I21" s="309"/>
      <c r="J21" s="211" t="s">
        <v>853</v>
      </c>
      <c r="K21" s="309"/>
      <c r="L21" s="211" t="s">
        <v>853</v>
      </c>
      <c r="M21" s="309"/>
      <c r="N21" s="234" t="str">
        <f t="shared" si="0"/>
        <v>n.é.</v>
      </c>
    </row>
    <row r="22" spans="1:14" ht="20.100000000000001" hidden="1" customHeight="1" x14ac:dyDescent="0.2">
      <c r="A22" s="265" t="s">
        <v>14</v>
      </c>
      <c r="B22" s="272" t="s">
        <v>430</v>
      </c>
      <c r="C22" s="276" t="s">
        <v>265</v>
      </c>
      <c r="D22" s="304"/>
      <c r="E22" s="304"/>
      <c r="F22" s="304"/>
      <c r="G22" s="304"/>
      <c r="H22" s="304"/>
      <c r="I22" s="309"/>
      <c r="J22" s="211" t="s">
        <v>853</v>
      </c>
      <c r="K22" s="309"/>
      <c r="L22" s="211" t="s">
        <v>853</v>
      </c>
      <c r="M22" s="309"/>
      <c r="N22" s="234" t="str">
        <f t="shared" si="0"/>
        <v>n.é.</v>
      </c>
    </row>
    <row r="23" spans="1:14" ht="20.100000000000001" hidden="1" customHeight="1" x14ac:dyDescent="0.2">
      <c r="A23" s="265" t="s">
        <v>15</v>
      </c>
      <c r="B23" s="272" t="s">
        <v>431</v>
      </c>
      <c r="C23" s="276" t="s">
        <v>266</v>
      </c>
      <c r="D23" s="304"/>
      <c r="E23" s="304"/>
      <c r="F23" s="304"/>
      <c r="G23" s="304"/>
      <c r="H23" s="304"/>
      <c r="I23" s="309"/>
      <c r="J23" s="211" t="s">
        <v>853</v>
      </c>
      <c r="K23" s="309"/>
      <c r="L23" s="211" t="s">
        <v>853</v>
      </c>
      <c r="M23" s="309"/>
      <c r="N23" s="234" t="str">
        <f t="shared" si="0"/>
        <v>n.é.</v>
      </c>
    </row>
    <row r="24" spans="1:14" ht="20.100000000000001" hidden="1" customHeight="1" x14ac:dyDescent="0.2">
      <c r="A24" s="265" t="s">
        <v>53</v>
      </c>
      <c r="B24" s="272" t="s">
        <v>432</v>
      </c>
      <c r="C24" s="276" t="s">
        <v>267</v>
      </c>
      <c r="D24" s="304"/>
      <c r="E24" s="304"/>
      <c r="F24" s="304"/>
      <c r="G24" s="304"/>
      <c r="H24" s="304"/>
      <c r="I24" s="309"/>
      <c r="J24" s="211" t="s">
        <v>853</v>
      </c>
      <c r="K24" s="309"/>
      <c r="L24" s="211" t="s">
        <v>853</v>
      </c>
      <c r="M24" s="309"/>
      <c r="N24" s="234" t="str">
        <f t="shared" si="0"/>
        <v>n.é.</v>
      </c>
    </row>
    <row r="25" spans="1:14" ht="21.75" hidden="1" customHeight="1" x14ac:dyDescent="0.2">
      <c r="A25" s="265" t="s">
        <v>54</v>
      </c>
      <c r="B25" s="272" t="s">
        <v>268</v>
      </c>
      <c r="C25" s="276" t="s">
        <v>269</v>
      </c>
      <c r="D25" s="304"/>
      <c r="E25" s="304"/>
      <c r="F25" s="304"/>
      <c r="G25" s="304"/>
      <c r="H25" s="304"/>
      <c r="I25" s="309"/>
      <c r="J25" s="211" t="s">
        <v>853</v>
      </c>
      <c r="K25" s="309"/>
      <c r="L25" s="211" t="s">
        <v>853</v>
      </c>
      <c r="M25" s="309"/>
      <c r="N25" s="234" t="str">
        <f t="shared" si="0"/>
        <v>n.é.</v>
      </c>
    </row>
    <row r="26" spans="1:14" s="3" customFormat="1" ht="20.100000000000001" customHeight="1" x14ac:dyDescent="0.2">
      <c r="A26" s="306" t="s">
        <v>55</v>
      </c>
      <c r="B26" s="310" t="s">
        <v>270</v>
      </c>
      <c r="C26" s="317" t="s">
        <v>271</v>
      </c>
      <c r="D26" s="303">
        <f>E26+G26</f>
        <v>0</v>
      </c>
      <c r="E26" s="303">
        <f>SUM(E21:E25)</f>
        <v>0</v>
      </c>
      <c r="F26" s="303">
        <f>SUM(F21:F25)</f>
        <v>0</v>
      </c>
      <c r="G26" s="303">
        <f>SUM(G21:G25)</f>
        <v>0</v>
      </c>
      <c r="H26" s="303">
        <f>SUM(H21:H25)</f>
        <v>0</v>
      </c>
      <c r="I26" s="303">
        <f>SUM(I21:I25)</f>
        <v>0</v>
      </c>
      <c r="J26" s="302" t="s">
        <v>853</v>
      </c>
      <c r="K26" s="303">
        <f>SUM(K21:K25)</f>
        <v>0</v>
      </c>
      <c r="L26" s="302" t="s">
        <v>853</v>
      </c>
      <c r="M26" s="303">
        <f>SUM(M21:M25)</f>
        <v>0</v>
      </c>
      <c r="N26" s="311" t="str">
        <f t="shared" si="0"/>
        <v>n.é.</v>
      </c>
    </row>
    <row r="27" spans="1:14" ht="20.100000000000001" hidden="1" customHeight="1" x14ac:dyDescent="0.2">
      <c r="A27" s="265" t="s">
        <v>56</v>
      </c>
      <c r="B27" s="272" t="s">
        <v>272</v>
      </c>
      <c r="C27" s="276" t="s">
        <v>273</v>
      </c>
      <c r="D27" s="304"/>
      <c r="E27" s="304"/>
      <c r="F27" s="304"/>
      <c r="G27" s="304"/>
      <c r="H27" s="304"/>
      <c r="I27" s="309"/>
      <c r="J27" s="211" t="s">
        <v>853</v>
      </c>
      <c r="K27" s="309"/>
      <c r="L27" s="211" t="s">
        <v>853</v>
      </c>
      <c r="M27" s="309"/>
      <c r="N27" s="234" t="str">
        <f t="shared" si="0"/>
        <v>n.é.</v>
      </c>
    </row>
    <row r="28" spans="1:14" ht="20.100000000000001" hidden="1" customHeight="1" x14ac:dyDescent="0.2">
      <c r="A28" s="265" t="s">
        <v>106</v>
      </c>
      <c r="B28" s="272" t="s">
        <v>274</v>
      </c>
      <c r="C28" s="276" t="s">
        <v>275</v>
      </c>
      <c r="D28" s="304"/>
      <c r="E28" s="304"/>
      <c r="F28" s="304"/>
      <c r="G28" s="304"/>
      <c r="H28" s="304"/>
      <c r="I28" s="309"/>
      <c r="J28" s="211" t="s">
        <v>853</v>
      </c>
      <c r="K28" s="309"/>
      <c r="L28" s="211" t="s">
        <v>853</v>
      </c>
      <c r="M28" s="309"/>
      <c r="N28" s="234" t="str">
        <f t="shared" si="0"/>
        <v>n.é.</v>
      </c>
    </row>
    <row r="29" spans="1:14" s="3" customFormat="1" ht="20.100000000000001" customHeight="1" x14ac:dyDescent="0.2">
      <c r="A29" s="306" t="s">
        <v>107</v>
      </c>
      <c r="B29" s="310" t="s">
        <v>276</v>
      </c>
      <c r="C29" s="317" t="s">
        <v>277</v>
      </c>
      <c r="D29" s="303">
        <f>E29+G29</f>
        <v>0</v>
      </c>
      <c r="E29" s="303">
        <f>SUM(E27:E28)</f>
        <v>0</v>
      </c>
      <c r="F29" s="303">
        <f>SUM(F27:F28)</f>
        <v>0</v>
      </c>
      <c r="G29" s="303">
        <f>SUM(G27:G28)</f>
        <v>0</v>
      </c>
      <c r="H29" s="303">
        <f>SUM(H27:H28)</f>
        <v>0</v>
      </c>
      <c r="I29" s="303">
        <f>SUM(I27:I28)</f>
        <v>0</v>
      </c>
      <c r="J29" s="302" t="s">
        <v>853</v>
      </c>
      <c r="K29" s="303">
        <f>SUM(K27:K28)</f>
        <v>0</v>
      </c>
      <c r="L29" s="302" t="s">
        <v>853</v>
      </c>
      <c r="M29" s="303">
        <f>SUM(M27:M28)</f>
        <v>0</v>
      </c>
      <c r="N29" s="311" t="str">
        <f t="shared" si="0"/>
        <v>n.é.</v>
      </c>
    </row>
    <row r="30" spans="1:14" ht="20.100000000000001" hidden="1" customHeight="1" x14ac:dyDescent="0.2">
      <c r="A30" s="265" t="s">
        <v>179</v>
      </c>
      <c r="B30" s="272" t="s">
        <v>278</v>
      </c>
      <c r="C30" s="276" t="s">
        <v>279</v>
      </c>
      <c r="D30" s="304"/>
      <c r="E30" s="304"/>
      <c r="F30" s="304"/>
      <c r="G30" s="304"/>
      <c r="H30" s="304"/>
      <c r="I30" s="309"/>
      <c r="J30" s="211" t="s">
        <v>853</v>
      </c>
      <c r="K30" s="309"/>
      <c r="L30" s="211" t="s">
        <v>853</v>
      </c>
      <c r="M30" s="309"/>
      <c r="N30" s="234" t="str">
        <f t="shared" si="0"/>
        <v>n.é.</v>
      </c>
    </row>
    <row r="31" spans="1:14" ht="20.100000000000001" hidden="1" customHeight="1" x14ac:dyDescent="0.2">
      <c r="A31" s="265" t="s">
        <v>180</v>
      </c>
      <c r="B31" s="272" t="s">
        <v>280</v>
      </c>
      <c r="C31" s="276" t="s">
        <v>281</v>
      </c>
      <c r="D31" s="304"/>
      <c r="E31" s="304"/>
      <c r="F31" s="304"/>
      <c r="G31" s="304"/>
      <c r="H31" s="304"/>
      <c r="I31" s="309"/>
      <c r="J31" s="211" t="s">
        <v>853</v>
      </c>
      <c r="K31" s="309"/>
      <c r="L31" s="211" t="s">
        <v>853</v>
      </c>
      <c r="M31" s="309"/>
      <c r="N31" s="234" t="str">
        <f t="shared" si="0"/>
        <v>n.é.</v>
      </c>
    </row>
    <row r="32" spans="1:14" ht="20.100000000000001" hidden="1" customHeight="1" x14ac:dyDescent="0.2">
      <c r="A32" s="265" t="s">
        <v>181</v>
      </c>
      <c r="B32" s="272" t="s">
        <v>282</v>
      </c>
      <c r="C32" s="276" t="s">
        <v>283</v>
      </c>
      <c r="D32" s="304"/>
      <c r="E32" s="304"/>
      <c r="F32" s="304"/>
      <c r="G32" s="304"/>
      <c r="H32" s="304"/>
      <c r="I32" s="309"/>
      <c r="J32" s="211" t="s">
        <v>853</v>
      </c>
      <c r="K32" s="309"/>
      <c r="L32" s="211" t="s">
        <v>853</v>
      </c>
      <c r="M32" s="309"/>
      <c r="N32" s="234" t="str">
        <f t="shared" si="0"/>
        <v>n.é.</v>
      </c>
    </row>
    <row r="33" spans="1:14" ht="20.100000000000001" hidden="1" customHeight="1" x14ac:dyDescent="0.2">
      <c r="A33" s="265" t="s">
        <v>182</v>
      </c>
      <c r="B33" s="272" t="s">
        <v>284</v>
      </c>
      <c r="C33" s="276" t="s">
        <v>285</v>
      </c>
      <c r="D33" s="304"/>
      <c r="E33" s="304"/>
      <c r="F33" s="304"/>
      <c r="G33" s="304"/>
      <c r="H33" s="304"/>
      <c r="I33" s="309"/>
      <c r="J33" s="211" t="s">
        <v>853</v>
      </c>
      <c r="K33" s="309"/>
      <c r="L33" s="211" t="s">
        <v>853</v>
      </c>
      <c r="M33" s="309"/>
      <c r="N33" s="234" t="str">
        <f t="shared" si="0"/>
        <v>n.é.</v>
      </c>
    </row>
    <row r="34" spans="1:14" ht="20.100000000000001" hidden="1" customHeight="1" x14ac:dyDescent="0.2">
      <c r="A34" s="265" t="s">
        <v>183</v>
      </c>
      <c r="B34" s="272" t="s">
        <v>286</v>
      </c>
      <c r="C34" s="276" t="s">
        <v>287</v>
      </c>
      <c r="D34" s="304"/>
      <c r="E34" s="304"/>
      <c r="F34" s="304"/>
      <c r="G34" s="304"/>
      <c r="H34" s="304"/>
      <c r="I34" s="309"/>
      <c r="J34" s="211" t="s">
        <v>853</v>
      </c>
      <c r="K34" s="309"/>
      <c r="L34" s="211" t="s">
        <v>853</v>
      </c>
      <c r="M34" s="309"/>
      <c r="N34" s="234" t="str">
        <f t="shared" si="0"/>
        <v>n.é.</v>
      </c>
    </row>
    <row r="35" spans="1:14" ht="20.100000000000001" hidden="1" customHeight="1" x14ac:dyDescent="0.2">
      <c r="A35" s="265" t="s">
        <v>184</v>
      </c>
      <c r="B35" s="272" t="s">
        <v>288</v>
      </c>
      <c r="C35" s="276" t="s">
        <v>289</v>
      </c>
      <c r="D35" s="304"/>
      <c r="E35" s="304"/>
      <c r="F35" s="304"/>
      <c r="G35" s="304"/>
      <c r="H35" s="304"/>
      <c r="I35" s="309"/>
      <c r="J35" s="211" t="s">
        <v>853</v>
      </c>
      <c r="K35" s="309"/>
      <c r="L35" s="211" t="s">
        <v>853</v>
      </c>
      <c r="M35" s="309"/>
      <c r="N35" s="234" t="str">
        <f t="shared" si="0"/>
        <v>n.é.</v>
      </c>
    </row>
    <row r="36" spans="1:14" ht="20.100000000000001" hidden="1" customHeight="1" x14ac:dyDescent="0.2">
      <c r="A36" s="265" t="s">
        <v>185</v>
      </c>
      <c r="B36" s="272" t="s">
        <v>290</v>
      </c>
      <c r="C36" s="276" t="s">
        <v>291</v>
      </c>
      <c r="D36" s="304"/>
      <c r="E36" s="304"/>
      <c r="F36" s="304"/>
      <c r="G36" s="304"/>
      <c r="H36" s="304"/>
      <c r="I36" s="309"/>
      <c r="J36" s="211" t="s">
        <v>853</v>
      </c>
      <c r="K36" s="309"/>
      <c r="L36" s="211" t="s">
        <v>853</v>
      </c>
      <c r="M36" s="309"/>
      <c r="N36" s="234" t="str">
        <f t="shared" si="0"/>
        <v>n.é.</v>
      </c>
    </row>
    <row r="37" spans="1:14" ht="20.100000000000001" hidden="1" customHeight="1" x14ac:dyDescent="0.2">
      <c r="A37" s="265" t="s">
        <v>186</v>
      </c>
      <c r="B37" s="272" t="s">
        <v>292</v>
      </c>
      <c r="C37" s="276" t="s">
        <v>293</v>
      </c>
      <c r="D37" s="304"/>
      <c r="E37" s="304"/>
      <c r="F37" s="304"/>
      <c r="G37" s="304"/>
      <c r="H37" s="304"/>
      <c r="I37" s="309"/>
      <c r="J37" s="211" t="s">
        <v>853</v>
      </c>
      <c r="K37" s="309"/>
      <c r="L37" s="211" t="s">
        <v>853</v>
      </c>
      <c r="M37" s="309"/>
      <c r="N37" s="234" t="str">
        <f t="shared" si="0"/>
        <v>n.é.</v>
      </c>
    </row>
    <row r="38" spans="1:14" s="3" customFormat="1" ht="20.100000000000001" customHeight="1" x14ac:dyDescent="0.2">
      <c r="A38" s="306" t="s">
        <v>187</v>
      </c>
      <c r="B38" s="310" t="s">
        <v>294</v>
      </c>
      <c r="C38" s="317" t="s">
        <v>295</v>
      </c>
      <c r="D38" s="303">
        <f>E38+G38</f>
        <v>0</v>
      </c>
      <c r="E38" s="303">
        <f>SUM(E33:E37)</f>
        <v>0</v>
      </c>
      <c r="F38" s="303">
        <f>SUM(F33:F37)</f>
        <v>0</v>
      </c>
      <c r="G38" s="303">
        <f>SUM(G33:G37)</f>
        <v>0</v>
      </c>
      <c r="H38" s="303">
        <f>SUM(H33:H37)</f>
        <v>0</v>
      </c>
      <c r="I38" s="303">
        <f>SUM(I33:I37)</f>
        <v>0</v>
      </c>
      <c r="J38" s="302" t="s">
        <v>853</v>
      </c>
      <c r="K38" s="303">
        <f>SUM(K33:K37)</f>
        <v>0</v>
      </c>
      <c r="L38" s="302" t="s">
        <v>853</v>
      </c>
      <c r="M38" s="303">
        <f>SUM(M33:M37)</f>
        <v>0</v>
      </c>
      <c r="N38" s="311" t="str">
        <f t="shared" si="0"/>
        <v>n.é.</v>
      </c>
    </row>
    <row r="39" spans="1:14" ht="18" customHeight="1" x14ac:dyDescent="0.2">
      <c r="A39" s="265" t="s">
        <v>188</v>
      </c>
      <c r="B39" s="272" t="s">
        <v>296</v>
      </c>
      <c r="C39" s="276" t="s">
        <v>297</v>
      </c>
      <c r="D39" s="304"/>
      <c r="E39" s="304"/>
      <c r="F39" s="304"/>
      <c r="G39" s="304"/>
      <c r="H39" s="304"/>
      <c r="I39" s="309">
        <v>5000</v>
      </c>
      <c r="J39" s="211" t="s">
        <v>853</v>
      </c>
      <c r="K39" s="309"/>
      <c r="L39" s="211" t="s">
        <v>853</v>
      </c>
      <c r="M39" s="309">
        <v>5000</v>
      </c>
      <c r="N39" s="234" t="str">
        <f t="shared" si="0"/>
        <v>n.é.</v>
      </c>
    </row>
    <row r="40" spans="1:14" s="3" customFormat="1" ht="19.5" customHeight="1" x14ac:dyDescent="0.2">
      <c r="A40" s="306" t="s">
        <v>189</v>
      </c>
      <c r="B40" s="310" t="s">
        <v>298</v>
      </c>
      <c r="C40" s="317" t="s">
        <v>299</v>
      </c>
      <c r="D40" s="303">
        <f>E40+G40</f>
        <v>0</v>
      </c>
      <c r="E40" s="303">
        <f t="shared" ref="E40" si="1">E29+E30+E31+E32+E38+E39</f>
        <v>0</v>
      </c>
      <c r="F40" s="303">
        <f t="shared" ref="F40" si="2">F29+F30+F31+F32+F38+F39</f>
        <v>0</v>
      </c>
      <c r="G40" s="303">
        <f t="shared" ref="G40" si="3">G29+G30+G31+G32+G38+G39</f>
        <v>0</v>
      </c>
      <c r="H40" s="303">
        <f t="shared" ref="H40" si="4">H29+H30+H31+H32+H38+H39</f>
        <v>0</v>
      </c>
      <c r="I40" s="303">
        <f t="shared" ref="I40" si="5">I29+I30+I31+I32+I38+I39</f>
        <v>5000</v>
      </c>
      <c r="J40" s="302" t="s">
        <v>853</v>
      </c>
      <c r="K40" s="303">
        <f t="shared" ref="K40" si="6">K29+K30+K31+K32+K38+K39</f>
        <v>0</v>
      </c>
      <c r="L40" s="302" t="s">
        <v>853</v>
      </c>
      <c r="M40" s="303">
        <f t="shared" ref="M40" si="7">M29+M30+M31+M32+M38+M39</f>
        <v>5000</v>
      </c>
      <c r="N40" s="311" t="str">
        <f t="shared" ref="N40:N71" si="8">IF(H40&gt;0,M40/H40,"n.é.")</f>
        <v>n.é.</v>
      </c>
    </row>
    <row r="41" spans="1:14" ht="20.100000000000001" hidden="1" customHeight="1" x14ac:dyDescent="0.2">
      <c r="A41" s="265" t="s">
        <v>190</v>
      </c>
      <c r="B41" s="272" t="s">
        <v>300</v>
      </c>
      <c r="C41" s="276" t="s">
        <v>301</v>
      </c>
      <c r="D41" s="304"/>
      <c r="E41" s="304"/>
      <c r="F41" s="304"/>
      <c r="G41" s="304"/>
      <c r="H41" s="304"/>
      <c r="I41" s="309"/>
      <c r="J41" s="211" t="s">
        <v>853</v>
      </c>
      <c r="K41" s="309"/>
      <c r="L41" s="211" t="s">
        <v>853</v>
      </c>
      <c r="M41" s="309"/>
      <c r="N41" s="234" t="str">
        <f t="shared" si="8"/>
        <v>n.é.</v>
      </c>
    </row>
    <row r="42" spans="1:14" ht="20.100000000000001" hidden="1" customHeight="1" x14ac:dyDescent="0.2">
      <c r="A42" s="265" t="s">
        <v>191</v>
      </c>
      <c r="B42" s="272" t="s">
        <v>302</v>
      </c>
      <c r="C42" s="276" t="s">
        <v>303</v>
      </c>
      <c r="D42" s="304"/>
      <c r="E42" s="304"/>
      <c r="F42" s="304"/>
      <c r="G42" s="304"/>
      <c r="H42" s="304"/>
      <c r="I42" s="309"/>
      <c r="J42" s="211" t="s">
        <v>853</v>
      </c>
      <c r="K42" s="309"/>
      <c r="L42" s="211" t="s">
        <v>853</v>
      </c>
      <c r="M42" s="309"/>
      <c r="N42" s="234" t="str">
        <f t="shared" si="8"/>
        <v>n.é.</v>
      </c>
    </row>
    <row r="43" spans="1:14" ht="20.100000000000001" hidden="1" customHeight="1" x14ac:dyDescent="0.2">
      <c r="A43" s="265" t="s">
        <v>192</v>
      </c>
      <c r="B43" s="272" t="s">
        <v>304</v>
      </c>
      <c r="C43" s="276" t="s">
        <v>305</v>
      </c>
      <c r="D43" s="304"/>
      <c r="E43" s="304"/>
      <c r="F43" s="304"/>
      <c r="G43" s="304"/>
      <c r="H43" s="304"/>
      <c r="I43" s="304"/>
      <c r="J43" s="305" t="s">
        <v>853</v>
      </c>
      <c r="K43" s="304"/>
      <c r="L43" s="305" t="s">
        <v>853</v>
      </c>
      <c r="M43" s="304"/>
      <c r="N43" s="288" t="str">
        <f t="shared" si="8"/>
        <v>n.é.</v>
      </c>
    </row>
    <row r="44" spans="1:14" ht="20.100000000000001" hidden="1" customHeight="1" x14ac:dyDescent="0.2">
      <c r="A44" s="265" t="s">
        <v>193</v>
      </c>
      <c r="B44" s="272" t="s">
        <v>306</v>
      </c>
      <c r="C44" s="276" t="s">
        <v>307</v>
      </c>
      <c r="D44" s="304"/>
      <c r="E44" s="304"/>
      <c r="F44" s="304"/>
      <c r="G44" s="304"/>
      <c r="H44" s="304"/>
      <c r="I44" s="304"/>
      <c r="J44" s="305" t="s">
        <v>853</v>
      </c>
      <c r="K44" s="304"/>
      <c r="L44" s="305" t="s">
        <v>853</v>
      </c>
      <c r="M44" s="304"/>
      <c r="N44" s="288" t="str">
        <f t="shared" si="8"/>
        <v>n.é.</v>
      </c>
    </row>
    <row r="45" spans="1:14" ht="20.100000000000001" hidden="1" customHeight="1" x14ac:dyDescent="0.2">
      <c r="A45" s="265" t="s">
        <v>194</v>
      </c>
      <c r="B45" s="272" t="s">
        <v>308</v>
      </c>
      <c r="C45" s="276" t="s">
        <v>309</v>
      </c>
      <c r="D45" s="304"/>
      <c r="E45" s="304"/>
      <c r="F45" s="304"/>
      <c r="G45" s="304"/>
      <c r="H45" s="304"/>
      <c r="I45" s="304"/>
      <c r="J45" s="305" t="s">
        <v>853</v>
      </c>
      <c r="K45" s="304"/>
      <c r="L45" s="305" t="s">
        <v>853</v>
      </c>
      <c r="M45" s="304"/>
      <c r="N45" s="288" t="str">
        <f t="shared" si="8"/>
        <v>n.é.</v>
      </c>
    </row>
    <row r="46" spans="1:14" ht="20.100000000000001" hidden="1" customHeight="1" x14ac:dyDescent="0.2">
      <c r="A46" s="265" t="s">
        <v>195</v>
      </c>
      <c r="B46" s="272" t="s">
        <v>310</v>
      </c>
      <c r="C46" s="276" t="s">
        <v>311</v>
      </c>
      <c r="D46" s="304"/>
      <c r="E46" s="304"/>
      <c r="F46" s="304"/>
      <c r="G46" s="304"/>
      <c r="H46" s="304"/>
      <c r="I46" s="304"/>
      <c r="J46" s="305" t="s">
        <v>853</v>
      </c>
      <c r="K46" s="304"/>
      <c r="L46" s="305" t="s">
        <v>853</v>
      </c>
      <c r="M46" s="304"/>
      <c r="N46" s="288" t="str">
        <f t="shared" si="8"/>
        <v>n.é.</v>
      </c>
    </row>
    <row r="47" spans="1:14" ht="18" hidden="1" customHeight="1" x14ac:dyDescent="0.2">
      <c r="A47" s="265" t="s">
        <v>196</v>
      </c>
      <c r="B47" s="272" t="s">
        <v>312</v>
      </c>
      <c r="C47" s="276" t="s">
        <v>313</v>
      </c>
      <c r="D47" s="304"/>
      <c r="E47" s="304"/>
      <c r="F47" s="304"/>
      <c r="G47" s="304"/>
      <c r="H47" s="304"/>
      <c r="I47" s="304"/>
      <c r="J47" s="305" t="s">
        <v>853</v>
      </c>
      <c r="K47" s="304"/>
      <c r="L47" s="305" t="s">
        <v>853</v>
      </c>
      <c r="M47" s="304"/>
      <c r="N47" s="288" t="str">
        <f t="shared" si="8"/>
        <v>n.é.</v>
      </c>
    </row>
    <row r="48" spans="1:14" ht="18.75" customHeight="1" x14ac:dyDescent="0.2">
      <c r="A48" s="265" t="s">
        <v>197</v>
      </c>
      <c r="B48" s="272" t="s">
        <v>314</v>
      </c>
      <c r="C48" s="276" t="s">
        <v>315</v>
      </c>
      <c r="D48" s="304"/>
      <c r="E48" s="304"/>
      <c r="F48" s="304"/>
      <c r="G48" s="304"/>
      <c r="H48" s="304"/>
      <c r="I48" s="304">
        <v>1</v>
      </c>
      <c r="J48" s="305" t="s">
        <v>853</v>
      </c>
      <c r="K48" s="304"/>
      <c r="L48" s="305" t="s">
        <v>853</v>
      </c>
      <c r="M48" s="304">
        <v>1</v>
      </c>
      <c r="N48" s="288" t="str">
        <f t="shared" si="8"/>
        <v>n.é.</v>
      </c>
    </row>
    <row r="49" spans="1:14" ht="18" customHeight="1" x14ac:dyDescent="0.2">
      <c r="A49" s="265" t="s">
        <v>198</v>
      </c>
      <c r="B49" s="272" t="s">
        <v>316</v>
      </c>
      <c r="C49" s="276" t="s">
        <v>317</v>
      </c>
      <c r="D49" s="304"/>
      <c r="E49" s="304"/>
      <c r="F49" s="304"/>
      <c r="G49" s="304"/>
      <c r="H49" s="304"/>
      <c r="I49" s="304"/>
      <c r="J49" s="305" t="s">
        <v>853</v>
      </c>
      <c r="K49" s="304"/>
      <c r="L49" s="305" t="s">
        <v>853</v>
      </c>
      <c r="M49" s="304"/>
      <c r="N49" s="288" t="str">
        <f t="shared" si="8"/>
        <v>n.é.</v>
      </c>
    </row>
    <row r="50" spans="1:14" ht="18.75" customHeight="1" x14ac:dyDescent="0.2">
      <c r="A50" s="265" t="s">
        <v>199</v>
      </c>
      <c r="B50" s="272" t="s">
        <v>670</v>
      </c>
      <c r="C50" s="276" t="s">
        <v>319</v>
      </c>
      <c r="D50" s="304"/>
      <c r="E50" s="304"/>
      <c r="F50" s="304"/>
      <c r="G50" s="304"/>
      <c r="H50" s="304"/>
      <c r="I50" s="304"/>
      <c r="J50" s="305" t="s">
        <v>853</v>
      </c>
      <c r="K50" s="304"/>
      <c r="L50" s="305" t="s">
        <v>853</v>
      </c>
      <c r="M50" s="304"/>
      <c r="N50" s="288" t="str">
        <f t="shared" si="8"/>
        <v>n.é.</v>
      </c>
    </row>
    <row r="51" spans="1:14" ht="23.25" customHeight="1" x14ac:dyDescent="0.2">
      <c r="A51" s="265" t="s">
        <v>200</v>
      </c>
      <c r="B51" s="272" t="s">
        <v>318</v>
      </c>
      <c r="C51" s="276" t="s">
        <v>669</v>
      </c>
      <c r="D51" s="304"/>
      <c r="E51" s="304"/>
      <c r="F51" s="304"/>
      <c r="G51" s="304"/>
      <c r="H51" s="304"/>
      <c r="I51" s="304">
        <v>36010</v>
      </c>
      <c r="J51" s="305" t="s">
        <v>853</v>
      </c>
      <c r="K51" s="304"/>
      <c r="L51" s="305" t="s">
        <v>853</v>
      </c>
      <c r="M51" s="304">
        <v>36010</v>
      </c>
      <c r="N51" s="288" t="str">
        <f t="shared" si="8"/>
        <v>n.é.</v>
      </c>
    </row>
    <row r="52" spans="1:14" s="3" customFormat="1" ht="18" customHeight="1" x14ac:dyDescent="0.2">
      <c r="A52" s="306" t="s">
        <v>201</v>
      </c>
      <c r="B52" s="310" t="s">
        <v>671</v>
      </c>
      <c r="C52" s="317" t="s">
        <v>320</v>
      </c>
      <c r="D52" s="303">
        <f>E52+G52</f>
        <v>0</v>
      </c>
      <c r="E52" s="303">
        <f>SUM(E41:E51)</f>
        <v>0</v>
      </c>
      <c r="F52" s="303">
        <f>SUM(F41:F51)</f>
        <v>0</v>
      </c>
      <c r="G52" s="303">
        <f>SUM(G41:G51)</f>
        <v>0</v>
      </c>
      <c r="H52" s="303">
        <f>H41+H42+H43+H44+H45+H46+H47+H48+H49+H51+H50</f>
        <v>0</v>
      </c>
      <c r="I52" s="303">
        <f>I41+I42+I43+I44+I45+I46+I47+I48+I49+I51+I50</f>
        <v>36011</v>
      </c>
      <c r="J52" s="302" t="s">
        <v>853</v>
      </c>
      <c r="K52" s="303">
        <f t="shared" ref="K52" si="9">K41+K42+K43+K44+K45+K46+K47+K48+K49+K51</f>
        <v>0</v>
      </c>
      <c r="L52" s="302" t="s">
        <v>853</v>
      </c>
      <c r="M52" s="303">
        <f>M41+M42+M43+M44+M45+M46+M47+M48+M49+M51+M50</f>
        <v>36011</v>
      </c>
      <c r="N52" s="286" t="str">
        <f t="shared" si="8"/>
        <v>n.é.</v>
      </c>
    </row>
    <row r="53" spans="1:14" ht="20.100000000000001" hidden="1" customHeight="1" x14ac:dyDescent="0.2">
      <c r="A53" s="265" t="s">
        <v>202</v>
      </c>
      <c r="B53" s="272" t="s">
        <v>321</v>
      </c>
      <c r="C53" s="276" t="s">
        <v>322</v>
      </c>
      <c r="D53" s="304"/>
      <c r="E53" s="304"/>
      <c r="F53" s="304"/>
      <c r="G53" s="304"/>
      <c r="H53" s="304"/>
      <c r="I53" s="304"/>
      <c r="J53" s="305" t="s">
        <v>853</v>
      </c>
      <c r="K53" s="304"/>
      <c r="L53" s="305" t="s">
        <v>853</v>
      </c>
      <c r="M53" s="304"/>
      <c r="N53" s="288" t="str">
        <f t="shared" si="8"/>
        <v>n.é.</v>
      </c>
    </row>
    <row r="54" spans="1:14" ht="20.100000000000001" hidden="1" customHeight="1" x14ac:dyDescent="0.2">
      <c r="A54" s="265" t="s">
        <v>203</v>
      </c>
      <c r="B54" s="272" t="s">
        <v>323</v>
      </c>
      <c r="C54" s="276" t="s">
        <v>324</v>
      </c>
      <c r="D54" s="304"/>
      <c r="E54" s="304"/>
      <c r="F54" s="304"/>
      <c r="G54" s="304"/>
      <c r="H54" s="304"/>
      <c r="I54" s="304"/>
      <c r="J54" s="305" t="s">
        <v>853</v>
      </c>
      <c r="K54" s="304"/>
      <c r="L54" s="305" t="s">
        <v>853</v>
      </c>
      <c r="M54" s="304"/>
      <c r="N54" s="288" t="str">
        <f t="shared" si="8"/>
        <v>n.é.</v>
      </c>
    </row>
    <row r="55" spans="1:14" ht="20.100000000000001" hidden="1" customHeight="1" x14ac:dyDescent="0.2">
      <c r="A55" s="265" t="s">
        <v>204</v>
      </c>
      <c r="B55" s="272" t="s">
        <v>325</v>
      </c>
      <c r="C55" s="276" t="s">
        <v>326</v>
      </c>
      <c r="D55" s="304"/>
      <c r="E55" s="304"/>
      <c r="F55" s="304"/>
      <c r="G55" s="304"/>
      <c r="H55" s="304"/>
      <c r="I55" s="304"/>
      <c r="J55" s="305" t="s">
        <v>853</v>
      </c>
      <c r="K55" s="304"/>
      <c r="L55" s="305" t="s">
        <v>853</v>
      </c>
      <c r="M55" s="304"/>
      <c r="N55" s="288" t="str">
        <f t="shared" si="8"/>
        <v>n.é.</v>
      </c>
    </row>
    <row r="56" spans="1:14" ht="20.100000000000001" hidden="1" customHeight="1" x14ac:dyDescent="0.2">
      <c r="A56" s="265" t="s">
        <v>205</v>
      </c>
      <c r="B56" s="272" t="s">
        <v>327</v>
      </c>
      <c r="C56" s="276" t="s">
        <v>328</v>
      </c>
      <c r="D56" s="304"/>
      <c r="E56" s="304"/>
      <c r="F56" s="304"/>
      <c r="G56" s="304"/>
      <c r="H56" s="304"/>
      <c r="I56" s="304"/>
      <c r="J56" s="305" t="s">
        <v>853</v>
      </c>
      <c r="K56" s="304"/>
      <c r="L56" s="305" t="s">
        <v>853</v>
      </c>
      <c r="M56" s="304"/>
      <c r="N56" s="288" t="str">
        <f t="shared" si="8"/>
        <v>n.é.</v>
      </c>
    </row>
    <row r="57" spans="1:14" ht="15.75" hidden="1" customHeight="1" x14ac:dyDescent="0.2">
      <c r="A57" s="265" t="s">
        <v>206</v>
      </c>
      <c r="B57" s="272" t="s">
        <v>329</v>
      </c>
      <c r="C57" s="276" t="s">
        <v>330</v>
      </c>
      <c r="D57" s="304"/>
      <c r="E57" s="304"/>
      <c r="F57" s="304"/>
      <c r="G57" s="304"/>
      <c r="H57" s="304"/>
      <c r="I57" s="304"/>
      <c r="J57" s="305" t="s">
        <v>853</v>
      </c>
      <c r="K57" s="304"/>
      <c r="L57" s="305" t="s">
        <v>853</v>
      </c>
      <c r="M57" s="304"/>
      <c r="N57" s="288" t="str">
        <f t="shared" si="8"/>
        <v>n.é.</v>
      </c>
    </row>
    <row r="58" spans="1:14" s="3" customFormat="1" ht="20.100000000000001" customHeight="1" x14ac:dyDescent="0.2">
      <c r="A58" s="306" t="s">
        <v>207</v>
      </c>
      <c r="B58" s="310" t="s">
        <v>672</v>
      </c>
      <c r="C58" s="317" t="s">
        <v>331</v>
      </c>
      <c r="D58" s="303">
        <f>E58+G58</f>
        <v>0</v>
      </c>
      <c r="E58" s="303">
        <f>SUM(E53:E57)</f>
        <v>0</v>
      </c>
      <c r="F58" s="303">
        <f>SUM(F53:F57)</f>
        <v>0</v>
      </c>
      <c r="G58" s="303">
        <f>SUM(G53:G57)</f>
        <v>0</v>
      </c>
      <c r="H58" s="303">
        <f>SUM(H53:H57)</f>
        <v>0</v>
      </c>
      <c r="I58" s="303">
        <f>SUM(I53:I57)</f>
        <v>0</v>
      </c>
      <c r="J58" s="302" t="s">
        <v>853</v>
      </c>
      <c r="K58" s="303">
        <f>SUM(K53:K57)</f>
        <v>0</v>
      </c>
      <c r="L58" s="302" t="s">
        <v>853</v>
      </c>
      <c r="M58" s="303">
        <f>SUM(M53:M57)</f>
        <v>0</v>
      </c>
      <c r="N58" s="286" t="str">
        <f t="shared" si="8"/>
        <v>n.é.</v>
      </c>
    </row>
    <row r="59" spans="1:14" ht="20.100000000000001" hidden="1" customHeight="1" x14ac:dyDescent="0.2">
      <c r="A59" s="265" t="s">
        <v>208</v>
      </c>
      <c r="B59" s="272" t="s">
        <v>433</v>
      </c>
      <c r="C59" s="276" t="s">
        <v>332</v>
      </c>
      <c r="D59" s="304"/>
      <c r="E59" s="304"/>
      <c r="F59" s="304"/>
      <c r="G59" s="304"/>
      <c r="H59" s="304"/>
      <c r="I59" s="304"/>
      <c r="J59" s="305" t="s">
        <v>853</v>
      </c>
      <c r="K59" s="304"/>
      <c r="L59" s="305" t="s">
        <v>853</v>
      </c>
      <c r="M59" s="304"/>
      <c r="N59" s="288" t="str">
        <f t="shared" si="8"/>
        <v>n.é.</v>
      </c>
    </row>
    <row r="60" spans="1:14" ht="20.100000000000001" hidden="1" customHeight="1" x14ac:dyDescent="0.2">
      <c r="A60" s="265" t="s">
        <v>209</v>
      </c>
      <c r="B60" s="272" t="s">
        <v>673</v>
      </c>
      <c r="C60" s="276" t="s">
        <v>333</v>
      </c>
      <c r="D60" s="304"/>
      <c r="E60" s="304"/>
      <c r="F60" s="304"/>
      <c r="G60" s="304"/>
      <c r="H60" s="304"/>
      <c r="I60" s="304"/>
      <c r="J60" s="305" t="s">
        <v>853</v>
      </c>
      <c r="K60" s="304"/>
      <c r="L60" s="305" t="s">
        <v>853</v>
      </c>
      <c r="M60" s="304"/>
      <c r="N60" s="288" t="str">
        <f t="shared" si="8"/>
        <v>n.é.</v>
      </c>
    </row>
    <row r="61" spans="1:14" ht="20.100000000000001" hidden="1" customHeight="1" x14ac:dyDescent="0.2">
      <c r="A61" s="265" t="s">
        <v>210</v>
      </c>
      <c r="B61" s="272" t="s">
        <v>676</v>
      </c>
      <c r="C61" s="276" t="s">
        <v>335</v>
      </c>
      <c r="D61" s="304"/>
      <c r="E61" s="304"/>
      <c r="F61" s="304"/>
      <c r="G61" s="304"/>
      <c r="H61" s="304"/>
      <c r="I61" s="304"/>
      <c r="J61" s="305" t="s">
        <v>853</v>
      </c>
      <c r="K61" s="304"/>
      <c r="L61" s="305" t="s">
        <v>853</v>
      </c>
      <c r="M61" s="304"/>
      <c r="N61" s="288" t="str">
        <f t="shared" si="8"/>
        <v>n.é.</v>
      </c>
    </row>
    <row r="62" spans="1:14" ht="20.100000000000001" hidden="1" customHeight="1" x14ac:dyDescent="0.2">
      <c r="A62" s="265" t="s">
        <v>211</v>
      </c>
      <c r="B62" s="272" t="s">
        <v>434</v>
      </c>
      <c r="C62" s="276" t="s">
        <v>674</v>
      </c>
      <c r="D62" s="304"/>
      <c r="E62" s="304"/>
      <c r="F62" s="304"/>
      <c r="G62" s="304"/>
      <c r="H62" s="304"/>
      <c r="I62" s="304"/>
      <c r="J62" s="305" t="s">
        <v>853</v>
      </c>
      <c r="K62" s="304"/>
      <c r="L62" s="305" t="s">
        <v>853</v>
      </c>
      <c r="M62" s="304"/>
      <c r="N62" s="288" t="str">
        <f t="shared" si="8"/>
        <v>n.é.</v>
      </c>
    </row>
    <row r="63" spans="1:14" ht="20.100000000000001" hidden="1" customHeight="1" x14ac:dyDescent="0.2">
      <c r="A63" s="265" t="s">
        <v>212</v>
      </c>
      <c r="B63" s="272" t="s">
        <v>334</v>
      </c>
      <c r="C63" s="276" t="s">
        <v>675</v>
      </c>
      <c r="D63" s="304"/>
      <c r="E63" s="304"/>
      <c r="F63" s="304"/>
      <c r="G63" s="304"/>
      <c r="H63" s="304"/>
      <c r="I63" s="304"/>
      <c r="J63" s="305" t="s">
        <v>853</v>
      </c>
      <c r="K63" s="304"/>
      <c r="L63" s="305" t="s">
        <v>853</v>
      </c>
      <c r="M63" s="304"/>
      <c r="N63" s="288" t="str">
        <f t="shared" si="8"/>
        <v>n.é.</v>
      </c>
    </row>
    <row r="64" spans="1:14" s="3" customFormat="1" ht="20.100000000000001" customHeight="1" x14ac:dyDescent="0.2">
      <c r="A64" s="306" t="s">
        <v>213</v>
      </c>
      <c r="B64" s="310" t="s">
        <v>681</v>
      </c>
      <c r="C64" s="317" t="s">
        <v>336</v>
      </c>
      <c r="D64" s="303">
        <f>E64+G64</f>
        <v>0</v>
      </c>
      <c r="E64" s="303">
        <f>SUM(E59:E63)</f>
        <v>0</v>
      </c>
      <c r="F64" s="303">
        <f>SUM(F59:F63)</f>
        <v>0</v>
      </c>
      <c r="G64" s="303">
        <f>SUM(G59:G63)</f>
        <v>0</v>
      </c>
      <c r="H64" s="303">
        <f>SUM(H59:H63)</f>
        <v>0</v>
      </c>
      <c r="I64" s="303">
        <f>SUM(I59:I63)</f>
        <v>0</v>
      </c>
      <c r="J64" s="302" t="s">
        <v>853</v>
      </c>
      <c r="K64" s="303">
        <f>SUM(K59:K63)</f>
        <v>0</v>
      </c>
      <c r="L64" s="302" t="s">
        <v>853</v>
      </c>
      <c r="M64" s="303">
        <f>SUM(M59:M63)</f>
        <v>0</v>
      </c>
      <c r="N64" s="286" t="str">
        <f t="shared" si="8"/>
        <v>n.é.</v>
      </c>
    </row>
    <row r="65" spans="1:14" ht="20.100000000000001" hidden="1" customHeight="1" x14ac:dyDescent="0.2">
      <c r="A65" s="265" t="s">
        <v>214</v>
      </c>
      <c r="B65" s="272" t="s">
        <v>435</v>
      </c>
      <c r="C65" s="276" t="s">
        <v>337</v>
      </c>
      <c r="D65" s="304"/>
      <c r="E65" s="304"/>
      <c r="F65" s="304"/>
      <c r="G65" s="304"/>
      <c r="H65" s="304"/>
      <c r="I65" s="304"/>
      <c r="J65" s="305" t="s">
        <v>853</v>
      </c>
      <c r="K65" s="304"/>
      <c r="L65" s="305" t="s">
        <v>853</v>
      </c>
      <c r="M65" s="304"/>
      <c r="N65" s="288" t="str">
        <f t="shared" si="8"/>
        <v>n.é.</v>
      </c>
    </row>
    <row r="66" spans="1:14" ht="20.100000000000001" hidden="1" customHeight="1" x14ac:dyDescent="0.2">
      <c r="A66" s="265" t="s">
        <v>215</v>
      </c>
      <c r="B66" s="272" t="s">
        <v>679</v>
      </c>
      <c r="C66" s="276" t="s">
        <v>338</v>
      </c>
      <c r="D66" s="304"/>
      <c r="E66" s="304"/>
      <c r="F66" s="304"/>
      <c r="G66" s="304"/>
      <c r="H66" s="304"/>
      <c r="I66" s="304"/>
      <c r="J66" s="305" t="s">
        <v>853</v>
      </c>
      <c r="K66" s="304"/>
      <c r="L66" s="305" t="s">
        <v>853</v>
      </c>
      <c r="M66" s="304"/>
      <c r="N66" s="288" t="str">
        <f t="shared" si="8"/>
        <v>n.é.</v>
      </c>
    </row>
    <row r="67" spans="1:14" ht="20.100000000000001" hidden="1" customHeight="1" x14ac:dyDescent="0.2">
      <c r="A67" s="265" t="s">
        <v>216</v>
      </c>
      <c r="B67" s="272" t="s">
        <v>680</v>
      </c>
      <c r="C67" s="276" t="s">
        <v>340</v>
      </c>
      <c r="D67" s="304"/>
      <c r="E67" s="304"/>
      <c r="F67" s="304"/>
      <c r="G67" s="304"/>
      <c r="H67" s="304"/>
      <c r="I67" s="304"/>
      <c r="J67" s="305" t="s">
        <v>853</v>
      </c>
      <c r="K67" s="304"/>
      <c r="L67" s="305" t="s">
        <v>853</v>
      </c>
      <c r="M67" s="304"/>
      <c r="N67" s="288" t="str">
        <f t="shared" si="8"/>
        <v>n.é.</v>
      </c>
    </row>
    <row r="68" spans="1:14" ht="20.100000000000001" hidden="1" customHeight="1" x14ac:dyDescent="0.2">
      <c r="A68" s="265" t="s">
        <v>217</v>
      </c>
      <c r="B68" s="272" t="s">
        <v>436</v>
      </c>
      <c r="C68" s="276" t="s">
        <v>677</v>
      </c>
      <c r="D68" s="304"/>
      <c r="E68" s="304"/>
      <c r="F68" s="304"/>
      <c r="G68" s="304"/>
      <c r="H68" s="304"/>
      <c r="I68" s="304"/>
      <c r="J68" s="305" t="s">
        <v>853</v>
      </c>
      <c r="K68" s="304"/>
      <c r="L68" s="305" t="s">
        <v>853</v>
      </c>
      <c r="M68" s="304"/>
      <c r="N68" s="288" t="str">
        <f t="shared" si="8"/>
        <v>n.é.</v>
      </c>
    </row>
    <row r="69" spans="1:14" ht="20.100000000000001" hidden="1" customHeight="1" x14ac:dyDescent="0.2">
      <c r="A69" s="265" t="s">
        <v>218</v>
      </c>
      <c r="B69" s="272" t="s">
        <v>339</v>
      </c>
      <c r="C69" s="276" t="s">
        <v>678</v>
      </c>
      <c r="D69" s="304"/>
      <c r="E69" s="304"/>
      <c r="F69" s="304"/>
      <c r="G69" s="304"/>
      <c r="H69" s="304"/>
      <c r="I69" s="304"/>
      <c r="J69" s="305" t="s">
        <v>853</v>
      </c>
      <c r="K69" s="304"/>
      <c r="L69" s="305" t="s">
        <v>853</v>
      </c>
      <c r="M69" s="304"/>
      <c r="N69" s="288" t="str">
        <f t="shared" si="8"/>
        <v>n.é.</v>
      </c>
    </row>
    <row r="70" spans="1:14" s="3" customFormat="1" ht="20.100000000000001" customHeight="1" x14ac:dyDescent="0.2">
      <c r="A70" s="306" t="s">
        <v>219</v>
      </c>
      <c r="B70" s="310" t="s">
        <v>682</v>
      </c>
      <c r="C70" s="317" t="s">
        <v>341</v>
      </c>
      <c r="D70" s="303">
        <f>E70+G70</f>
        <v>0</v>
      </c>
      <c r="E70" s="303">
        <f>SUM(E65:E69)</f>
        <v>0</v>
      </c>
      <c r="F70" s="303">
        <f>SUM(F65:F69)</f>
        <v>0</v>
      </c>
      <c r="G70" s="303">
        <f>SUM(G65:G69)</f>
        <v>0</v>
      </c>
      <c r="H70" s="303">
        <f>SUM(H65:H69)</f>
        <v>0</v>
      </c>
      <c r="I70" s="303">
        <f>SUM(I65:I69)</f>
        <v>0</v>
      </c>
      <c r="J70" s="302" t="s">
        <v>853</v>
      </c>
      <c r="K70" s="303">
        <f>SUM(K65:K69)</f>
        <v>0</v>
      </c>
      <c r="L70" s="302" t="s">
        <v>853</v>
      </c>
      <c r="M70" s="303">
        <f>SUM(M65:M69)</f>
        <v>0</v>
      </c>
      <c r="N70" s="286" t="str">
        <f t="shared" si="8"/>
        <v>n.é.</v>
      </c>
    </row>
    <row r="71" spans="1:14" s="3" customFormat="1" ht="20.100000000000001" customHeight="1" x14ac:dyDescent="0.2">
      <c r="A71" s="269" t="s">
        <v>220</v>
      </c>
      <c r="B71" s="277" t="s">
        <v>683</v>
      </c>
      <c r="C71" s="278" t="s">
        <v>342</v>
      </c>
      <c r="D71" s="326">
        <f>E71+G71</f>
        <v>0</v>
      </c>
      <c r="E71" s="326">
        <f t="shared" ref="E71" si="10">SUM(E20+E26+E40+E52+E58+E64+E70)</f>
        <v>0</v>
      </c>
      <c r="F71" s="326">
        <f t="shared" ref="F71" si="11">SUM(F20+F26+F40+F52+F58+F64+F70)</f>
        <v>0</v>
      </c>
      <c r="G71" s="326">
        <f t="shared" ref="G71" si="12">SUM(G20+G26+G40+G52+G58+G64+G70)</f>
        <v>0</v>
      </c>
      <c r="H71" s="326">
        <f t="shared" ref="H71" si="13">H20+H26+H40+H52+H58+H64+H70</f>
        <v>8569196</v>
      </c>
      <c r="I71" s="326">
        <f t="shared" ref="I71" si="14">I20+I26+I40+I52+I58+I64+I70</f>
        <v>41011</v>
      </c>
      <c r="J71" s="332" t="s">
        <v>853</v>
      </c>
      <c r="K71" s="326">
        <f t="shared" ref="K71" si="15">K20+K26+K40+K52+K58+K64+K70</f>
        <v>0</v>
      </c>
      <c r="L71" s="332" t="s">
        <v>853</v>
      </c>
      <c r="M71" s="326">
        <f t="shared" ref="M71" si="16">M20+M26+M40+M52+M58+M64+M70</f>
        <v>8118064</v>
      </c>
      <c r="N71" s="322">
        <f t="shared" si="8"/>
        <v>0.94735422086272736</v>
      </c>
    </row>
    <row r="72" spans="1:14" ht="20.100000000000001" hidden="1" customHeight="1" x14ac:dyDescent="0.2">
      <c r="A72" s="265" t="s">
        <v>221</v>
      </c>
      <c r="B72" s="266" t="s">
        <v>684</v>
      </c>
      <c r="C72" s="267" t="s">
        <v>343</v>
      </c>
      <c r="D72" s="304"/>
      <c r="E72" s="304"/>
      <c r="F72" s="304"/>
      <c r="G72" s="304"/>
      <c r="H72" s="304"/>
      <c r="I72" s="304"/>
      <c r="J72" s="305" t="s">
        <v>853</v>
      </c>
      <c r="K72" s="304"/>
      <c r="L72" s="305" t="s">
        <v>853</v>
      </c>
      <c r="M72" s="304"/>
      <c r="N72" s="288" t="str">
        <f t="shared" ref="N72:N103" si="17">IF(H72&gt;0,M72/H72,"n.é.")</f>
        <v>n.é.</v>
      </c>
    </row>
    <row r="73" spans="1:14" ht="20.100000000000001" hidden="1" customHeight="1" x14ac:dyDescent="0.2">
      <c r="A73" s="265" t="s">
        <v>222</v>
      </c>
      <c r="B73" s="272" t="s">
        <v>344</v>
      </c>
      <c r="C73" s="267" t="s">
        <v>345</v>
      </c>
      <c r="D73" s="304"/>
      <c r="E73" s="304"/>
      <c r="F73" s="304"/>
      <c r="G73" s="304"/>
      <c r="H73" s="304"/>
      <c r="I73" s="304"/>
      <c r="J73" s="305" t="s">
        <v>853</v>
      </c>
      <c r="K73" s="304"/>
      <c r="L73" s="305" t="s">
        <v>853</v>
      </c>
      <c r="M73" s="304"/>
      <c r="N73" s="288" t="str">
        <f t="shared" si="17"/>
        <v>n.é.</v>
      </c>
    </row>
    <row r="74" spans="1:14" ht="20.100000000000001" hidden="1" customHeight="1" x14ac:dyDescent="0.2">
      <c r="A74" s="265" t="s">
        <v>223</v>
      </c>
      <c r="B74" s="266" t="s">
        <v>685</v>
      </c>
      <c r="C74" s="267" t="s">
        <v>346</v>
      </c>
      <c r="D74" s="304"/>
      <c r="E74" s="304"/>
      <c r="F74" s="304"/>
      <c r="G74" s="304"/>
      <c r="H74" s="304"/>
      <c r="I74" s="304"/>
      <c r="J74" s="305" t="s">
        <v>853</v>
      </c>
      <c r="K74" s="304"/>
      <c r="L74" s="305" t="s">
        <v>853</v>
      </c>
      <c r="M74" s="304"/>
      <c r="N74" s="288" t="str">
        <f t="shared" si="17"/>
        <v>n.é.</v>
      </c>
    </row>
    <row r="75" spans="1:14" s="3" customFormat="1" ht="20.100000000000001" hidden="1" customHeight="1" x14ac:dyDescent="0.2">
      <c r="A75" s="306" t="s">
        <v>224</v>
      </c>
      <c r="B75" s="310" t="s">
        <v>688</v>
      </c>
      <c r="C75" s="291" t="s">
        <v>347</v>
      </c>
      <c r="D75" s="303"/>
      <c r="E75" s="303"/>
      <c r="F75" s="303"/>
      <c r="G75" s="303"/>
      <c r="H75" s="303">
        <f>SUM(H72:H74)</f>
        <v>0</v>
      </c>
      <c r="I75" s="303">
        <f>SUM(I72:I74)</f>
        <v>0</v>
      </c>
      <c r="J75" s="302" t="s">
        <v>853</v>
      </c>
      <c r="K75" s="303">
        <f>SUM(K72:K74)</f>
        <v>0</v>
      </c>
      <c r="L75" s="302" t="s">
        <v>853</v>
      </c>
      <c r="M75" s="303">
        <f>SUM(M72:M74)</f>
        <v>0</v>
      </c>
      <c r="N75" s="286" t="str">
        <f t="shared" si="17"/>
        <v>n.é.</v>
      </c>
    </row>
    <row r="76" spans="1:14" ht="20.100000000000001" hidden="1" customHeight="1" x14ac:dyDescent="0.2">
      <c r="A76" s="265" t="s">
        <v>225</v>
      </c>
      <c r="B76" s="272" t="s">
        <v>348</v>
      </c>
      <c r="C76" s="267" t="s">
        <v>349</v>
      </c>
      <c r="D76" s="304"/>
      <c r="E76" s="304"/>
      <c r="F76" s="304"/>
      <c r="G76" s="304"/>
      <c r="H76" s="304"/>
      <c r="I76" s="304"/>
      <c r="J76" s="305" t="s">
        <v>853</v>
      </c>
      <c r="K76" s="304"/>
      <c r="L76" s="305" t="s">
        <v>853</v>
      </c>
      <c r="M76" s="304"/>
      <c r="N76" s="288" t="str">
        <f t="shared" si="17"/>
        <v>n.é.</v>
      </c>
    </row>
    <row r="77" spans="1:14" ht="20.100000000000001" hidden="1" customHeight="1" x14ac:dyDescent="0.2">
      <c r="A77" s="265" t="s">
        <v>226</v>
      </c>
      <c r="B77" s="266" t="s">
        <v>686</v>
      </c>
      <c r="C77" s="267" t="s">
        <v>350</v>
      </c>
      <c r="D77" s="304"/>
      <c r="E77" s="304"/>
      <c r="F77" s="304"/>
      <c r="G77" s="304"/>
      <c r="H77" s="304"/>
      <c r="I77" s="304"/>
      <c r="J77" s="305" t="s">
        <v>853</v>
      </c>
      <c r="K77" s="304"/>
      <c r="L77" s="305" t="s">
        <v>853</v>
      </c>
      <c r="M77" s="304"/>
      <c r="N77" s="288" t="str">
        <f t="shared" si="17"/>
        <v>n.é.</v>
      </c>
    </row>
    <row r="78" spans="1:14" ht="20.100000000000001" hidden="1" customHeight="1" x14ac:dyDescent="0.2">
      <c r="A78" s="265" t="s">
        <v>227</v>
      </c>
      <c r="B78" s="272" t="s">
        <v>351</v>
      </c>
      <c r="C78" s="267" t="s">
        <v>352</v>
      </c>
      <c r="D78" s="304"/>
      <c r="E78" s="304"/>
      <c r="F78" s="304"/>
      <c r="G78" s="304"/>
      <c r="H78" s="304"/>
      <c r="I78" s="304"/>
      <c r="J78" s="305" t="s">
        <v>853</v>
      </c>
      <c r="K78" s="304"/>
      <c r="L78" s="305" t="s">
        <v>853</v>
      </c>
      <c r="M78" s="304"/>
      <c r="N78" s="288" t="str">
        <f t="shared" si="17"/>
        <v>n.é.</v>
      </c>
    </row>
    <row r="79" spans="1:14" ht="20.100000000000001" hidden="1" customHeight="1" x14ac:dyDescent="0.2">
      <c r="A79" s="265" t="s">
        <v>228</v>
      </c>
      <c r="B79" s="266" t="s">
        <v>687</v>
      </c>
      <c r="C79" s="267" t="s">
        <v>353</v>
      </c>
      <c r="D79" s="304"/>
      <c r="E79" s="304"/>
      <c r="F79" s="304"/>
      <c r="G79" s="304"/>
      <c r="H79" s="304"/>
      <c r="I79" s="304"/>
      <c r="J79" s="305" t="s">
        <v>853</v>
      </c>
      <c r="K79" s="304"/>
      <c r="L79" s="305" t="s">
        <v>853</v>
      </c>
      <c r="M79" s="304"/>
      <c r="N79" s="288" t="str">
        <f t="shared" si="17"/>
        <v>n.é.</v>
      </c>
    </row>
    <row r="80" spans="1:14" s="3" customFormat="1" ht="20.100000000000001" customHeight="1" x14ac:dyDescent="0.2">
      <c r="A80" s="306" t="s">
        <v>229</v>
      </c>
      <c r="B80" s="290" t="s">
        <v>689</v>
      </c>
      <c r="C80" s="291" t="s">
        <v>354</v>
      </c>
      <c r="D80" s="303">
        <f>E80+G80</f>
        <v>0</v>
      </c>
      <c r="E80" s="303">
        <f>SUM(E76:E79)</f>
        <v>0</v>
      </c>
      <c r="F80" s="303">
        <f>SUM(F76:F79)</f>
        <v>0</v>
      </c>
      <c r="G80" s="303">
        <f>SUM(G76:G79)</f>
        <v>0</v>
      </c>
      <c r="H80" s="303">
        <f>SUM(H76:H79)</f>
        <v>0</v>
      </c>
      <c r="I80" s="303">
        <f>SUM(I76:I79)</f>
        <v>0</v>
      </c>
      <c r="J80" s="302" t="s">
        <v>853</v>
      </c>
      <c r="K80" s="303">
        <f>SUM(K76:K79)</f>
        <v>0</v>
      </c>
      <c r="L80" s="302" t="s">
        <v>853</v>
      </c>
      <c r="M80" s="303">
        <f>SUM(M76:M79)</f>
        <v>0</v>
      </c>
      <c r="N80" s="286" t="str">
        <f t="shared" si="17"/>
        <v>n.é.</v>
      </c>
    </row>
    <row r="81" spans="1:14" ht="21.75" customHeight="1" x14ac:dyDescent="0.2">
      <c r="A81" s="265" t="s">
        <v>230</v>
      </c>
      <c r="B81" s="272" t="s">
        <v>355</v>
      </c>
      <c r="C81" s="267" t="s">
        <v>356</v>
      </c>
      <c r="D81" s="304"/>
      <c r="E81" s="304"/>
      <c r="F81" s="304"/>
      <c r="G81" s="304"/>
      <c r="H81" s="304">
        <v>1614171</v>
      </c>
      <c r="I81" s="304"/>
      <c r="J81" s="305" t="s">
        <v>853</v>
      </c>
      <c r="K81" s="304"/>
      <c r="L81" s="305" t="s">
        <v>853</v>
      </c>
      <c r="M81" s="304">
        <v>1614171</v>
      </c>
      <c r="N81" s="288">
        <f t="shared" si="17"/>
        <v>1</v>
      </c>
    </row>
    <row r="82" spans="1:14" ht="26.25" hidden="1" customHeight="1" x14ac:dyDescent="0.2">
      <c r="A82" s="265" t="s">
        <v>231</v>
      </c>
      <c r="B82" s="272" t="s">
        <v>357</v>
      </c>
      <c r="C82" s="267" t="s">
        <v>358</v>
      </c>
      <c r="D82" s="304"/>
      <c r="E82" s="304"/>
      <c r="F82" s="304"/>
      <c r="G82" s="304"/>
      <c r="H82" s="304"/>
      <c r="I82" s="304"/>
      <c r="J82" s="305" t="s">
        <v>853</v>
      </c>
      <c r="K82" s="304"/>
      <c r="L82" s="305" t="s">
        <v>853</v>
      </c>
      <c r="M82" s="304"/>
      <c r="N82" s="288" t="str">
        <f t="shared" si="17"/>
        <v>n.é.</v>
      </c>
    </row>
    <row r="83" spans="1:14" s="3" customFormat="1" ht="20.100000000000001" customHeight="1" x14ac:dyDescent="0.2">
      <c r="A83" s="306" t="s">
        <v>232</v>
      </c>
      <c r="B83" s="310" t="s">
        <v>691</v>
      </c>
      <c r="C83" s="291" t="s">
        <v>359</v>
      </c>
      <c r="D83" s="197">
        <f>E83+G83</f>
        <v>0</v>
      </c>
      <c r="E83" s="197">
        <f>SUM(E81:E82)</f>
        <v>0</v>
      </c>
      <c r="F83" s="197">
        <f>SUM(F81:F82)</f>
        <v>0</v>
      </c>
      <c r="G83" s="197">
        <f>SUM(G81:G82)</f>
        <v>0</v>
      </c>
      <c r="H83" s="197">
        <f>SUM(H81:H82)</f>
        <v>1614171</v>
      </c>
      <c r="I83" s="197">
        <f>SUM(I81:I82)</f>
        <v>0</v>
      </c>
      <c r="J83" s="206" t="s">
        <v>853</v>
      </c>
      <c r="K83" s="197">
        <f>SUM(K81:K82)</f>
        <v>0</v>
      </c>
      <c r="L83" s="206" t="s">
        <v>853</v>
      </c>
      <c r="M83" s="197">
        <f>SUM(M81:M82)</f>
        <v>1614171</v>
      </c>
      <c r="N83" s="286">
        <f t="shared" si="17"/>
        <v>1</v>
      </c>
    </row>
    <row r="84" spans="1:14" ht="20.100000000000001" hidden="1" customHeight="1" x14ac:dyDescent="0.2">
      <c r="A84" s="265" t="s">
        <v>233</v>
      </c>
      <c r="B84" s="266" t="s">
        <v>360</v>
      </c>
      <c r="C84" s="267" t="s">
        <v>361</v>
      </c>
      <c r="D84" s="304"/>
      <c r="E84" s="304"/>
      <c r="F84" s="304"/>
      <c r="G84" s="304"/>
      <c r="H84" s="304"/>
      <c r="I84" s="304"/>
      <c r="J84" s="305" t="s">
        <v>853</v>
      </c>
      <c r="K84" s="304"/>
      <c r="L84" s="305" t="s">
        <v>853</v>
      </c>
      <c r="M84" s="304"/>
      <c r="N84" s="288" t="str">
        <f t="shared" si="17"/>
        <v>n.é.</v>
      </c>
    </row>
    <row r="85" spans="1:14" ht="20.100000000000001" hidden="1" customHeight="1" x14ac:dyDescent="0.2">
      <c r="A85" s="265" t="s">
        <v>234</v>
      </c>
      <c r="B85" s="266" t="s">
        <v>362</v>
      </c>
      <c r="C85" s="267" t="s">
        <v>363</v>
      </c>
      <c r="D85" s="304"/>
      <c r="E85" s="304"/>
      <c r="F85" s="304"/>
      <c r="G85" s="304"/>
      <c r="H85" s="304"/>
      <c r="I85" s="304"/>
      <c r="J85" s="305" t="s">
        <v>853</v>
      </c>
      <c r="K85" s="304"/>
      <c r="L85" s="305" t="s">
        <v>853</v>
      </c>
      <c r="M85" s="304"/>
      <c r="N85" s="288" t="str">
        <f t="shared" si="17"/>
        <v>n.é.</v>
      </c>
    </row>
    <row r="86" spans="1:14" ht="20.100000000000001" customHeight="1" x14ac:dyDescent="0.2">
      <c r="A86" s="265" t="s">
        <v>235</v>
      </c>
      <c r="B86" s="266" t="s">
        <v>364</v>
      </c>
      <c r="C86" s="267" t="s">
        <v>365</v>
      </c>
      <c r="D86" s="304">
        <f>E86+F86+G86</f>
        <v>105397741</v>
      </c>
      <c r="E86" s="304">
        <v>53209299</v>
      </c>
      <c r="F86" s="304">
        <v>20271811</v>
      </c>
      <c r="G86" s="304">
        <v>31916631</v>
      </c>
      <c r="H86" s="304">
        <v>105549478</v>
      </c>
      <c r="I86" s="304"/>
      <c r="J86" s="305" t="s">
        <v>853</v>
      </c>
      <c r="K86" s="304"/>
      <c r="L86" s="305" t="s">
        <v>853</v>
      </c>
      <c r="M86" s="304">
        <v>73100870</v>
      </c>
      <c r="N86" s="288">
        <f t="shared" si="17"/>
        <v>0.69257443414357767</v>
      </c>
    </row>
    <row r="87" spans="1:14" ht="20.100000000000001" hidden="1" customHeight="1" x14ac:dyDescent="0.2">
      <c r="A87" s="265" t="s">
        <v>236</v>
      </c>
      <c r="B87" s="266" t="s">
        <v>690</v>
      </c>
      <c r="C87" s="267" t="s">
        <v>366</v>
      </c>
      <c r="D87" s="304"/>
      <c r="E87" s="304"/>
      <c r="F87" s="304"/>
      <c r="G87" s="304"/>
      <c r="H87" s="304"/>
      <c r="I87" s="304"/>
      <c r="J87" s="305" t="s">
        <v>853</v>
      </c>
      <c r="K87" s="304"/>
      <c r="L87" s="305" t="s">
        <v>853</v>
      </c>
      <c r="M87" s="304"/>
      <c r="N87" s="288" t="str">
        <f t="shared" si="17"/>
        <v>n.é.</v>
      </c>
    </row>
    <row r="88" spans="1:14" ht="20.100000000000001" hidden="1" customHeight="1" x14ac:dyDescent="0.2">
      <c r="A88" s="265" t="s">
        <v>237</v>
      </c>
      <c r="B88" s="272" t="s">
        <v>367</v>
      </c>
      <c r="C88" s="267" t="s">
        <v>368</v>
      </c>
      <c r="D88" s="304"/>
      <c r="E88" s="304"/>
      <c r="F88" s="304"/>
      <c r="G88" s="304"/>
      <c r="H88" s="304"/>
      <c r="I88" s="304"/>
      <c r="J88" s="305" t="s">
        <v>853</v>
      </c>
      <c r="K88" s="304"/>
      <c r="L88" s="305" t="s">
        <v>853</v>
      </c>
      <c r="M88" s="304"/>
      <c r="N88" s="288" t="str">
        <f t="shared" si="17"/>
        <v>n.é.</v>
      </c>
    </row>
    <row r="89" spans="1:14" ht="20.100000000000001" hidden="1" customHeight="1" x14ac:dyDescent="0.2">
      <c r="A89" s="265" t="s">
        <v>238</v>
      </c>
      <c r="B89" s="272" t="s">
        <v>695</v>
      </c>
      <c r="C89" s="267" t="s">
        <v>693</v>
      </c>
      <c r="D89" s="304"/>
      <c r="E89" s="304"/>
      <c r="F89" s="304"/>
      <c r="G89" s="304"/>
      <c r="H89" s="304"/>
      <c r="I89" s="304"/>
      <c r="J89" s="305" t="s">
        <v>853</v>
      </c>
      <c r="K89" s="304"/>
      <c r="L89" s="305" t="s">
        <v>853</v>
      </c>
      <c r="M89" s="304"/>
      <c r="N89" s="288" t="str">
        <f t="shared" si="17"/>
        <v>n.é.</v>
      </c>
    </row>
    <row r="90" spans="1:14" ht="20.100000000000001" hidden="1" customHeight="1" x14ac:dyDescent="0.2">
      <c r="A90" s="265" t="s">
        <v>239</v>
      </c>
      <c r="B90" s="272" t="s">
        <v>696</v>
      </c>
      <c r="C90" s="267" t="s">
        <v>694</v>
      </c>
      <c r="D90" s="304"/>
      <c r="E90" s="304"/>
      <c r="F90" s="304"/>
      <c r="G90" s="304"/>
      <c r="H90" s="304"/>
      <c r="I90" s="304"/>
      <c r="J90" s="305" t="s">
        <v>853</v>
      </c>
      <c r="K90" s="304"/>
      <c r="L90" s="305" t="s">
        <v>853</v>
      </c>
      <c r="M90" s="304"/>
      <c r="N90" s="288" t="str">
        <f t="shared" si="17"/>
        <v>n.é.</v>
      </c>
    </row>
    <row r="91" spans="1:14" s="3" customFormat="1" ht="20.100000000000001" customHeight="1" x14ac:dyDescent="0.2">
      <c r="A91" s="306" t="s">
        <v>240</v>
      </c>
      <c r="B91" s="310" t="s">
        <v>698</v>
      </c>
      <c r="C91" s="291" t="s">
        <v>692</v>
      </c>
      <c r="D91" s="334">
        <f>E91+G91</f>
        <v>0</v>
      </c>
      <c r="E91" s="334">
        <f>SUM(E89:E90)</f>
        <v>0</v>
      </c>
      <c r="F91" s="334">
        <f>SUM(F89:F90)</f>
        <v>0</v>
      </c>
      <c r="G91" s="334">
        <f>SUM(G89:G90)</f>
        <v>0</v>
      </c>
      <c r="H91" s="334">
        <f>SUM(H89:H90)</f>
        <v>0</v>
      </c>
      <c r="I91" s="334">
        <f>SUM(I89:I90)</f>
        <v>0</v>
      </c>
      <c r="J91" s="333" t="s">
        <v>853</v>
      </c>
      <c r="K91" s="334">
        <f>SUM(K89:K90)</f>
        <v>0</v>
      </c>
      <c r="L91" s="333" t="s">
        <v>853</v>
      </c>
      <c r="M91" s="334">
        <f>SUM(M89:M90)</f>
        <v>0</v>
      </c>
      <c r="N91" s="286" t="str">
        <f t="shared" si="17"/>
        <v>n.é.</v>
      </c>
    </row>
    <row r="92" spans="1:14" s="3" customFormat="1" ht="20.100000000000001" customHeight="1" x14ac:dyDescent="0.2">
      <c r="A92" s="306" t="s">
        <v>500</v>
      </c>
      <c r="B92" s="310" t="s">
        <v>697</v>
      </c>
      <c r="C92" s="291" t="s">
        <v>369</v>
      </c>
      <c r="D92" s="303">
        <f>E92+F92+G92</f>
        <v>105397741</v>
      </c>
      <c r="E92" s="303">
        <f t="shared" ref="E92" si="18">E75+E80+E83+E84+E85+E86+E87+E88+E91</f>
        <v>53209299</v>
      </c>
      <c r="F92" s="303">
        <f t="shared" ref="F92" si="19">F75+F80+F83+F84+F85+F86+F87+F88+F91</f>
        <v>20271811</v>
      </c>
      <c r="G92" s="303">
        <f t="shared" ref="G92" si="20">G75+G80+G83+G84+G85+G86+G87+G88+G91</f>
        <v>31916631</v>
      </c>
      <c r="H92" s="303">
        <f>H75+H80+SUM(H83:H88)+H91</f>
        <v>107163649</v>
      </c>
      <c r="I92" s="303">
        <f>I75+I80+SUM(I83:I88)+I91</f>
        <v>0</v>
      </c>
      <c r="J92" s="302" t="s">
        <v>853</v>
      </c>
      <c r="K92" s="303">
        <f>K75+K80+SUM(K83:K88)+K91</f>
        <v>0</v>
      </c>
      <c r="L92" s="302" t="s">
        <v>853</v>
      </c>
      <c r="M92" s="303">
        <f>M75+M80+SUM(M83:M88)+M91</f>
        <v>74715041</v>
      </c>
      <c r="N92" s="286">
        <f t="shared" si="17"/>
        <v>0.6972050849071032</v>
      </c>
    </row>
    <row r="93" spans="1:14" ht="20.100000000000001" hidden="1" customHeight="1" x14ac:dyDescent="0.2">
      <c r="A93" s="265" t="s">
        <v>501</v>
      </c>
      <c r="B93" s="272" t="s">
        <v>841</v>
      </c>
      <c r="C93" s="267" t="s">
        <v>371</v>
      </c>
      <c r="D93" s="304"/>
      <c r="E93" s="304"/>
      <c r="F93" s="304"/>
      <c r="G93" s="304"/>
      <c r="H93" s="304"/>
      <c r="I93" s="304"/>
      <c r="J93" s="305" t="s">
        <v>853</v>
      </c>
      <c r="K93" s="304"/>
      <c r="L93" s="305" t="s">
        <v>853</v>
      </c>
      <c r="M93" s="304"/>
      <c r="N93" s="288" t="str">
        <f t="shared" si="17"/>
        <v>n.é.</v>
      </c>
    </row>
    <row r="94" spans="1:14" ht="20.100000000000001" hidden="1" customHeight="1" x14ac:dyDescent="0.2">
      <c r="A94" s="265" t="s">
        <v>502</v>
      </c>
      <c r="B94" s="272" t="s">
        <v>372</v>
      </c>
      <c r="C94" s="267" t="s">
        <v>373</v>
      </c>
      <c r="D94" s="304"/>
      <c r="E94" s="304"/>
      <c r="F94" s="304"/>
      <c r="G94" s="304"/>
      <c r="H94" s="304"/>
      <c r="I94" s="304"/>
      <c r="J94" s="305" t="s">
        <v>853</v>
      </c>
      <c r="K94" s="304"/>
      <c r="L94" s="305" t="s">
        <v>853</v>
      </c>
      <c r="M94" s="304"/>
      <c r="N94" s="288" t="str">
        <f t="shared" si="17"/>
        <v>n.é.</v>
      </c>
    </row>
    <row r="95" spans="1:14" ht="20.100000000000001" hidden="1" customHeight="1" x14ac:dyDescent="0.2">
      <c r="A95" s="265" t="s">
        <v>503</v>
      </c>
      <c r="B95" s="266" t="s">
        <v>374</v>
      </c>
      <c r="C95" s="267" t="s">
        <v>375</v>
      </c>
      <c r="D95" s="304"/>
      <c r="E95" s="304"/>
      <c r="F95" s="304"/>
      <c r="G95" s="304"/>
      <c r="H95" s="304"/>
      <c r="I95" s="304"/>
      <c r="J95" s="305" t="s">
        <v>853</v>
      </c>
      <c r="K95" s="304"/>
      <c r="L95" s="305" t="s">
        <v>853</v>
      </c>
      <c r="M95" s="304"/>
      <c r="N95" s="288" t="str">
        <f t="shared" si="17"/>
        <v>n.é.</v>
      </c>
    </row>
    <row r="96" spans="1:14" ht="20.100000000000001" hidden="1" customHeight="1" x14ac:dyDescent="0.2">
      <c r="A96" s="265" t="s">
        <v>504</v>
      </c>
      <c r="B96" s="266" t="s">
        <v>701</v>
      </c>
      <c r="C96" s="267" t="s">
        <v>376</v>
      </c>
      <c r="D96" s="304"/>
      <c r="E96" s="304"/>
      <c r="F96" s="304"/>
      <c r="G96" s="304"/>
      <c r="H96" s="304"/>
      <c r="I96" s="304"/>
      <c r="J96" s="305" t="s">
        <v>853</v>
      </c>
      <c r="K96" s="304"/>
      <c r="L96" s="305" t="s">
        <v>853</v>
      </c>
      <c r="M96" s="304"/>
      <c r="N96" s="288" t="str">
        <f t="shared" si="17"/>
        <v>n.é.</v>
      </c>
    </row>
    <row r="97" spans="1:14" ht="20.100000000000001" hidden="1" customHeight="1" x14ac:dyDescent="0.2">
      <c r="A97" s="265" t="s">
        <v>505</v>
      </c>
      <c r="B97" s="266" t="s">
        <v>700</v>
      </c>
      <c r="C97" s="267" t="s">
        <v>702</v>
      </c>
      <c r="D97" s="304"/>
      <c r="E97" s="304"/>
      <c r="F97" s="304"/>
      <c r="G97" s="304"/>
      <c r="H97" s="304"/>
      <c r="I97" s="304"/>
      <c r="J97" s="305" t="s">
        <v>853</v>
      </c>
      <c r="K97" s="304"/>
      <c r="L97" s="305" t="s">
        <v>853</v>
      </c>
      <c r="M97" s="304"/>
      <c r="N97" s="288" t="str">
        <f t="shared" si="17"/>
        <v>n.é.</v>
      </c>
    </row>
    <row r="98" spans="1:14" s="3" customFormat="1" ht="20.100000000000001" customHeight="1" x14ac:dyDescent="0.2">
      <c r="A98" s="306" t="s">
        <v>506</v>
      </c>
      <c r="B98" s="290" t="s">
        <v>699</v>
      </c>
      <c r="C98" s="291" t="s">
        <v>377</v>
      </c>
      <c r="D98" s="303">
        <f>E98+G98</f>
        <v>0</v>
      </c>
      <c r="E98" s="303">
        <f>SUM(E93:E97)</f>
        <v>0</v>
      </c>
      <c r="F98" s="303">
        <f>SUM(F93:F97)</f>
        <v>0</v>
      </c>
      <c r="G98" s="303">
        <f>SUM(G93:G97)</f>
        <v>0</v>
      </c>
      <c r="H98" s="303">
        <f>SUM(H93:H97)</f>
        <v>0</v>
      </c>
      <c r="I98" s="303">
        <f>SUM(I93:I97)</f>
        <v>0</v>
      </c>
      <c r="J98" s="302" t="s">
        <v>853</v>
      </c>
      <c r="K98" s="303">
        <f>SUM(K93:K97)</f>
        <v>0</v>
      </c>
      <c r="L98" s="302" t="s">
        <v>853</v>
      </c>
      <c r="M98" s="303">
        <f>SUM(M93:M97)</f>
        <v>0</v>
      </c>
      <c r="N98" s="286" t="str">
        <f t="shared" si="17"/>
        <v>n.é.</v>
      </c>
    </row>
    <row r="99" spans="1:14" s="3" customFormat="1" ht="20.100000000000001" hidden="1" customHeight="1" x14ac:dyDescent="0.2">
      <c r="A99" s="265" t="s">
        <v>507</v>
      </c>
      <c r="B99" s="272" t="s">
        <v>378</v>
      </c>
      <c r="C99" s="267" t="s">
        <v>379</v>
      </c>
      <c r="D99" s="304"/>
      <c r="E99" s="304"/>
      <c r="F99" s="304"/>
      <c r="G99" s="304"/>
      <c r="H99" s="304"/>
      <c r="I99" s="304"/>
      <c r="J99" s="305" t="s">
        <v>853</v>
      </c>
      <c r="K99" s="304"/>
      <c r="L99" s="305" t="s">
        <v>853</v>
      </c>
      <c r="M99" s="304"/>
      <c r="N99" s="288" t="str">
        <f t="shared" si="17"/>
        <v>n.é.</v>
      </c>
    </row>
    <row r="100" spans="1:14" ht="20.100000000000001" hidden="1" customHeight="1" x14ac:dyDescent="0.2">
      <c r="A100" s="265" t="s">
        <v>508</v>
      </c>
      <c r="B100" s="272" t="s">
        <v>706</v>
      </c>
      <c r="C100" s="267" t="s">
        <v>704</v>
      </c>
      <c r="D100" s="304"/>
      <c r="E100" s="304"/>
      <c r="F100" s="304"/>
      <c r="G100" s="304"/>
      <c r="H100" s="304"/>
      <c r="I100" s="304"/>
      <c r="J100" s="305" t="s">
        <v>853</v>
      </c>
      <c r="K100" s="304"/>
      <c r="L100" s="305" t="s">
        <v>853</v>
      </c>
      <c r="M100" s="304"/>
      <c r="N100" s="288" t="str">
        <f t="shared" si="17"/>
        <v>n.é.</v>
      </c>
    </row>
    <row r="101" spans="1:14" s="3" customFormat="1" ht="20.100000000000001" customHeight="1" x14ac:dyDescent="0.2">
      <c r="A101" s="269" t="s">
        <v>509</v>
      </c>
      <c r="B101" s="324" t="s">
        <v>705</v>
      </c>
      <c r="C101" s="325" t="s">
        <v>380</v>
      </c>
      <c r="D101" s="326">
        <f>E101+F101+G101</f>
        <v>105397741</v>
      </c>
      <c r="E101" s="326">
        <f t="shared" ref="E101" si="21">E92+E98+E99+E100</f>
        <v>53209299</v>
      </c>
      <c r="F101" s="326">
        <f t="shared" ref="F101" si="22">F92+F98+F99+F100</f>
        <v>20271811</v>
      </c>
      <c r="G101" s="326">
        <f t="shared" ref="G101" si="23">G92+G98+G99+G100</f>
        <v>31916631</v>
      </c>
      <c r="H101" s="326">
        <f t="shared" ref="H101" si="24">H92+H98+H100+H99</f>
        <v>107163649</v>
      </c>
      <c r="I101" s="326">
        <f t="shared" ref="I101" si="25">I92+I98+I100+I99</f>
        <v>0</v>
      </c>
      <c r="J101" s="332" t="s">
        <v>853</v>
      </c>
      <c r="K101" s="326">
        <f t="shared" ref="K101" si="26">K92+K98+K100+K99</f>
        <v>0</v>
      </c>
      <c r="L101" s="332" t="s">
        <v>853</v>
      </c>
      <c r="M101" s="326">
        <f t="shared" ref="M101" si="27">M92+M98+M100+M99</f>
        <v>74715041</v>
      </c>
      <c r="N101" s="322">
        <f t="shared" si="17"/>
        <v>0.6972050849071032</v>
      </c>
    </row>
    <row r="102" spans="1:14" s="3" customFormat="1" ht="20.100000000000001" customHeight="1" x14ac:dyDescent="0.2">
      <c r="A102" s="261" t="s">
        <v>510</v>
      </c>
      <c r="B102" s="83" t="s">
        <v>703</v>
      </c>
      <c r="C102" s="5"/>
      <c r="D102" s="329">
        <f>E102+F102+G102</f>
        <v>105397741</v>
      </c>
      <c r="E102" s="329">
        <f t="shared" ref="E102" si="28">E71+E101</f>
        <v>53209299</v>
      </c>
      <c r="F102" s="329">
        <f t="shared" ref="F102" si="29">F71+F101</f>
        <v>20271811</v>
      </c>
      <c r="G102" s="329">
        <f t="shared" ref="G102" si="30">G71+G101</f>
        <v>31916631</v>
      </c>
      <c r="H102" s="329">
        <f t="shared" ref="H102" si="31">H71+H101</f>
        <v>115732845</v>
      </c>
      <c r="I102" s="329">
        <f t="shared" ref="I102" si="32">I71+I101</f>
        <v>41011</v>
      </c>
      <c r="J102" s="330" t="s">
        <v>853</v>
      </c>
      <c r="K102" s="329">
        <f t="shared" ref="K102" si="33">K71+K101</f>
        <v>0</v>
      </c>
      <c r="L102" s="330" t="s">
        <v>853</v>
      </c>
      <c r="M102" s="329">
        <f t="shared" ref="M102" si="34">M71+M101</f>
        <v>82833105</v>
      </c>
      <c r="N102" s="331">
        <f t="shared" si="17"/>
        <v>0.71572685351336518</v>
      </c>
    </row>
    <row r="103" spans="1:14" ht="19.5" customHeight="1" x14ac:dyDescent="0.2">
      <c r="A103" s="265" t="s">
        <v>511</v>
      </c>
      <c r="B103" s="316" t="s">
        <v>20</v>
      </c>
      <c r="C103" s="328" t="s">
        <v>51</v>
      </c>
      <c r="D103" s="304">
        <f>E103+F103+G103</f>
        <v>72188224</v>
      </c>
      <c r="E103" s="304">
        <v>34371028</v>
      </c>
      <c r="F103" s="304">
        <v>14058562</v>
      </c>
      <c r="G103" s="304">
        <v>23758634</v>
      </c>
      <c r="H103" s="298">
        <v>72986640</v>
      </c>
      <c r="I103" s="298"/>
      <c r="J103" s="298"/>
      <c r="K103" s="298"/>
      <c r="L103" s="298"/>
      <c r="M103" s="298">
        <v>58062374</v>
      </c>
      <c r="N103" s="299">
        <f t="shared" si="17"/>
        <v>0.79552057746458804</v>
      </c>
    </row>
    <row r="104" spans="1:14" ht="18.75" customHeight="1" x14ac:dyDescent="0.2">
      <c r="A104" s="265" t="s">
        <v>512</v>
      </c>
      <c r="B104" s="316" t="s">
        <v>47</v>
      </c>
      <c r="C104" s="268" t="s">
        <v>50</v>
      </c>
      <c r="D104" s="304"/>
      <c r="E104" s="304"/>
      <c r="F104" s="304"/>
      <c r="G104" s="304"/>
      <c r="H104" s="304">
        <v>1913800</v>
      </c>
      <c r="I104" s="304"/>
      <c r="J104" s="304"/>
      <c r="K104" s="304"/>
      <c r="L104" s="304"/>
      <c r="M104" s="304">
        <v>651458</v>
      </c>
      <c r="N104" s="299">
        <f t="shared" ref="N104:N135" si="35">IF(H104&gt;0,M104/H104,"n.é.")</f>
        <v>0.34040025080990699</v>
      </c>
    </row>
    <row r="105" spans="1:14" ht="20.100000000000001" customHeight="1" x14ac:dyDescent="0.2">
      <c r="A105" s="265" t="s">
        <v>513</v>
      </c>
      <c r="B105" s="316" t="s">
        <v>46</v>
      </c>
      <c r="C105" s="268" t="s">
        <v>49</v>
      </c>
      <c r="D105" s="304">
        <f>E105+F105+G105</f>
        <v>5246982</v>
      </c>
      <c r="E105" s="304">
        <v>4061144</v>
      </c>
      <c r="F105" s="304">
        <v>1185838</v>
      </c>
      <c r="G105" s="304"/>
      <c r="H105" s="304">
        <v>5246982</v>
      </c>
      <c r="I105" s="304"/>
      <c r="J105" s="304"/>
      <c r="K105" s="304"/>
      <c r="L105" s="304"/>
      <c r="M105" s="304">
        <v>1243144</v>
      </c>
      <c r="N105" s="299">
        <f t="shared" si="35"/>
        <v>0.23692553166753763</v>
      </c>
    </row>
    <row r="106" spans="1:14" ht="20.100000000000001" hidden="1" customHeight="1" x14ac:dyDescent="0.2">
      <c r="A106" s="265" t="s">
        <v>515</v>
      </c>
      <c r="B106" s="307" t="s">
        <v>19</v>
      </c>
      <c r="C106" s="268" t="s">
        <v>48</v>
      </c>
      <c r="D106" s="304"/>
      <c r="E106" s="304"/>
      <c r="F106" s="304"/>
      <c r="G106" s="304"/>
      <c r="H106" s="304">
        <v>0</v>
      </c>
      <c r="I106" s="304"/>
      <c r="J106" s="304"/>
      <c r="K106" s="304"/>
      <c r="L106" s="304"/>
      <c r="M106" s="304"/>
      <c r="N106" s="299" t="str">
        <f t="shared" si="35"/>
        <v>n.é.</v>
      </c>
    </row>
    <row r="107" spans="1:14" ht="20.100000000000001" hidden="1" customHeight="1" x14ac:dyDescent="0.2">
      <c r="A107" s="265" t="s">
        <v>516</v>
      </c>
      <c r="B107" s="307" t="s">
        <v>16</v>
      </c>
      <c r="C107" s="268" t="s">
        <v>45</v>
      </c>
      <c r="D107" s="304"/>
      <c r="E107" s="304"/>
      <c r="F107" s="304"/>
      <c r="G107" s="304"/>
      <c r="H107" s="304">
        <v>0</v>
      </c>
      <c r="I107" s="304"/>
      <c r="J107" s="304"/>
      <c r="K107" s="304"/>
      <c r="L107" s="304"/>
      <c r="M107" s="304"/>
      <c r="N107" s="299" t="str">
        <f t="shared" si="35"/>
        <v>n.é.</v>
      </c>
    </row>
    <row r="108" spans="1:14" ht="18.75" customHeight="1" x14ac:dyDescent="0.2">
      <c r="A108" s="265" t="s">
        <v>517</v>
      </c>
      <c r="B108" s="307" t="s">
        <v>17</v>
      </c>
      <c r="C108" s="268" t="s">
        <v>44</v>
      </c>
      <c r="D108" s="304"/>
      <c r="E108" s="304"/>
      <c r="F108" s="304"/>
      <c r="G108" s="304"/>
      <c r="H108" s="298">
        <v>1329200</v>
      </c>
      <c r="I108" s="298"/>
      <c r="J108" s="298"/>
      <c r="K108" s="298"/>
      <c r="L108" s="298"/>
      <c r="M108" s="298">
        <v>1329200</v>
      </c>
      <c r="N108" s="299">
        <f t="shared" si="35"/>
        <v>1</v>
      </c>
    </row>
    <row r="109" spans="1:14" ht="20.100000000000001" customHeight="1" x14ac:dyDescent="0.2">
      <c r="A109" s="265" t="s">
        <v>518</v>
      </c>
      <c r="B109" s="307" t="s">
        <v>21</v>
      </c>
      <c r="C109" s="268" t="s">
        <v>43</v>
      </c>
      <c r="D109" s="304">
        <f>E109+F109+G109</f>
        <v>2720000</v>
      </c>
      <c r="E109" s="304">
        <v>1913333</v>
      </c>
      <c r="F109" s="304">
        <v>806667</v>
      </c>
      <c r="G109" s="304"/>
      <c r="H109" s="298">
        <v>4010500</v>
      </c>
      <c r="I109" s="298"/>
      <c r="J109" s="298"/>
      <c r="K109" s="298"/>
      <c r="L109" s="298"/>
      <c r="M109" s="298">
        <v>4073995</v>
      </c>
      <c r="N109" s="299">
        <f t="shared" si="35"/>
        <v>1.0158321904999377</v>
      </c>
    </row>
    <row r="110" spans="1:14" ht="20.100000000000001" hidden="1" customHeight="1" x14ac:dyDescent="0.2">
      <c r="A110" s="265" t="s">
        <v>519</v>
      </c>
      <c r="B110" s="307" t="s">
        <v>41</v>
      </c>
      <c r="C110" s="268" t="s">
        <v>42</v>
      </c>
      <c r="D110" s="304"/>
      <c r="E110" s="304"/>
      <c r="F110" s="304"/>
      <c r="G110" s="304"/>
      <c r="H110" s="298">
        <v>0</v>
      </c>
      <c r="I110" s="298"/>
      <c r="J110" s="298"/>
      <c r="K110" s="298"/>
      <c r="L110" s="298"/>
      <c r="M110" s="298"/>
      <c r="N110" s="299" t="str">
        <f t="shared" si="35"/>
        <v>n.é.</v>
      </c>
    </row>
    <row r="111" spans="1:14" ht="19.5" customHeight="1" x14ac:dyDescent="0.2">
      <c r="A111" s="265" t="s">
        <v>520</v>
      </c>
      <c r="B111" s="272" t="s">
        <v>18</v>
      </c>
      <c r="C111" s="268" t="s">
        <v>40</v>
      </c>
      <c r="D111" s="304">
        <f>E111+F111+G111</f>
        <v>468600</v>
      </c>
      <c r="E111" s="304">
        <v>389750</v>
      </c>
      <c r="F111" s="304">
        <v>78850</v>
      </c>
      <c r="G111" s="304"/>
      <c r="H111" s="298">
        <v>624120</v>
      </c>
      <c r="I111" s="298"/>
      <c r="J111" s="298"/>
      <c r="K111" s="298"/>
      <c r="L111" s="298"/>
      <c r="M111" s="298">
        <v>595426</v>
      </c>
      <c r="N111" s="299">
        <f t="shared" si="35"/>
        <v>0.95402486701275391</v>
      </c>
    </row>
    <row r="112" spans="1:14" ht="21" customHeight="1" x14ac:dyDescent="0.2">
      <c r="A112" s="265" t="s">
        <v>521</v>
      </c>
      <c r="B112" s="272" t="s">
        <v>37</v>
      </c>
      <c r="C112" s="268" t="s">
        <v>39</v>
      </c>
      <c r="D112" s="304"/>
      <c r="E112" s="304"/>
      <c r="F112" s="304"/>
      <c r="G112" s="304"/>
      <c r="H112" s="298">
        <v>119000</v>
      </c>
      <c r="I112" s="298"/>
      <c r="J112" s="298"/>
      <c r="K112" s="298"/>
      <c r="L112" s="298"/>
      <c r="M112" s="298"/>
      <c r="N112" s="299">
        <f t="shared" si="35"/>
        <v>0</v>
      </c>
    </row>
    <row r="113" spans="1:14" ht="0.75" hidden="1" customHeight="1" x14ac:dyDescent="0.2">
      <c r="A113" s="265" t="s">
        <v>522</v>
      </c>
      <c r="B113" s="272" t="s">
        <v>36</v>
      </c>
      <c r="C113" s="268" t="s">
        <v>38</v>
      </c>
      <c r="D113" s="304"/>
      <c r="E113" s="304"/>
      <c r="F113" s="304"/>
      <c r="G113" s="304"/>
      <c r="H113" s="304">
        <v>0</v>
      </c>
      <c r="I113" s="304"/>
      <c r="J113" s="304"/>
      <c r="K113" s="304"/>
      <c r="L113" s="304"/>
      <c r="M113" s="304"/>
      <c r="N113" s="299" t="str">
        <f t="shared" si="35"/>
        <v>n.é.</v>
      </c>
    </row>
    <row r="114" spans="1:14" s="2" customFormat="1" ht="25.5" hidden="1" customHeight="1" x14ac:dyDescent="0.2">
      <c r="A114" s="265" t="s">
        <v>523</v>
      </c>
      <c r="B114" s="272" t="s">
        <v>35</v>
      </c>
      <c r="C114" s="268" t="s">
        <v>34</v>
      </c>
      <c r="D114" s="304"/>
      <c r="E114" s="304"/>
      <c r="F114" s="304"/>
      <c r="G114" s="304"/>
      <c r="H114" s="304">
        <v>0</v>
      </c>
      <c r="I114" s="304"/>
      <c r="J114" s="304"/>
      <c r="K114" s="304"/>
      <c r="L114" s="304"/>
      <c r="M114" s="304"/>
      <c r="N114" s="299" t="str">
        <f t="shared" si="35"/>
        <v>n.é.</v>
      </c>
    </row>
    <row r="115" spans="1:14" s="2" customFormat="1" ht="20.100000000000001" customHeight="1" x14ac:dyDescent="0.2">
      <c r="A115" s="265" t="s">
        <v>524</v>
      </c>
      <c r="B115" s="272" t="s">
        <v>25</v>
      </c>
      <c r="C115" s="268" t="s">
        <v>33</v>
      </c>
      <c r="D115" s="304">
        <f>E115+F115+G115</f>
        <v>230075</v>
      </c>
      <c r="E115" s="304">
        <v>230075</v>
      </c>
      <c r="F115" s="304">
        <v>0</v>
      </c>
      <c r="G115" s="304">
        <v>0</v>
      </c>
      <c r="H115" s="304">
        <v>231844</v>
      </c>
      <c r="I115" s="304"/>
      <c r="J115" s="304"/>
      <c r="K115" s="304"/>
      <c r="L115" s="304"/>
      <c r="M115" s="304">
        <v>428927</v>
      </c>
      <c r="N115" s="299">
        <f t="shared" si="35"/>
        <v>1.8500672866237642</v>
      </c>
    </row>
    <row r="116" spans="1:14" s="2" customFormat="1" ht="20.100000000000001" customHeight="1" x14ac:dyDescent="0.2">
      <c r="A116" s="306" t="s">
        <v>525</v>
      </c>
      <c r="B116" s="318" t="s">
        <v>842</v>
      </c>
      <c r="C116" s="314" t="s">
        <v>27</v>
      </c>
      <c r="D116" s="303">
        <f>E116+F116+G116</f>
        <v>80853881</v>
      </c>
      <c r="E116" s="303">
        <f t="shared" ref="E116:M116" si="36">SUM(E103:E115)</f>
        <v>40965330</v>
      </c>
      <c r="F116" s="303">
        <f t="shared" si="36"/>
        <v>16129917</v>
      </c>
      <c r="G116" s="303">
        <f t="shared" si="36"/>
        <v>23758634</v>
      </c>
      <c r="H116" s="303">
        <f t="shared" si="36"/>
        <v>86462086</v>
      </c>
      <c r="I116" s="303">
        <f t="shared" si="36"/>
        <v>0</v>
      </c>
      <c r="J116" s="303">
        <f t="shared" si="36"/>
        <v>0</v>
      </c>
      <c r="K116" s="303">
        <f t="shared" si="36"/>
        <v>0</v>
      </c>
      <c r="L116" s="303">
        <f t="shared" si="36"/>
        <v>0</v>
      </c>
      <c r="M116" s="303">
        <f t="shared" si="36"/>
        <v>66384524</v>
      </c>
      <c r="N116" s="286">
        <f t="shared" si="35"/>
        <v>0.76778767516666202</v>
      </c>
    </row>
    <row r="117" spans="1:14" ht="20.100000000000001" hidden="1" customHeight="1" x14ac:dyDescent="0.2">
      <c r="A117" s="265" t="s">
        <v>526</v>
      </c>
      <c r="B117" s="272" t="s">
        <v>22</v>
      </c>
      <c r="C117" s="268" t="s">
        <v>28</v>
      </c>
      <c r="D117" s="304"/>
      <c r="E117" s="304"/>
      <c r="F117" s="304"/>
      <c r="G117" s="304"/>
      <c r="H117" s="298"/>
      <c r="I117" s="298"/>
      <c r="J117" s="298"/>
      <c r="K117" s="298"/>
      <c r="L117" s="298"/>
      <c r="M117" s="298"/>
      <c r="N117" s="299" t="str">
        <f t="shared" si="35"/>
        <v>n.é.</v>
      </c>
    </row>
    <row r="118" spans="1:14" ht="25.5" customHeight="1" x14ac:dyDescent="0.2">
      <c r="A118" s="265" t="s">
        <v>527</v>
      </c>
      <c r="B118" s="272" t="s">
        <v>426</v>
      </c>
      <c r="C118" s="268" t="s">
        <v>29</v>
      </c>
      <c r="D118" s="304"/>
      <c r="E118" s="304"/>
      <c r="F118" s="304"/>
      <c r="G118" s="304"/>
      <c r="H118" s="298">
        <v>486000</v>
      </c>
      <c r="I118" s="298"/>
      <c r="J118" s="298"/>
      <c r="K118" s="298"/>
      <c r="L118" s="298"/>
      <c r="M118" s="298">
        <v>405000</v>
      </c>
      <c r="N118" s="299">
        <f t="shared" si="35"/>
        <v>0.83333333333333337</v>
      </c>
    </row>
    <row r="119" spans="1:14" ht="23.25" customHeight="1" x14ac:dyDescent="0.2">
      <c r="A119" s="265" t="s">
        <v>528</v>
      </c>
      <c r="B119" s="266" t="s">
        <v>23</v>
      </c>
      <c r="C119" s="268" t="s">
        <v>30</v>
      </c>
      <c r="D119" s="304"/>
      <c r="E119" s="304"/>
      <c r="F119" s="304"/>
      <c r="G119" s="304"/>
      <c r="H119" s="298">
        <v>80000</v>
      </c>
      <c r="I119" s="298"/>
      <c r="J119" s="298"/>
      <c r="K119" s="298"/>
      <c r="L119" s="298"/>
      <c r="M119" s="298">
        <v>73747</v>
      </c>
      <c r="N119" s="299">
        <f t="shared" si="35"/>
        <v>0.92183749999999998</v>
      </c>
    </row>
    <row r="120" spans="1:14" ht="20.100000000000001" customHeight="1" x14ac:dyDescent="0.2">
      <c r="A120" s="306" t="s">
        <v>529</v>
      </c>
      <c r="B120" s="310" t="s">
        <v>843</v>
      </c>
      <c r="C120" s="314" t="s">
        <v>31</v>
      </c>
      <c r="D120" s="303">
        <f>E120+F120+G120</f>
        <v>0</v>
      </c>
      <c r="E120" s="303">
        <f t="shared" ref="E120:M120" si="37">SUM(E117:E119)</f>
        <v>0</v>
      </c>
      <c r="F120" s="303">
        <f t="shared" si="37"/>
        <v>0</v>
      </c>
      <c r="G120" s="303">
        <f t="shared" si="37"/>
        <v>0</v>
      </c>
      <c r="H120" s="303">
        <f t="shared" si="37"/>
        <v>566000</v>
      </c>
      <c r="I120" s="303">
        <f t="shared" si="37"/>
        <v>0</v>
      </c>
      <c r="J120" s="303">
        <f t="shared" si="37"/>
        <v>0</v>
      </c>
      <c r="K120" s="303">
        <f t="shared" si="37"/>
        <v>0</v>
      </c>
      <c r="L120" s="303">
        <f t="shared" si="37"/>
        <v>0</v>
      </c>
      <c r="M120" s="303">
        <f t="shared" si="37"/>
        <v>478747</v>
      </c>
      <c r="N120" s="286">
        <f t="shared" si="35"/>
        <v>0.8458427561837456</v>
      </c>
    </row>
    <row r="121" spans="1:14" ht="20.100000000000001" customHeight="1" x14ac:dyDescent="0.2">
      <c r="A121" s="306" t="s">
        <v>530</v>
      </c>
      <c r="B121" s="318" t="s">
        <v>844</v>
      </c>
      <c r="C121" s="314" t="s">
        <v>32</v>
      </c>
      <c r="D121" s="303">
        <f>E121+F121+G121</f>
        <v>80853881</v>
      </c>
      <c r="E121" s="303">
        <f t="shared" ref="E121:G121" si="38">E116+E120</f>
        <v>40965330</v>
      </c>
      <c r="F121" s="303">
        <f t="shared" ref="F121" si="39">F116+F120</f>
        <v>16129917</v>
      </c>
      <c r="G121" s="303">
        <f t="shared" si="38"/>
        <v>23758634</v>
      </c>
      <c r="H121" s="303">
        <f t="shared" ref="H121" si="40">H116+H120</f>
        <v>87028086</v>
      </c>
      <c r="I121" s="303">
        <f t="shared" ref="I121" si="41">I116+I120</f>
        <v>0</v>
      </c>
      <c r="J121" s="303">
        <f t="shared" ref="J121" si="42">J116+J120</f>
        <v>0</v>
      </c>
      <c r="K121" s="303">
        <f t="shared" ref="K121" si="43">K116+K120</f>
        <v>0</v>
      </c>
      <c r="L121" s="303">
        <f t="shared" ref="L121" si="44">L116+L120</f>
        <v>0</v>
      </c>
      <c r="M121" s="303">
        <f t="shared" ref="M121" si="45">M116+M120</f>
        <v>66863271</v>
      </c>
      <c r="N121" s="286">
        <f t="shared" si="35"/>
        <v>0.76829531790461303</v>
      </c>
    </row>
    <row r="122" spans="1:14" s="3" customFormat="1" ht="20.100000000000001" customHeight="1" x14ac:dyDescent="0.2">
      <c r="A122" s="306" t="s">
        <v>531</v>
      </c>
      <c r="B122" s="310" t="s">
        <v>24</v>
      </c>
      <c r="C122" s="314" t="s">
        <v>52</v>
      </c>
      <c r="D122" s="334">
        <f>E122+F122+G122</f>
        <v>15409103</v>
      </c>
      <c r="E122" s="334">
        <v>7321169</v>
      </c>
      <c r="F122" s="334">
        <v>2929937</v>
      </c>
      <c r="G122" s="334">
        <v>5157997</v>
      </c>
      <c r="H122" s="292">
        <v>15035841</v>
      </c>
      <c r="I122" s="303">
        <v>0</v>
      </c>
      <c r="J122" s="303">
        <v>0</v>
      </c>
      <c r="K122" s="303">
        <v>0</v>
      </c>
      <c r="L122" s="303">
        <v>0</v>
      </c>
      <c r="M122" s="303">
        <v>11909325</v>
      </c>
      <c r="N122" s="286">
        <f t="shared" si="35"/>
        <v>0.79206244599154785</v>
      </c>
    </row>
    <row r="123" spans="1:14" ht="20.100000000000001" customHeight="1" x14ac:dyDescent="0.2">
      <c r="A123" s="265" t="s">
        <v>532</v>
      </c>
      <c r="B123" s="272" t="s">
        <v>63</v>
      </c>
      <c r="C123" s="268" t="s">
        <v>82</v>
      </c>
      <c r="D123" s="304">
        <f>E123+F123+G123</f>
        <v>50000</v>
      </c>
      <c r="E123" s="304">
        <v>50000</v>
      </c>
      <c r="F123" s="304"/>
      <c r="G123" s="304"/>
      <c r="H123" s="298">
        <v>562000</v>
      </c>
      <c r="I123" s="298"/>
      <c r="J123" s="298"/>
      <c r="K123" s="298"/>
      <c r="L123" s="298"/>
      <c r="M123" s="298">
        <v>216696</v>
      </c>
      <c r="N123" s="299">
        <f t="shared" si="35"/>
        <v>0.3855800711743772</v>
      </c>
    </row>
    <row r="124" spans="1:14" ht="20.100000000000001" customHeight="1" x14ac:dyDescent="0.2">
      <c r="A124" s="265" t="s">
        <v>533</v>
      </c>
      <c r="B124" s="272" t="s">
        <v>64</v>
      </c>
      <c r="C124" s="268" t="s">
        <v>83</v>
      </c>
      <c r="D124" s="304">
        <f>E124+F124+G124</f>
        <v>3996255</v>
      </c>
      <c r="E124" s="304">
        <v>530000</v>
      </c>
      <c r="F124" s="304">
        <f>700000-233745</f>
        <v>466255</v>
      </c>
      <c r="G124" s="304">
        <v>3000000</v>
      </c>
      <c r="H124" s="298">
        <v>1605455</v>
      </c>
      <c r="I124" s="298"/>
      <c r="J124" s="298"/>
      <c r="K124" s="298"/>
      <c r="L124" s="298"/>
      <c r="M124" s="298">
        <v>790122</v>
      </c>
      <c r="N124" s="299">
        <f t="shared" si="35"/>
        <v>0.49214833178133299</v>
      </c>
    </row>
    <row r="125" spans="1:14" ht="20.100000000000001" hidden="1" customHeight="1" x14ac:dyDescent="0.2">
      <c r="A125" s="265" t="s">
        <v>534</v>
      </c>
      <c r="B125" s="272" t="s">
        <v>65</v>
      </c>
      <c r="C125" s="268" t="s">
        <v>84</v>
      </c>
      <c r="D125" s="304"/>
      <c r="E125" s="304"/>
      <c r="F125" s="304"/>
      <c r="G125" s="304"/>
      <c r="H125" s="298"/>
      <c r="I125" s="298"/>
      <c r="J125" s="298"/>
      <c r="K125" s="298"/>
      <c r="L125" s="298"/>
      <c r="M125" s="298"/>
      <c r="N125" s="299" t="str">
        <f t="shared" si="35"/>
        <v>n.é.</v>
      </c>
    </row>
    <row r="126" spans="1:14" ht="20.100000000000001" customHeight="1" x14ac:dyDescent="0.2">
      <c r="A126" s="306" t="s">
        <v>535</v>
      </c>
      <c r="B126" s="310" t="s">
        <v>845</v>
      </c>
      <c r="C126" s="314" t="s">
        <v>92</v>
      </c>
      <c r="D126" s="303">
        <f>E126+F126+G126</f>
        <v>4046255</v>
      </c>
      <c r="E126" s="303">
        <f t="shared" ref="E126:M126" si="46">SUM(E123:E125)</f>
        <v>580000</v>
      </c>
      <c r="F126" s="303">
        <f t="shared" si="46"/>
        <v>466255</v>
      </c>
      <c r="G126" s="303">
        <f t="shared" si="46"/>
        <v>3000000</v>
      </c>
      <c r="H126" s="303">
        <f t="shared" si="46"/>
        <v>2167455</v>
      </c>
      <c r="I126" s="303">
        <f t="shared" si="46"/>
        <v>0</v>
      </c>
      <c r="J126" s="303">
        <f t="shared" si="46"/>
        <v>0</v>
      </c>
      <c r="K126" s="303">
        <f t="shared" si="46"/>
        <v>0</v>
      </c>
      <c r="L126" s="303">
        <f t="shared" si="46"/>
        <v>0</v>
      </c>
      <c r="M126" s="303">
        <f t="shared" si="46"/>
        <v>1006818</v>
      </c>
      <c r="N126" s="286">
        <f t="shared" si="35"/>
        <v>0.46451621832979234</v>
      </c>
    </row>
    <row r="127" spans="1:14" ht="20.100000000000001" customHeight="1" x14ac:dyDescent="0.2">
      <c r="A127" s="265" t="s">
        <v>536</v>
      </c>
      <c r="B127" s="272" t="s">
        <v>66</v>
      </c>
      <c r="C127" s="268" t="s">
        <v>85</v>
      </c>
      <c r="D127" s="304">
        <f>E127+F127+G127</f>
        <v>910000</v>
      </c>
      <c r="E127" s="304">
        <v>910000</v>
      </c>
      <c r="F127" s="304"/>
      <c r="G127" s="304"/>
      <c r="H127" s="298">
        <v>1561090</v>
      </c>
      <c r="I127" s="298"/>
      <c r="J127" s="298"/>
      <c r="K127" s="298"/>
      <c r="L127" s="298"/>
      <c r="M127" s="298">
        <v>783084</v>
      </c>
      <c r="N127" s="299">
        <f t="shared" si="35"/>
        <v>0.50162642768834598</v>
      </c>
    </row>
    <row r="128" spans="1:14" ht="20.100000000000001" customHeight="1" x14ac:dyDescent="0.2">
      <c r="A128" s="265" t="s">
        <v>537</v>
      </c>
      <c r="B128" s="272" t="s">
        <v>67</v>
      </c>
      <c r="C128" s="268" t="s">
        <v>86</v>
      </c>
      <c r="D128" s="304">
        <f>E128+F128+G128</f>
        <v>250000</v>
      </c>
      <c r="E128" s="304">
        <v>250000</v>
      </c>
      <c r="F128" s="304"/>
      <c r="G128" s="304"/>
      <c r="H128" s="298">
        <v>486000</v>
      </c>
      <c r="I128" s="298"/>
      <c r="J128" s="298"/>
      <c r="K128" s="298"/>
      <c r="L128" s="298"/>
      <c r="M128" s="298">
        <v>340185</v>
      </c>
      <c r="N128" s="299">
        <f t="shared" si="35"/>
        <v>0.69996913580246911</v>
      </c>
    </row>
    <row r="129" spans="1:14" ht="20.100000000000001" customHeight="1" x14ac:dyDescent="0.2">
      <c r="A129" s="306" t="s">
        <v>538</v>
      </c>
      <c r="B129" s="310" t="s">
        <v>846</v>
      </c>
      <c r="C129" s="314" t="s">
        <v>93</v>
      </c>
      <c r="D129" s="303">
        <f>E129+F129+G129</f>
        <v>1160000</v>
      </c>
      <c r="E129" s="303">
        <f t="shared" ref="E129:M129" si="47">SUM(E127:E128)</f>
        <v>1160000</v>
      </c>
      <c r="F129" s="303">
        <f t="shared" si="47"/>
        <v>0</v>
      </c>
      <c r="G129" s="303">
        <f t="shared" si="47"/>
        <v>0</v>
      </c>
      <c r="H129" s="303">
        <f t="shared" si="47"/>
        <v>2047090</v>
      </c>
      <c r="I129" s="303">
        <f t="shared" si="47"/>
        <v>0</v>
      </c>
      <c r="J129" s="303">
        <f t="shared" si="47"/>
        <v>0</v>
      </c>
      <c r="K129" s="303">
        <f t="shared" si="47"/>
        <v>0</v>
      </c>
      <c r="L129" s="303">
        <f t="shared" si="47"/>
        <v>0</v>
      </c>
      <c r="M129" s="303">
        <f t="shared" si="47"/>
        <v>1123269</v>
      </c>
      <c r="N129" s="286">
        <f t="shared" si="35"/>
        <v>0.54871500520250693</v>
      </c>
    </row>
    <row r="130" spans="1:14" ht="20.100000000000001" customHeight="1" x14ac:dyDescent="0.2">
      <c r="A130" s="265" t="s">
        <v>539</v>
      </c>
      <c r="B130" s="272" t="s">
        <v>68</v>
      </c>
      <c r="C130" s="268" t="s">
        <v>87</v>
      </c>
      <c r="D130" s="304">
        <f>E130+F130+G130</f>
        <v>615000</v>
      </c>
      <c r="E130" s="304">
        <v>615000</v>
      </c>
      <c r="F130" s="304"/>
      <c r="G130" s="304"/>
      <c r="H130" s="298">
        <v>2522000</v>
      </c>
      <c r="I130" s="298"/>
      <c r="J130" s="298"/>
      <c r="K130" s="298"/>
      <c r="L130" s="298"/>
      <c r="M130" s="298">
        <v>1733383</v>
      </c>
      <c r="N130" s="299">
        <f t="shared" si="35"/>
        <v>0.68730491673275174</v>
      </c>
    </row>
    <row r="131" spans="1:14" ht="20.100000000000001" hidden="1" customHeight="1" x14ac:dyDescent="0.2">
      <c r="A131" s="265" t="s">
        <v>707</v>
      </c>
      <c r="B131" s="272" t="s">
        <v>69</v>
      </c>
      <c r="C131" s="268" t="s">
        <v>88</v>
      </c>
      <c r="D131" s="304"/>
      <c r="E131" s="304"/>
      <c r="F131" s="304"/>
      <c r="G131" s="304"/>
      <c r="H131" s="298">
        <v>0</v>
      </c>
      <c r="I131" s="298"/>
      <c r="J131" s="298"/>
      <c r="K131" s="298"/>
      <c r="L131" s="298"/>
      <c r="M131" s="298"/>
      <c r="N131" s="299" t="str">
        <f t="shared" si="35"/>
        <v>n.é.</v>
      </c>
    </row>
    <row r="132" spans="1:14" ht="20.100000000000001" hidden="1" customHeight="1" x14ac:dyDescent="0.2">
      <c r="A132" s="265" t="s">
        <v>708</v>
      </c>
      <c r="B132" s="272" t="s">
        <v>70</v>
      </c>
      <c r="C132" s="268" t="s">
        <v>89</v>
      </c>
      <c r="D132" s="304"/>
      <c r="E132" s="304"/>
      <c r="F132" s="304"/>
      <c r="G132" s="304"/>
      <c r="H132" s="298">
        <v>0</v>
      </c>
      <c r="I132" s="298"/>
      <c r="J132" s="298"/>
      <c r="K132" s="298"/>
      <c r="L132" s="298"/>
      <c r="M132" s="298"/>
      <c r="N132" s="299" t="str">
        <f t="shared" si="35"/>
        <v>n.é.</v>
      </c>
    </row>
    <row r="133" spans="1:14" ht="20.100000000000001" customHeight="1" x14ac:dyDescent="0.2">
      <c r="A133" s="265" t="s">
        <v>709</v>
      </c>
      <c r="B133" s="272" t="s">
        <v>71</v>
      </c>
      <c r="C133" s="268" t="s">
        <v>90</v>
      </c>
      <c r="D133" s="304">
        <f>E133+F133+G133</f>
        <v>30000</v>
      </c>
      <c r="E133" s="304">
        <v>30000</v>
      </c>
      <c r="F133" s="304"/>
      <c r="G133" s="304"/>
      <c r="H133" s="298">
        <v>53000</v>
      </c>
      <c r="I133" s="298"/>
      <c r="J133" s="298"/>
      <c r="K133" s="298"/>
      <c r="L133" s="298"/>
      <c r="M133" s="298">
        <v>40500</v>
      </c>
      <c r="N133" s="299">
        <f t="shared" si="35"/>
        <v>0.76415094339622647</v>
      </c>
    </row>
    <row r="134" spans="1:14" ht="20.100000000000001" hidden="1" customHeight="1" x14ac:dyDescent="0.2">
      <c r="A134" s="265" t="s">
        <v>710</v>
      </c>
      <c r="B134" s="313" t="s">
        <v>72</v>
      </c>
      <c r="C134" s="268" t="s">
        <v>91</v>
      </c>
      <c r="D134" s="304"/>
      <c r="E134" s="304"/>
      <c r="F134" s="304"/>
      <c r="G134" s="304"/>
      <c r="H134" s="298">
        <v>0</v>
      </c>
      <c r="I134" s="298"/>
      <c r="J134" s="298"/>
      <c r="K134" s="298"/>
      <c r="L134" s="298"/>
      <c r="M134" s="298"/>
      <c r="N134" s="299" t="str">
        <f t="shared" si="35"/>
        <v>n.é.</v>
      </c>
    </row>
    <row r="135" spans="1:14" ht="20.100000000000001" customHeight="1" x14ac:dyDescent="0.2">
      <c r="A135" s="265" t="s">
        <v>711</v>
      </c>
      <c r="B135" s="266" t="s">
        <v>73</v>
      </c>
      <c r="C135" s="268" t="s">
        <v>94</v>
      </c>
      <c r="D135" s="304">
        <f>E135+F135+G135</f>
        <v>1091500</v>
      </c>
      <c r="E135" s="304">
        <v>1091500</v>
      </c>
      <c r="F135" s="304"/>
      <c r="G135" s="304"/>
      <c r="H135" s="298">
        <v>1570530</v>
      </c>
      <c r="I135" s="298"/>
      <c r="J135" s="298"/>
      <c r="K135" s="298"/>
      <c r="L135" s="298"/>
      <c r="M135" s="298">
        <v>1225770</v>
      </c>
      <c r="N135" s="299">
        <f t="shared" si="35"/>
        <v>0.78048174819965233</v>
      </c>
    </row>
    <row r="136" spans="1:14" ht="20.100000000000001" customHeight="1" x14ac:dyDescent="0.2">
      <c r="A136" s="265" t="s">
        <v>712</v>
      </c>
      <c r="B136" s="272" t="s">
        <v>74</v>
      </c>
      <c r="C136" s="268" t="s">
        <v>95</v>
      </c>
      <c r="D136" s="304">
        <f>E136+F136+G136</f>
        <v>908586</v>
      </c>
      <c r="E136" s="304">
        <v>480000</v>
      </c>
      <c r="F136" s="304">
        <v>428586</v>
      </c>
      <c r="G136" s="304"/>
      <c r="H136" s="298">
        <v>1781262</v>
      </c>
      <c r="I136" s="298"/>
      <c r="J136" s="298"/>
      <c r="K136" s="298"/>
      <c r="L136" s="298"/>
      <c r="M136" s="298">
        <v>1314265</v>
      </c>
      <c r="N136" s="299">
        <f t="shared" ref="N136:N167" si="48">IF(H136&gt;0,M136/H136,"n.é.")</f>
        <v>0.73782801182532387</v>
      </c>
    </row>
    <row r="137" spans="1:14" ht="20.100000000000001" customHeight="1" x14ac:dyDescent="0.2">
      <c r="A137" s="306" t="s">
        <v>713</v>
      </c>
      <c r="B137" s="310" t="s">
        <v>847</v>
      </c>
      <c r="C137" s="314" t="s">
        <v>96</v>
      </c>
      <c r="D137" s="303">
        <f>E137+F137+G137</f>
        <v>2645086</v>
      </c>
      <c r="E137" s="303">
        <f t="shared" ref="E137:M137" si="49">SUM(E130:E136)</f>
        <v>2216500</v>
      </c>
      <c r="F137" s="303">
        <f t="shared" si="49"/>
        <v>428586</v>
      </c>
      <c r="G137" s="303">
        <f t="shared" si="49"/>
        <v>0</v>
      </c>
      <c r="H137" s="303">
        <f t="shared" si="49"/>
        <v>5926792</v>
      </c>
      <c r="I137" s="303">
        <f t="shared" si="49"/>
        <v>0</v>
      </c>
      <c r="J137" s="303">
        <f t="shared" si="49"/>
        <v>0</v>
      </c>
      <c r="K137" s="303">
        <f t="shared" si="49"/>
        <v>0</v>
      </c>
      <c r="L137" s="303">
        <f t="shared" si="49"/>
        <v>0</v>
      </c>
      <c r="M137" s="303">
        <f t="shared" si="49"/>
        <v>4313918</v>
      </c>
      <c r="N137" s="286">
        <f t="shared" si="48"/>
        <v>0.72786728469634165</v>
      </c>
    </row>
    <row r="138" spans="1:14" ht="20.100000000000001" customHeight="1" x14ac:dyDescent="0.2">
      <c r="A138" s="265" t="s">
        <v>714</v>
      </c>
      <c r="B138" s="272" t="s">
        <v>75</v>
      </c>
      <c r="C138" s="268" t="s">
        <v>97</v>
      </c>
      <c r="D138" s="304">
        <f>E138+F138+G138</f>
        <v>405200</v>
      </c>
      <c r="E138" s="304">
        <v>330000</v>
      </c>
      <c r="F138" s="304">
        <v>75200</v>
      </c>
      <c r="G138" s="304"/>
      <c r="H138" s="284">
        <v>625200</v>
      </c>
      <c r="I138" s="298"/>
      <c r="J138" s="298"/>
      <c r="K138" s="298"/>
      <c r="L138" s="298"/>
      <c r="M138" s="298">
        <v>543859</v>
      </c>
      <c r="N138" s="299">
        <f t="shared" si="48"/>
        <v>0.86989603326935383</v>
      </c>
    </row>
    <row r="139" spans="1:14" ht="20.100000000000001" hidden="1" customHeight="1" x14ac:dyDescent="0.2">
      <c r="A139" s="265" t="s">
        <v>715</v>
      </c>
      <c r="B139" s="272" t="s">
        <v>76</v>
      </c>
      <c r="C139" s="268" t="s">
        <v>98</v>
      </c>
      <c r="D139" s="304"/>
      <c r="E139" s="304"/>
      <c r="F139" s="304"/>
      <c r="G139" s="304"/>
      <c r="H139" s="298"/>
      <c r="I139" s="298"/>
      <c r="J139" s="298"/>
      <c r="K139" s="298"/>
      <c r="L139" s="298"/>
      <c r="M139" s="298"/>
      <c r="N139" s="299" t="str">
        <f t="shared" si="48"/>
        <v>n.é.</v>
      </c>
    </row>
    <row r="140" spans="1:14" ht="20.100000000000001" customHeight="1" x14ac:dyDescent="0.2">
      <c r="A140" s="306" t="s">
        <v>716</v>
      </c>
      <c r="B140" s="310" t="s">
        <v>848</v>
      </c>
      <c r="C140" s="314" t="s">
        <v>99</v>
      </c>
      <c r="D140" s="303">
        <f>E140+F140+G140</f>
        <v>405200</v>
      </c>
      <c r="E140" s="303">
        <f t="shared" ref="E140:M140" si="50">SUM(E138:E139)</f>
        <v>330000</v>
      </c>
      <c r="F140" s="303">
        <f t="shared" si="50"/>
        <v>75200</v>
      </c>
      <c r="G140" s="303">
        <f t="shared" si="50"/>
        <v>0</v>
      </c>
      <c r="H140" s="303">
        <f t="shared" si="50"/>
        <v>625200</v>
      </c>
      <c r="I140" s="303">
        <f t="shared" si="50"/>
        <v>0</v>
      </c>
      <c r="J140" s="303">
        <f t="shared" si="50"/>
        <v>0</v>
      </c>
      <c r="K140" s="303">
        <f t="shared" si="50"/>
        <v>0</v>
      </c>
      <c r="L140" s="303">
        <f t="shared" si="50"/>
        <v>0</v>
      </c>
      <c r="M140" s="303">
        <f t="shared" si="50"/>
        <v>543859</v>
      </c>
      <c r="N140" s="286">
        <f t="shared" si="48"/>
        <v>0.86989603326935383</v>
      </c>
    </row>
    <row r="141" spans="1:14" ht="20.100000000000001" customHeight="1" x14ac:dyDescent="0.2">
      <c r="A141" s="285" t="s">
        <v>717</v>
      </c>
      <c r="B141" s="272" t="s">
        <v>77</v>
      </c>
      <c r="C141" s="268" t="s">
        <v>100</v>
      </c>
      <c r="D141" s="304">
        <f>E141+F141+G141</f>
        <v>828216</v>
      </c>
      <c r="E141" s="304">
        <v>586300</v>
      </c>
      <c r="F141" s="304">
        <f>304718-62802</f>
        <v>241916</v>
      </c>
      <c r="G141" s="304"/>
      <c r="H141" s="298">
        <v>1828216</v>
      </c>
      <c r="I141" s="298"/>
      <c r="J141" s="298"/>
      <c r="K141" s="298"/>
      <c r="L141" s="298"/>
      <c r="M141" s="298">
        <v>991104</v>
      </c>
      <c r="N141" s="299">
        <f t="shared" si="48"/>
        <v>0.54211537367575824</v>
      </c>
    </row>
    <row r="142" spans="1:14" ht="20.100000000000001" hidden="1" customHeight="1" x14ac:dyDescent="0.2">
      <c r="A142" s="285" t="s">
        <v>718</v>
      </c>
      <c r="B142" s="272" t="s">
        <v>78</v>
      </c>
      <c r="C142" s="268" t="s">
        <v>101</v>
      </c>
      <c r="D142" s="304"/>
      <c r="E142" s="304"/>
      <c r="F142" s="304"/>
      <c r="G142" s="304"/>
      <c r="H142" s="298">
        <v>0</v>
      </c>
      <c r="I142" s="298"/>
      <c r="J142" s="298"/>
      <c r="K142" s="298"/>
      <c r="L142" s="298"/>
      <c r="M142" s="298"/>
      <c r="N142" s="299" t="str">
        <f t="shared" si="48"/>
        <v>n.é.</v>
      </c>
    </row>
    <row r="143" spans="1:14" ht="20.100000000000001" hidden="1" customHeight="1" x14ac:dyDescent="0.2">
      <c r="A143" s="285" t="s">
        <v>719</v>
      </c>
      <c r="B143" s="272" t="s">
        <v>79</v>
      </c>
      <c r="C143" s="268" t="s">
        <v>102</v>
      </c>
      <c r="D143" s="304"/>
      <c r="E143" s="304"/>
      <c r="F143" s="304"/>
      <c r="G143" s="304"/>
      <c r="H143" s="298">
        <v>0</v>
      </c>
      <c r="I143" s="298"/>
      <c r="J143" s="298"/>
      <c r="K143" s="298"/>
      <c r="L143" s="298"/>
      <c r="M143" s="298"/>
      <c r="N143" s="299" t="str">
        <f t="shared" si="48"/>
        <v>n.é.</v>
      </c>
    </row>
    <row r="144" spans="1:14" ht="20.100000000000001" hidden="1" customHeight="1" x14ac:dyDescent="0.2">
      <c r="A144" s="285" t="s">
        <v>720</v>
      </c>
      <c r="B144" s="272" t="s">
        <v>80</v>
      </c>
      <c r="C144" s="268" t="s">
        <v>103</v>
      </c>
      <c r="D144" s="304"/>
      <c r="E144" s="304"/>
      <c r="F144" s="304"/>
      <c r="G144" s="304"/>
      <c r="H144" s="298">
        <v>0</v>
      </c>
      <c r="I144" s="298"/>
      <c r="J144" s="298"/>
      <c r="K144" s="298"/>
      <c r="L144" s="298"/>
      <c r="M144" s="298"/>
      <c r="N144" s="299" t="str">
        <f t="shared" si="48"/>
        <v>n.é.</v>
      </c>
    </row>
    <row r="145" spans="1:14" ht="20.100000000000001" customHeight="1" x14ac:dyDescent="0.2">
      <c r="A145" s="285" t="s">
        <v>721</v>
      </c>
      <c r="B145" s="272" t="s">
        <v>81</v>
      </c>
      <c r="C145" s="268" t="s">
        <v>104</v>
      </c>
      <c r="D145" s="304">
        <f>E145+F145+G145</f>
        <v>50000</v>
      </c>
      <c r="E145" s="304">
        <v>50000</v>
      </c>
      <c r="F145" s="304"/>
      <c r="G145" s="304"/>
      <c r="H145" s="298">
        <v>538820</v>
      </c>
      <c r="I145" s="298"/>
      <c r="J145" s="298"/>
      <c r="K145" s="298"/>
      <c r="L145" s="298"/>
      <c r="M145" s="298">
        <v>538820</v>
      </c>
      <c r="N145" s="299">
        <f t="shared" si="48"/>
        <v>1</v>
      </c>
    </row>
    <row r="146" spans="1:14" ht="20.100000000000001" customHeight="1" x14ac:dyDescent="0.2">
      <c r="A146" s="289" t="s">
        <v>722</v>
      </c>
      <c r="B146" s="310" t="s">
        <v>849</v>
      </c>
      <c r="C146" s="314" t="s">
        <v>105</v>
      </c>
      <c r="D146" s="303">
        <f>E146+F146+G146</f>
        <v>878216</v>
      </c>
      <c r="E146" s="303">
        <f t="shared" ref="E146:M146" si="51">SUM(E141:E145)</f>
        <v>636300</v>
      </c>
      <c r="F146" s="303">
        <f t="shared" si="51"/>
        <v>241916</v>
      </c>
      <c r="G146" s="303">
        <f t="shared" si="51"/>
        <v>0</v>
      </c>
      <c r="H146" s="303">
        <f t="shared" si="51"/>
        <v>2367036</v>
      </c>
      <c r="I146" s="303">
        <f t="shared" si="51"/>
        <v>0</v>
      </c>
      <c r="J146" s="303">
        <f t="shared" si="51"/>
        <v>0</v>
      </c>
      <c r="K146" s="303">
        <f t="shared" si="51"/>
        <v>0</v>
      </c>
      <c r="L146" s="303">
        <f t="shared" si="51"/>
        <v>0</v>
      </c>
      <c r="M146" s="303">
        <f t="shared" si="51"/>
        <v>1529924</v>
      </c>
      <c r="N146" s="286">
        <f t="shared" si="48"/>
        <v>0.64634589419003341</v>
      </c>
    </row>
    <row r="147" spans="1:14" ht="20.100000000000001" customHeight="1" x14ac:dyDescent="0.2">
      <c r="A147" s="289" t="s">
        <v>723</v>
      </c>
      <c r="B147" s="310" t="s">
        <v>850</v>
      </c>
      <c r="C147" s="314" t="s">
        <v>57</v>
      </c>
      <c r="D147" s="303">
        <f>E147+F147+G147</f>
        <v>9134757</v>
      </c>
      <c r="E147" s="303">
        <f t="shared" ref="E147:M147" si="52">E126+E129+E137+E140+E146</f>
        <v>4922800</v>
      </c>
      <c r="F147" s="303">
        <f t="shared" si="52"/>
        <v>1211957</v>
      </c>
      <c r="G147" s="303">
        <f t="shared" si="52"/>
        <v>3000000</v>
      </c>
      <c r="H147" s="303">
        <f t="shared" si="52"/>
        <v>13133573</v>
      </c>
      <c r="I147" s="303">
        <f t="shared" si="52"/>
        <v>0</v>
      </c>
      <c r="J147" s="303">
        <f t="shared" si="52"/>
        <v>0</v>
      </c>
      <c r="K147" s="303">
        <f t="shared" si="52"/>
        <v>0</v>
      </c>
      <c r="L147" s="303">
        <f t="shared" si="52"/>
        <v>0</v>
      </c>
      <c r="M147" s="303">
        <f t="shared" si="52"/>
        <v>8517788</v>
      </c>
      <c r="N147" s="286">
        <f t="shared" si="48"/>
        <v>0.64855070284377303</v>
      </c>
    </row>
    <row r="148" spans="1:14" ht="20.100000000000001" hidden="1" customHeight="1" x14ac:dyDescent="0.2">
      <c r="A148" s="285" t="s">
        <v>724</v>
      </c>
      <c r="B148" s="272" t="s">
        <v>108</v>
      </c>
      <c r="C148" s="268" t="s">
        <v>116</v>
      </c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299" t="str">
        <f t="shared" si="48"/>
        <v>n.é.</v>
      </c>
    </row>
    <row r="149" spans="1:14" ht="20.100000000000001" hidden="1" customHeight="1" x14ac:dyDescent="0.2">
      <c r="A149" s="285" t="s">
        <v>725</v>
      </c>
      <c r="B149" s="272" t="s">
        <v>109</v>
      </c>
      <c r="C149" s="268" t="s">
        <v>117</v>
      </c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299" t="str">
        <f t="shared" si="48"/>
        <v>n.é.</v>
      </c>
    </row>
    <row r="150" spans="1:14" ht="20.100000000000001" hidden="1" customHeight="1" x14ac:dyDescent="0.2">
      <c r="A150" s="285" t="s">
        <v>726</v>
      </c>
      <c r="B150" s="313" t="s">
        <v>110</v>
      </c>
      <c r="C150" s="268" t="s">
        <v>118</v>
      </c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299" t="str">
        <f t="shared" si="48"/>
        <v>n.é.</v>
      </c>
    </row>
    <row r="151" spans="1:14" ht="20.100000000000001" hidden="1" customHeight="1" x14ac:dyDescent="0.2">
      <c r="A151" s="285" t="s">
        <v>727</v>
      </c>
      <c r="B151" s="313" t="s">
        <v>111</v>
      </c>
      <c r="C151" s="268" t="s">
        <v>119</v>
      </c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299" t="str">
        <f t="shared" si="48"/>
        <v>n.é.</v>
      </c>
    </row>
    <row r="152" spans="1:14" ht="20.100000000000001" hidden="1" customHeight="1" x14ac:dyDescent="0.2">
      <c r="A152" s="285" t="s">
        <v>728</v>
      </c>
      <c r="B152" s="313" t="s">
        <v>112</v>
      </c>
      <c r="C152" s="268" t="s">
        <v>120</v>
      </c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299" t="str">
        <f t="shared" si="48"/>
        <v>n.é.</v>
      </c>
    </row>
    <row r="153" spans="1:14" ht="20.100000000000001" hidden="1" customHeight="1" x14ac:dyDescent="0.2">
      <c r="A153" s="285" t="s">
        <v>729</v>
      </c>
      <c r="B153" s="272" t="s">
        <v>113</v>
      </c>
      <c r="C153" s="268" t="s">
        <v>121</v>
      </c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299" t="str">
        <f t="shared" si="48"/>
        <v>n.é.</v>
      </c>
    </row>
    <row r="154" spans="1:14" ht="20.100000000000001" hidden="1" customHeight="1" x14ac:dyDescent="0.2">
      <c r="A154" s="285" t="s">
        <v>730</v>
      </c>
      <c r="B154" s="272" t="s">
        <v>114</v>
      </c>
      <c r="C154" s="268" t="s">
        <v>122</v>
      </c>
      <c r="D154" s="304"/>
      <c r="E154" s="304"/>
      <c r="F154" s="304"/>
      <c r="G154" s="304"/>
      <c r="H154" s="298"/>
      <c r="I154" s="298"/>
      <c r="J154" s="298"/>
      <c r="K154" s="298"/>
      <c r="L154" s="298"/>
      <c r="M154" s="298"/>
      <c r="N154" s="299" t="str">
        <f t="shared" si="48"/>
        <v>n.é.</v>
      </c>
    </row>
    <row r="155" spans="1:14" ht="20.100000000000001" hidden="1" customHeight="1" x14ac:dyDescent="0.2">
      <c r="A155" s="285" t="s">
        <v>731</v>
      </c>
      <c r="B155" s="272" t="s">
        <v>115</v>
      </c>
      <c r="C155" s="268" t="s">
        <v>123</v>
      </c>
      <c r="D155" s="304"/>
      <c r="E155" s="304"/>
      <c r="F155" s="304"/>
      <c r="G155" s="304"/>
      <c r="H155" s="298"/>
      <c r="I155" s="298"/>
      <c r="J155" s="298"/>
      <c r="K155" s="298"/>
      <c r="L155" s="298"/>
      <c r="M155" s="298"/>
      <c r="N155" s="299" t="str">
        <f t="shared" si="48"/>
        <v>n.é.</v>
      </c>
    </row>
    <row r="156" spans="1:14" ht="20.100000000000001" customHeight="1" x14ac:dyDescent="0.2">
      <c r="A156" s="289" t="s">
        <v>732</v>
      </c>
      <c r="B156" s="310" t="s">
        <v>851</v>
      </c>
      <c r="C156" s="314" t="s">
        <v>58</v>
      </c>
      <c r="D156" s="303">
        <f>E156+G156</f>
        <v>0</v>
      </c>
      <c r="E156" s="303">
        <f t="shared" ref="E156:M156" si="53">SUM(E148:E155)</f>
        <v>0</v>
      </c>
      <c r="F156" s="303">
        <f t="shared" si="53"/>
        <v>0</v>
      </c>
      <c r="G156" s="303">
        <f t="shared" si="53"/>
        <v>0</v>
      </c>
      <c r="H156" s="303">
        <f t="shared" si="53"/>
        <v>0</v>
      </c>
      <c r="I156" s="303">
        <f t="shared" si="53"/>
        <v>0</v>
      </c>
      <c r="J156" s="303">
        <f t="shared" si="53"/>
        <v>0</v>
      </c>
      <c r="K156" s="303">
        <f t="shared" si="53"/>
        <v>0</v>
      </c>
      <c r="L156" s="303">
        <f t="shared" si="53"/>
        <v>0</v>
      </c>
      <c r="M156" s="303">
        <f t="shared" si="53"/>
        <v>0</v>
      </c>
      <c r="N156" s="286" t="str">
        <f t="shared" si="48"/>
        <v>n.é.</v>
      </c>
    </row>
    <row r="157" spans="1:14" ht="20.100000000000001" hidden="1" customHeight="1" x14ac:dyDescent="0.2">
      <c r="A157" s="285" t="s">
        <v>760</v>
      </c>
      <c r="B157" s="307" t="s">
        <v>142</v>
      </c>
      <c r="C157" s="268" t="s">
        <v>131</v>
      </c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299" t="str">
        <f t="shared" si="48"/>
        <v>n.é.</v>
      </c>
    </row>
    <row r="158" spans="1:14" ht="20.100000000000001" hidden="1" customHeight="1" x14ac:dyDescent="0.2">
      <c r="A158" s="285" t="s">
        <v>761</v>
      </c>
      <c r="B158" s="307" t="s">
        <v>734</v>
      </c>
      <c r="C158" s="268" t="s">
        <v>733</v>
      </c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299" t="str">
        <f t="shared" si="48"/>
        <v>n.é.</v>
      </c>
    </row>
    <row r="159" spans="1:14" ht="20.100000000000001" hidden="1" customHeight="1" x14ac:dyDescent="0.2">
      <c r="A159" s="285" t="s">
        <v>762</v>
      </c>
      <c r="B159" s="307" t="s">
        <v>735</v>
      </c>
      <c r="C159" s="268" t="s">
        <v>736</v>
      </c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299" t="str">
        <f t="shared" si="48"/>
        <v>n.é.</v>
      </c>
    </row>
    <row r="160" spans="1:14" ht="20.100000000000001" hidden="1" customHeight="1" x14ac:dyDescent="0.2">
      <c r="A160" s="285" t="s">
        <v>763</v>
      </c>
      <c r="B160" s="307" t="s">
        <v>737</v>
      </c>
      <c r="C160" s="268" t="s">
        <v>738</v>
      </c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299" t="str">
        <f t="shared" si="48"/>
        <v>n.é.</v>
      </c>
    </row>
    <row r="161" spans="1:14" ht="20.100000000000001" hidden="1" customHeight="1" x14ac:dyDescent="0.2">
      <c r="A161" s="285" t="s">
        <v>764</v>
      </c>
      <c r="B161" s="307" t="s">
        <v>425</v>
      </c>
      <c r="C161" s="268" t="s">
        <v>132</v>
      </c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299" t="str">
        <f t="shared" si="48"/>
        <v>n.é.</v>
      </c>
    </row>
    <row r="162" spans="1:14" ht="20.100000000000001" hidden="1" customHeight="1" x14ac:dyDescent="0.2">
      <c r="A162" s="285" t="s">
        <v>765</v>
      </c>
      <c r="B162" s="307" t="s">
        <v>424</v>
      </c>
      <c r="C162" s="268" t="s">
        <v>133</v>
      </c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299" t="str">
        <f t="shared" si="48"/>
        <v>n.é.</v>
      </c>
    </row>
    <row r="163" spans="1:14" ht="20.100000000000001" hidden="1" customHeight="1" x14ac:dyDescent="0.2">
      <c r="A163" s="285" t="s">
        <v>766</v>
      </c>
      <c r="B163" s="307" t="s">
        <v>423</v>
      </c>
      <c r="C163" s="268" t="s">
        <v>134</v>
      </c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299" t="str">
        <f t="shared" si="48"/>
        <v>n.é.</v>
      </c>
    </row>
    <row r="164" spans="1:14" ht="23.25" customHeight="1" x14ac:dyDescent="0.2">
      <c r="A164" s="285" t="s">
        <v>767</v>
      </c>
      <c r="B164" s="307" t="s">
        <v>143</v>
      </c>
      <c r="C164" s="268" t="s">
        <v>135</v>
      </c>
      <c r="D164" s="304"/>
      <c r="E164" s="304"/>
      <c r="F164" s="304"/>
      <c r="G164" s="304"/>
      <c r="H164" s="304">
        <v>535345</v>
      </c>
      <c r="I164" s="304"/>
      <c r="J164" s="304"/>
      <c r="K164" s="304"/>
      <c r="L164" s="304"/>
      <c r="M164" s="304"/>
      <c r="N164" s="299">
        <f t="shared" si="48"/>
        <v>0</v>
      </c>
    </row>
    <row r="165" spans="1:14" ht="18.75" hidden="1" customHeight="1" x14ac:dyDescent="0.2">
      <c r="A165" s="285" t="s">
        <v>768</v>
      </c>
      <c r="B165" s="307" t="s">
        <v>422</v>
      </c>
      <c r="C165" s="268" t="s">
        <v>136</v>
      </c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299" t="str">
        <f t="shared" si="48"/>
        <v>n.é.</v>
      </c>
    </row>
    <row r="166" spans="1:14" ht="18" hidden="1" customHeight="1" x14ac:dyDescent="0.2">
      <c r="A166" s="285" t="s">
        <v>769</v>
      </c>
      <c r="B166" s="307" t="s">
        <v>421</v>
      </c>
      <c r="C166" s="268" t="s">
        <v>137</v>
      </c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299" t="str">
        <f t="shared" si="48"/>
        <v>n.é.</v>
      </c>
    </row>
    <row r="167" spans="1:14" ht="0.75" hidden="1" customHeight="1" x14ac:dyDescent="0.2">
      <c r="A167" s="285" t="s">
        <v>770</v>
      </c>
      <c r="B167" s="307" t="s">
        <v>144</v>
      </c>
      <c r="C167" s="268" t="s">
        <v>138</v>
      </c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299" t="str">
        <f t="shared" si="48"/>
        <v>n.é.</v>
      </c>
    </row>
    <row r="168" spans="1:14" ht="18" hidden="1" customHeight="1" x14ac:dyDescent="0.2">
      <c r="A168" s="285" t="s">
        <v>771</v>
      </c>
      <c r="B168" s="316" t="s">
        <v>145</v>
      </c>
      <c r="C168" s="268" t="s">
        <v>139</v>
      </c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299" t="str">
        <f t="shared" ref="N168:N170" si="54">IF(H168&gt;0,M168/H168,"n.é.")</f>
        <v>n.é.</v>
      </c>
    </row>
    <row r="169" spans="1:14" ht="0.75" hidden="1" customHeight="1" x14ac:dyDescent="0.2">
      <c r="A169" s="285" t="s">
        <v>772</v>
      </c>
      <c r="B169" s="307" t="s">
        <v>739</v>
      </c>
      <c r="C169" s="268" t="s">
        <v>140</v>
      </c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299" t="str">
        <f t="shared" si="54"/>
        <v>n.é.</v>
      </c>
    </row>
    <row r="170" spans="1:14" ht="30" hidden="1" customHeight="1" x14ac:dyDescent="0.2">
      <c r="A170" s="285" t="s">
        <v>773</v>
      </c>
      <c r="B170" s="307" t="s">
        <v>146</v>
      </c>
      <c r="C170" s="268" t="s">
        <v>141</v>
      </c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299" t="str">
        <f t="shared" si="54"/>
        <v>n.é.</v>
      </c>
    </row>
    <row r="171" spans="1:14" ht="19.5" customHeight="1" x14ac:dyDescent="0.2">
      <c r="A171" s="285" t="s">
        <v>774</v>
      </c>
      <c r="B171" s="316" t="s">
        <v>147</v>
      </c>
      <c r="C171" s="268" t="s">
        <v>740</v>
      </c>
      <c r="D171" s="304"/>
      <c r="E171" s="304"/>
      <c r="F171" s="304"/>
      <c r="G171" s="304"/>
      <c r="H171" s="304"/>
      <c r="I171" s="297" t="s">
        <v>660</v>
      </c>
      <c r="J171" s="297" t="s">
        <v>660</v>
      </c>
      <c r="K171" s="297" t="s">
        <v>660</v>
      </c>
      <c r="L171" s="297" t="s">
        <v>660</v>
      </c>
      <c r="M171" s="297" t="s">
        <v>660</v>
      </c>
      <c r="N171" s="308" t="s">
        <v>662</v>
      </c>
    </row>
    <row r="172" spans="1:14" ht="20.100000000000001" customHeight="1" x14ac:dyDescent="0.2">
      <c r="A172" s="289" t="s">
        <v>775</v>
      </c>
      <c r="B172" s="310" t="s">
        <v>852</v>
      </c>
      <c r="C172" s="314" t="s">
        <v>59</v>
      </c>
      <c r="D172" s="303">
        <f>E172+G172</f>
        <v>0</v>
      </c>
      <c r="E172" s="303">
        <v>0</v>
      </c>
      <c r="F172" s="303">
        <v>0</v>
      </c>
      <c r="G172" s="303">
        <v>0</v>
      </c>
      <c r="H172" s="303">
        <f t="shared" ref="H172:M172" si="55">SUM(H157:H171)</f>
        <v>535345</v>
      </c>
      <c r="I172" s="303">
        <f t="shared" si="55"/>
        <v>0</v>
      </c>
      <c r="J172" s="303">
        <f t="shared" si="55"/>
        <v>0</v>
      </c>
      <c r="K172" s="303">
        <f t="shared" si="55"/>
        <v>0</v>
      </c>
      <c r="L172" s="303">
        <f t="shared" si="55"/>
        <v>0</v>
      </c>
      <c r="M172" s="303">
        <f t="shared" si="55"/>
        <v>0</v>
      </c>
      <c r="N172" s="286">
        <f t="shared" ref="N172:N203" si="56">IF(H172&gt;0,M172/H172,"n.é.")</f>
        <v>0</v>
      </c>
    </row>
    <row r="173" spans="1:14" ht="20.100000000000001" hidden="1" customHeight="1" x14ac:dyDescent="0.2">
      <c r="A173" s="285" t="s">
        <v>776</v>
      </c>
      <c r="B173" s="327" t="s">
        <v>148</v>
      </c>
      <c r="C173" s="268" t="s">
        <v>124</v>
      </c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299" t="str">
        <f t="shared" si="56"/>
        <v>n.é.</v>
      </c>
    </row>
    <row r="174" spans="1:14" ht="20.100000000000001" hidden="1" customHeight="1" x14ac:dyDescent="0.2">
      <c r="A174" s="285" t="s">
        <v>777</v>
      </c>
      <c r="B174" s="327" t="s">
        <v>149</v>
      </c>
      <c r="C174" s="268" t="s">
        <v>125</v>
      </c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299" t="str">
        <f t="shared" si="56"/>
        <v>n.é.</v>
      </c>
    </row>
    <row r="175" spans="1:14" ht="20.100000000000001" hidden="1" customHeight="1" x14ac:dyDescent="0.2">
      <c r="A175" s="285" t="s">
        <v>778</v>
      </c>
      <c r="B175" s="327" t="s">
        <v>150</v>
      </c>
      <c r="C175" s="268" t="s">
        <v>126</v>
      </c>
      <c r="D175" s="304"/>
      <c r="E175" s="304"/>
      <c r="F175" s="304"/>
      <c r="G175" s="304"/>
      <c r="H175" s="298"/>
      <c r="I175" s="298"/>
      <c r="J175" s="298"/>
      <c r="K175" s="298"/>
      <c r="L175" s="298"/>
      <c r="M175" s="298"/>
      <c r="N175" s="299" t="str">
        <f t="shared" si="56"/>
        <v>n.é.</v>
      </c>
    </row>
    <row r="176" spans="1:14" ht="20.100000000000001" hidden="1" customHeight="1" x14ac:dyDescent="0.2">
      <c r="A176" s="285" t="s">
        <v>779</v>
      </c>
      <c r="B176" s="327" t="s">
        <v>151</v>
      </c>
      <c r="C176" s="268" t="s">
        <v>127</v>
      </c>
      <c r="D176" s="304"/>
      <c r="E176" s="304"/>
      <c r="F176" s="304"/>
      <c r="G176" s="304"/>
      <c r="H176" s="298"/>
      <c r="I176" s="298"/>
      <c r="J176" s="298"/>
      <c r="K176" s="298"/>
      <c r="L176" s="298"/>
      <c r="M176" s="298"/>
      <c r="N176" s="299" t="str">
        <f t="shared" si="56"/>
        <v>n.é.</v>
      </c>
    </row>
    <row r="177" spans="1:14" ht="20.100000000000001" hidden="1" customHeight="1" x14ac:dyDescent="0.2">
      <c r="A177" s="285" t="s">
        <v>780</v>
      </c>
      <c r="B177" s="266" t="s">
        <v>152</v>
      </c>
      <c r="C177" s="268" t="s">
        <v>128</v>
      </c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299" t="str">
        <f t="shared" si="56"/>
        <v>n.é.</v>
      </c>
    </row>
    <row r="178" spans="1:14" ht="20.100000000000001" hidden="1" customHeight="1" x14ac:dyDescent="0.2">
      <c r="A178" s="285" t="s">
        <v>781</v>
      </c>
      <c r="B178" s="266" t="s">
        <v>153</v>
      </c>
      <c r="C178" s="268" t="s">
        <v>129</v>
      </c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299" t="str">
        <f t="shared" si="56"/>
        <v>n.é.</v>
      </c>
    </row>
    <row r="179" spans="1:14" ht="20.100000000000001" hidden="1" customHeight="1" x14ac:dyDescent="0.2">
      <c r="A179" s="285" t="s">
        <v>782</v>
      </c>
      <c r="B179" s="266" t="s">
        <v>154</v>
      </c>
      <c r="C179" s="268" t="s">
        <v>130</v>
      </c>
      <c r="D179" s="304"/>
      <c r="E179" s="304"/>
      <c r="F179" s="304"/>
      <c r="G179" s="304"/>
      <c r="H179" s="298"/>
      <c r="I179" s="298"/>
      <c r="J179" s="298"/>
      <c r="K179" s="298"/>
      <c r="L179" s="298"/>
      <c r="M179" s="298"/>
      <c r="N179" s="299" t="str">
        <f t="shared" si="56"/>
        <v>n.é.</v>
      </c>
    </row>
    <row r="180" spans="1:14" s="3" customFormat="1" ht="20.100000000000001" customHeight="1" x14ac:dyDescent="0.2">
      <c r="A180" s="289" t="s">
        <v>783</v>
      </c>
      <c r="B180" s="290" t="s">
        <v>830</v>
      </c>
      <c r="C180" s="314" t="s">
        <v>60</v>
      </c>
      <c r="D180" s="303">
        <f>E180+G180</f>
        <v>0</v>
      </c>
      <c r="E180" s="303">
        <f t="shared" ref="E180:M180" si="57">SUM(E173:E179)</f>
        <v>0</v>
      </c>
      <c r="F180" s="303">
        <f t="shared" si="57"/>
        <v>0</v>
      </c>
      <c r="G180" s="303">
        <f t="shared" si="57"/>
        <v>0</v>
      </c>
      <c r="H180" s="303">
        <f t="shared" si="57"/>
        <v>0</v>
      </c>
      <c r="I180" s="303">
        <f t="shared" si="57"/>
        <v>0</v>
      </c>
      <c r="J180" s="303">
        <f t="shared" si="57"/>
        <v>0</v>
      </c>
      <c r="K180" s="303">
        <f t="shared" si="57"/>
        <v>0</v>
      </c>
      <c r="L180" s="303">
        <f t="shared" si="57"/>
        <v>0</v>
      </c>
      <c r="M180" s="303">
        <f t="shared" si="57"/>
        <v>0</v>
      </c>
      <c r="N180" s="286" t="str">
        <f t="shared" si="56"/>
        <v>n.é.</v>
      </c>
    </row>
    <row r="181" spans="1:14" ht="20.100000000000001" hidden="1" customHeight="1" x14ac:dyDescent="0.2">
      <c r="A181" s="285" t="s">
        <v>784</v>
      </c>
      <c r="B181" s="272" t="s">
        <v>167</v>
      </c>
      <c r="C181" s="268" t="s">
        <v>155</v>
      </c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299" t="str">
        <f t="shared" si="56"/>
        <v>n.é.</v>
      </c>
    </row>
    <row r="182" spans="1:14" ht="20.100000000000001" hidden="1" customHeight="1" x14ac:dyDescent="0.2">
      <c r="A182" s="285" t="s">
        <v>785</v>
      </c>
      <c r="B182" s="272" t="s">
        <v>168</v>
      </c>
      <c r="C182" s="268" t="s">
        <v>156</v>
      </c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299" t="str">
        <f t="shared" si="56"/>
        <v>n.é.</v>
      </c>
    </row>
    <row r="183" spans="1:14" ht="20.100000000000001" hidden="1" customHeight="1" x14ac:dyDescent="0.2">
      <c r="A183" s="285" t="s">
        <v>786</v>
      </c>
      <c r="B183" s="272" t="s">
        <v>169</v>
      </c>
      <c r="C183" s="268" t="s">
        <v>157</v>
      </c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299" t="str">
        <f t="shared" si="56"/>
        <v>n.é.</v>
      </c>
    </row>
    <row r="184" spans="1:14" ht="20.100000000000001" hidden="1" customHeight="1" x14ac:dyDescent="0.2">
      <c r="A184" s="285" t="s">
        <v>787</v>
      </c>
      <c r="B184" s="272" t="s">
        <v>170</v>
      </c>
      <c r="C184" s="268" t="s">
        <v>158</v>
      </c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299" t="str">
        <f t="shared" si="56"/>
        <v>n.é.</v>
      </c>
    </row>
    <row r="185" spans="1:14" s="3" customFormat="1" ht="20.100000000000001" customHeight="1" x14ac:dyDescent="0.2">
      <c r="A185" s="289" t="s">
        <v>788</v>
      </c>
      <c r="B185" s="310" t="s">
        <v>831</v>
      </c>
      <c r="C185" s="314" t="s">
        <v>61</v>
      </c>
      <c r="D185" s="303">
        <f>E185+G185</f>
        <v>0</v>
      </c>
      <c r="E185" s="303">
        <f t="shared" ref="E185:M185" si="58">SUM(E181:E184)</f>
        <v>0</v>
      </c>
      <c r="F185" s="303">
        <f t="shared" si="58"/>
        <v>0</v>
      </c>
      <c r="G185" s="303">
        <f t="shared" si="58"/>
        <v>0</v>
      </c>
      <c r="H185" s="303">
        <f t="shared" si="58"/>
        <v>0</v>
      </c>
      <c r="I185" s="303">
        <f t="shared" si="58"/>
        <v>0</v>
      </c>
      <c r="J185" s="303">
        <f t="shared" si="58"/>
        <v>0</v>
      </c>
      <c r="K185" s="303">
        <f t="shared" si="58"/>
        <v>0</v>
      </c>
      <c r="L185" s="303">
        <f t="shared" si="58"/>
        <v>0</v>
      </c>
      <c r="M185" s="303">
        <f t="shared" si="58"/>
        <v>0</v>
      </c>
      <c r="N185" s="286" t="str">
        <f t="shared" si="56"/>
        <v>n.é.</v>
      </c>
    </row>
    <row r="186" spans="1:14" ht="20.100000000000001" hidden="1" customHeight="1" x14ac:dyDescent="0.2">
      <c r="A186" s="285" t="s">
        <v>789</v>
      </c>
      <c r="B186" s="272" t="s">
        <v>416</v>
      </c>
      <c r="C186" s="268" t="s">
        <v>159</v>
      </c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299" t="str">
        <f t="shared" si="56"/>
        <v>n.é.</v>
      </c>
    </row>
    <row r="187" spans="1:14" ht="20.100000000000001" hidden="1" customHeight="1" x14ac:dyDescent="0.2">
      <c r="A187" s="285" t="s">
        <v>790</v>
      </c>
      <c r="B187" s="272" t="s">
        <v>417</v>
      </c>
      <c r="C187" s="268" t="s">
        <v>160</v>
      </c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299" t="str">
        <f t="shared" si="56"/>
        <v>n.é.</v>
      </c>
    </row>
    <row r="188" spans="1:14" ht="20.100000000000001" hidden="1" customHeight="1" x14ac:dyDescent="0.2">
      <c r="A188" s="285" t="s">
        <v>791</v>
      </c>
      <c r="B188" s="272" t="s">
        <v>418</v>
      </c>
      <c r="C188" s="268" t="s">
        <v>161</v>
      </c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299" t="str">
        <f t="shared" si="56"/>
        <v>n.é.</v>
      </c>
    </row>
    <row r="189" spans="1:14" ht="20.100000000000001" hidden="1" customHeight="1" x14ac:dyDescent="0.2">
      <c r="A189" s="285" t="s">
        <v>792</v>
      </c>
      <c r="B189" s="272" t="s">
        <v>171</v>
      </c>
      <c r="C189" s="268" t="s">
        <v>162</v>
      </c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299" t="str">
        <f t="shared" si="56"/>
        <v>n.é.</v>
      </c>
    </row>
    <row r="190" spans="1:14" ht="20.100000000000001" hidden="1" customHeight="1" x14ac:dyDescent="0.2">
      <c r="A190" s="285" t="s">
        <v>793</v>
      </c>
      <c r="B190" s="272" t="s">
        <v>419</v>
      </c>
      <c r="C190" s="268" t="s">
        <v>163</v>
      </c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299" t="str">
        <f t="shared" si="56"/>
        <v>n.é.</v>
      </c>
    </row>
    <row r="191" spans="1:14" ht="20.100000000000001" hidden="1" customHeight="1" x14ac:dyDescent="0.2">
      <c r="A191" s="285" t="s">
        <v>794</v>
      </c>
      <c r="B191" s="272" t="s">
        <v>420</v>
      </c>
      <c r="C191" s="268" t="s">
        <v>164</v>
      </c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299" t="str">
        <f t="shared" si="56"/>
        <v>n.é.</v>
      </c>
    </row>
    <row r="192" spans="1:14" ht="20.100000000000001" hidden="1" customHeight="1" x14ac:dyDescent="0.2">
      <c r="A192" s="285" t="s">
        <v>795</v>
      </c>
      <c r="B192" s="272" t="s">
        <v>172</v>
      </c>
      <c r="C192" s="268" t="s">
        <v>165</v>
      </c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299" t="str">
        <f t="shared" si="56"/>
        <v>n.é.</v>
      </c>
    </row>
    <row r="193" spans="1:14" ht="20.100000000000001" hidden="1" customHeight="1" x14ac:dyDescent="0.2">
      <c r="A193" s="285" t="s">
        <v>796</v>
      </c>
      <c r="B193" s="272" t="s">
        <v>741</v>
      </c>
      <c r="C193" s="268" t="s">
        <v>166</v>
      </c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299" t="str">
        <f t="shared" si="56"/>
        <v>n.é.</v>
      </c>
    </row>
    <row r="194" spans="1:14" ht="20.100000000000001" hidden="1" customHeight="1" x14ac:dyDescent="0.2">
      <c r="A194" s="285" t="s">
        <v>797</v>
      </c>
      <c r="B194" s="272" t="s">
        <v>173</v>
      </c>
      <c r="C194" s="268" t="s">
        <v>742</v>
      </c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299" t="str">
        <f t="shared" si="56"/>
        <v>n.é.</v>
      </c>
    </row>
    <row r="195" spans="1:14" ht="20.100000000000001" customHeight="1" x14ac:dyDescent="0.2">
      <c r="A195" s="289" t="s">
        <v>798</v>
      </c>
      <c r="B195" s="310" t="s">
        <v>832</v>
      </c>
      <c r="C195" s="314" t="s">
        <v>62</v>
      </c>
      <c r="D195" s="303">
        <f>E195+G195</f>
        <v>0</v>
      </c>
      <c r="E195" s="303">
        <f t="shared" ref="E195:M195" si="59">SUM(E186:E194)</f>
        <v>0</v>
      </c>
      <c r="F195" s="303">
        <f t="shared" si="59"/>
        <v>0</v>
      </c>
      <c r="G195" s="303">
        <f t="shared" si="59"/>
        <v>0</v>
      </c>
      <c r="H195" s="303">
        <f t="shared" si="59"/>
        <v>0</v>
      </c>
      <c r="I195" s="303">
        <f t="shared" si="59"/>
        <v>0</v>
      </c>
      <c r="J195" s="303">
        <f t="shared" si="59"/>
        <v>0</v>
      </c>
      <c r="K195" s="303">
        <f t="shared" si="59"/>
        <v>0</v>
      </c>
      <c r="L195" s="303">
        <f t="shared" si="59"/>
        <v>0</v>
      </c>
      <c r="M195" s="303">
        <f t="shared" si="59"/>
        <v>0</v>
      </c>
      <c r="N195" s="286" t="str">
        <f t="shared" si="56"/>
        <v>n.é.</v>
      </c>
    </row>
    <row r="196" spans="1:14" s="3" customFormat="1" ht="20.100000000000001" customHeight="1" x14ac:dyDescent="0.2">
      <c r="A196" s="323" t="s">
        <v>799</v>
      </c>
      <c r="B196" s="324" t="s">
        <v>833</v>
      </c>
      <c r="C196" s="271" t="s">
        <v>174</v>
      </c>
      <c r="D196" s="326">
        <f>E196+F196+G196</f>
        <v>105397741</v>
      </c>
      <c r="E196" s="326">
        <f t="shared" ref="E196:M196" si="60">E121+E122+E147+E156+E172+E180+E185+E195</f>
        <v>53209299</v>
      </c>
      <c r="F196" s="326">
        <f t="shared" si="60"/>
        <v>20271811</v>
      </c>
      <c r="G196" s="326">
        <f t="shared" si="60"/>
        <v>31916631</v>
      </c>
      <c r="H196" s="326">
        <f t="shared" si="60"/>
        <v>115732845</v>
      </c>
      <c r="I196" s="326">
        <f t="shared" si="60"/>
        <v>0</v>
      </c>
      <c r="J196" s="326">
        <f t="shared" si="60"/>
        <v>0</v>
      </c>
      <c r="K196" s="326">
        <f t="shared" si="60"/>
        <v>0</v>
      </c>
      <c r="L196" s="326">
        <f t="shared" si="60"/>
        <v>0</v>
      </c>
      <c r="M196" s="326">
        <f t="shared" si="60"/>
        <v>87290384</v>
      </c>
      <c r="N196" s="322">
        <f t="shared" si="56"/>
        <v>0.75424037143474698</v>
      </c>
    </row>
    <row r="197" spans="1:14" ht="20.100000000000001" hidden="1" customHeight="1" x14ac:dyDescent="0.2">
      <c r="A197" s="285" t="s">
        <v>800</v>
      </c>
      <c r="B197" s="272" t="s">
        <v>743</v>
      </c>
      <c r="C197" s="267" t="s">
        <v>381</v>
      </c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286" t="str">
        <f t="shared" si="56"/>
        <v>n.é.</v>
      </c>
    </row>
    <row r="198" spans="1:14" ht="20.100000000000001" hidden="1" customHeight="1" x14ac:dyDescent="0.2">
      <c r="A198" s="285" t="s">
        <v>801</v>
      </c>
      <c r="B198" s="272" t="s">
        <v>382</v>
      </c>
      <c r="C198" s="267" t="s">
        <v>383</v>
      </c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286" t="str">
        <f t="shared" si="56"/>
        <v>n.é.</v>
      </c>
    </row>
    <row r="199" spans="1:14" ht="20.100000000000001" hidden="1" customHeight="1" x14ac:dyDescent="0.2">
      <c r="A199" s="285" t="s">
        <v>802</v>
      </c>
      <c r="B199" s="272" t="s">
        <v>744</v>
      </c>
      <c r="C199" s="267" t="s">
        <v>384</v>
      </c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286" t="str">
        <f t="shared" si="56"/>
        <v>n.é.</v>
      </c>
    </row>
    <row r="200" spans="1:14" ht="20.100000000000001" customHeight="1" x14ac:dyDescent="0.2">
      <c r="A200" s="289" t="s">
        <v>803</v>
      </c>
      <c r="B200" s="310" t="s">
        <v>834</v>
      </c>
      <c r="C200" s="291" t="s">
        <v>385</v>
      </c>
      <c r="D200" s="303">
        <f>E200+G200</f>
        <v>0</v>
      </c>
      <c r="E200" s="287">
        <f t="shared" ref="E200:M200" si="61">SUM(E197:E199)</f>
        <v>0</v>
      </c>
      <c r="F200" s="287">
        <f t="shared" si="61"/>
        <v>0</v>
      </c>
      <c r="G200" s="287">
        <f t="shared" si="61"/>
        <v>0</v>
      </c>
      <c r="H200" s="287">
        <f t="shared" si="61"/>
        <v>0</v>
      </c>
      <c r="I200" s="287">
        <f t="shared" si="61"/>
        <v>0</v>
      </c>
      <c r="J200" s="287">
        <f t="shared" si="61"/>
        <v>0</v>
      </c>
      <c r="K200" s="287">
        <f t="shared" si="61"/>
        <v>0</v>
      </c>
      <c r="L200" s="287">
        <f t="shared" si="61"/>
        <v>0</v>
      </c>
      <c r="M200" s="287">
        <f t="shared" si="61"/>
        <v>0</v>
      </c>
      <c r="N200" s="286" t="str">
        <f t="shared" si="56"/>
        <v>n.é.</v>
      </c>
    </row>
    <row r="201" spans="1:14" ht="20.100000000000001" hidden="1" customHeight="1" x14ac:dyDescent="0.2">
      <c r="A201" s="285" t="s">
        <v>804</v>
      </c>
      <c r="B201" s="266" t="s">
        <v>386</v>
      </c>
      <c r="C201" s="267" t="s">
        <v>387</v>
      </c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286" t="str">
        <f t="shared" si="56"/>
        <v>n.é.</v>
      </c>
    </row>
    <row r="202" spans="1:14" ht="20.100000000000001" hidden="1" customHeight="1" x14ac:dyDescent="0.2">
      <c r="A202" s="285" t="s">
        <v>805</v>
      </c>
      <c r="B202" s="272" t="s">
        <v>389</v>
      </c>
      <c r="C202" s="267" t="s">
        <v>388</v>
      </c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286" t="str">
        <f t="shared" si="56"/>
        <v>n.é.</v>
      </c>
    </row>
    <row r="203" spans="1:14" ht="20.100000000000001" hidden="1" customHeight="1" x14ac:dyDescent="0.2">
      <c r="A203" s="285" t="s">
        <v>806</v>
      </c>
      <c r="B203" s="272" t="s">
        <v>745</v>
      </c>
      <c r="C203" s="267" t="s">
        <v>390</v>
      </c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286" t="str">
        <f t="shared" si="56"/>
        <v>n.é.</v>
      </c>
    </row>
    <row r="204" spans="1:14" ht="20.100000000000001" hidden="1" customHeight="1" x14ac:dyDescent="0.2">
      <c r="A204" s="285" t="s">
        <v>807</v>
      </c>
      <c r="B204" s="272" t="s">
        <v>746</v>
      </c>
      <c r="C204" s="267" t="s">
        <v>391</v>
      </c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286" t="str">
        <f t="shared" ref="N204:N226" si="62">IF(H204&gt;0,M204/H204,"n.é.")</f>
        <v>n.é.</v>
      </c>
    </row>
    <row r="205" spans="1:14" ht="20.100000000000001" hidden="1" customHeight="1" x14ac:dyDescent="0.2">
      <c r="A205" s="285" t="s">
        <v>808</v>
      </c>
      <c r="B205" s="272" t="s">
        <v>747</v>
      </c>
      <c r="C205" s="267" t="s">
        <v>748</v>
      </c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286" t="str">
        <f t="shared" si="62"/>
        <v>n.é.</v>
      </c>
    </row>
    <row r="206" spans="1:14" ht="20.100000000000001" customHeight="1" x14ac:dyDescent="0.2">
      <c r="A206" s="289" t="s">
        <v>809</v>
      </c>
      <c r="B206" s="290" t="s">
        <v>835</v>
      </c>
      <c r="C206" s="291" t="s">
        <v>392</v>
      </c>
      <c r="D206" s="303">
        <f>E206+G206</f>
        <v>0</v>
      </c>
      <c r="E206" s="287">
        <f t="shared" ref="E206:M206" si="63">SUM(E201:E205)</f>
        <v>0</v>
      </c>
      <c r="F206" s="287">
        <f t="shared" si="63"/>
        <v>0</v>
      </c>
      <c r="G206" s="287">
        <f t="shared" si="63"/>
        <v>0</v>
      </c>
      <c r="H206" s="287">
        <f t="shared" si="63"/>
        <v>0</v>
      </c>
      <c r="I206" s="287">
        <f t="shared" si="63"/>
        <v>0</v>
      </c>
      <c r="J206" s="287">
        <f t="shared" si="63"/>
        <v>0</v>
      </c>
      <c r="K206" s="287">
        <f t="shared" si="63"/>
        <v>0</v>
      </c>
      <c r="L206" s="287">
        <f t="shared" si="63"/>
        <v>0</v>
      </c>
      <c r="M206" s="287">
        <f t="shared" si="63"/>
        <v>0</v>
      </c>
      <c r="N206" s="286" t="str">
        <f t="shared" si="62"/>
        <v>n.é.</v>
      </c>
    </row>
    <row r="207" spans="1:14" ht="20.100000000000001" hidden="1" customHeight="1" x14ac:dyDescent="0.2">
      <c r="A207" s="285" t="s">
        <v>810</v>
      </c>
      <c r="B207" s="266" t="s">
        <v>393</v>
      </c>
      <c r="C207" s="267" t="s">
        <v>394</v>
      </c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288" t="str">
        <f t="shared" si="62"/>
        <v>n.é.</v>
      </c>
    </row>
    <row r="208" spans="1:14" ht="20.100000000000001" hidden="1" customHeight="1" x14ac:dyDescent="0.2">
      <c r="A208" s="285" t="s">
        <v>811</v>
      </c>
      <c r="B208" s="266" t="s">
        <v>395</v>
      </c>
      <c r="C208" s="267" t="s">
        <v>396</v>
      </c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288" t="str">
        <f t="shared" si="62"/>
        <v>n.é.</v>
      </c>
    </row>
    <row r="209" spans="1:14" ht="20.100000000000001" hidden="1" customHeight="1" x14ac:dyDescent="0.2">
      <c r="A209" s="285" t="s">
        <v>812</v>
      </c>
      <c r="B209" s="266" t="s">
        <v>397</v>
      </c>
      <c r="C209" s="267" t="s">
        <v>398</v>
      </c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288" t="str">
        <f t="shared" si="62"/>
        <v>n.é.</v>
      </c>
    </row>
    <row r="210" spans="1:14" ht="20.100000000000001" hidden="1" customHeight="1" x14ac:dyDescent="0.2">
      <c r="A210" s="285" t="s">
        <v>813</v>
      </c>
      <c r="B210" s="266" t="s">
        <v>749</v>
      </c>
      <c r="C210" s="267" t="s">
        <v>399</v>
      </c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288" t="str">
        <f t="shared" si="62"/>
        <v>n.é.</v>
      </c>
    </row>
    <row r="211" spans="1:14" ht="20.100000000000001" hidden="1" customHeight="1" x14ac:dyDescent="0.2">
      <c r="A211" s="285" t="s">
        <v>814</v>
      </c>
      <c r="B211" s="266" t="s">
        <v>400</v>
      </c>
      <c r="C211" s="267" t="s">
        <v>401</v>
      </c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288" t="str">
        <f t="shared" si="62"/>
        <v>n.é.</v>
      </c>
    </row>
    <row r="212" spans="1:14" ht="20.100000000000001" hidden="1" customHeight="1" x14ac:dyDescent="0.2">
      <c r="A212" s="285" t="s">
        <v>815</v>
      </c>
      <c r="B212" s="266" t="s">
        <v>402</v>
      </c>
      <c r="C212" s="267" t="s">
        <v>403</v>
      </c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288" t="str">
        <f t="shared" si="62"/>
        <v>n.é.</v>
      </c>
    </row>
    <row r="213" spans="1:14" ht="20.100000000000001" hidden="1" customHeight="1" x14ac:dyDescent="0.2">
      <c r="A213" s="285" t="s">
        <v>816</v>
      </c>
      <c r="B213" s="266" t="s">
        <v>752</v>
      </c>
      <c r="C213" s="267" t="s">
        <v>753</v>
      </c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288" t="str">
        <f t="shared" si="62"/>
        <v>n.é.</v>
      </c>
    </row>
    <row r="214" spans="1:14" ht="20.100000000000001" hidden="1" customHeight="1" x14ac:dyDescent="0.2">
      <c r="A214" s="285" t="s">
        <v>817</v>
      </c>
      <c r="B214" s="266" t="s">
        <v>751</v>
      </c>
      <c r="C214" s="267" t="s">
        <v>754</v>
      </c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288" t="str">
        <f t="shared" si="62"/>
        <v>n.é.</v>
      </c>
    </row>
    <row r="215" spans="1:14" s="3" customFormat="1" ht="20.100000000000001" customHeight="1" x14ac:dyDescent="0.2">
      <c r="A215" s="289" t="s">
        <v>818</v>
      </c>
      <c r="B215" s="290" t="s">
        <v>836</v>
      </c>
      <c r="C215" s="291" t="s">
        <v>750</v>
      </c>
      <c r="D215" s="334">
        <f>E215+G215</f>
        <v>0</v>
      </c>
      <c r="E215" s="292">
        <f t="shared" ref="E215:M215" si="64">SUM(E213:E214)</f>
        <v>0</v>
      </c>
      <c r="F215" s="292">
        <f t="shared" si="64"/>
        <v>0</v>
      </c>
      <c r="G215" s="292">
        <f t="shared" si="64"/>
        <v>0</v>
      </c>
      <c r="H215" s="292">
        <f t="shared" si="64"/>
        <v>0</v>
      </c>
      <c r="I215" s="292">
        <f t="shared" si="64"/>
        <v>0</v>
      </c>
      <c r="J215" s="292">
        <f t="shared" si="64"/>
        <v>0</v>
      </c>
      <c r="K215" s="292">
        <f t="shared" si="64"/>
        <v>0</v>
      </c>
      <c r="L215" s="292">
        <f t="shared" si="64"/>
        <v>0</v>
      </c>
      <c r="M215" s="292">
        <f t="shared" si="64"/>
        <v>0</v>
      </c>
      <c r="N215" s="286" t="str">
        <f t="shared" si="62"/>
        <v>n.é.</v>
      </c>
    </row>
    <row r="216" spans="1:14" ht="20.100000000000001" customHeight="1" x14ac:dyDescent="0.2">
      <c r="A216" s="289" t="s">
        <v>819</v>
      </c>
      <c r="B216" s="290" t="s">
        <v>837</v>
      </c>
      <c r="C216" s="291" t="s">
        <v>404</v>
      </c>
      <c r="D216" s="303">
        <f>E216+G216</f>
        <v>0</v>
      </c>
      <c r="E216" s="287">
        <f t="shared" ref="E216:M216" si="65">E200+SUM(E206:E212)+E215</f>
        <v>0</v>
      </c>
      <c r="F216" s="287">
        <f t="shared" si="65"/>
        <v>0</v>
      </c>
      <c r="G216" s="287">
        <f t="shared" si="65"/>
        <v>0</v>
      </c>
      <c r="H216" s="287">
        <f t="shared" si="65"/>
        <v>0</v>
      </c>
      <c r="I216" s="287">
        <f t="shared" si="65"/>
        <v>0</v>
      </c>
      <c r="J216" s="287">
        <f t="shared" si="65"/>
        <v>0</v>
      </c>
      <c r="K216" s="287">
        <f t="shared" si="65"/>
        <v>0</v>
      </c>
      <c r="L216" s="287">
        <f t="shared" si="65"/>
        <v>0</v>
      </c>
      <c r="M216" s="287">
        <f t="shared" si="65"/>
        <v>0</v>
      </c>
      <c r="N216" s="286" t="str">
        <f t="shared" si="62"/>
        <v>n.é.</v>
      </c>
    </row>
    <row r="217" spans="1:14" ht="20.100000000000001" hidden="1" customHeight="1" x14ac:dyDescent="0.2">
      <c r="A217" s="285" t="s">
        <v>820</v>
      </c>
      <c r="B217" s="266" t="s">
        <v>405</v>
      </c>
      <c r="C217" s="267" t="s">
        <v>406</v>
      </c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286" t="str">
        <f t="shared" si="62"/>
        <v>n.é.</v>
      </c>
    </row>
    <row r="218" spans="1:14" ht="20.100000000000001" hidden="1" customHeight="1" x14ac:dyDescent="0.2">
      <c r="A218" s="285" t="s">
        <v>821</v>
      </c>
      <c r="B218" s="272" t="s">
        <v>407</v>
      </c>
      <c r="C218" s="267" t="s">
        <v>408</v>
      </c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286" t="str">
        <f t="shared" si="62"/>
        <v>n.é.</v>
      </c>
    </row>
    <row r="219" spans="1:14" ht="20.100000000000001" hidden="1" customHeight="1" x14ac:dyDescent="0.2">
      <c r="A219" s="285" t="s">
        <v>822</v>
      </c>
      <c r="B219" s="266" t="s">
        <v>409</v>
      </c>
      <c r="C219" s="267" t="s">
        <v>410</v>
      </c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286" t="str">
        <f t="shared" si="62"/>
        <v>n.é.</v>
      </c>
    </row>
    <row r="220" spans="1:14" ht="20.100000000000001" hidden="1" customHeight="1" x14ac:dyDescent="0.2">
      <c r="A220" s="285" t="s">
        <v>823</v>
      </c>
      <c r="B220" s="266" t="s">
        <v>757</v>
      </c>
      <c r="C220" s="267" t="s">
        <v>411</v>
      </c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286" t="str">
        <f t="shared" si="62"/>
        <v>n.é.</v>
      </c>
    </row>
    <row r="221" spans="1:14" ht="20.100000000000001" hidden="1" customHeight="1" x14ac:dyDescent="0.2">
      <c r="A221" s="285" t="s">
        <v>824</v>
      </c>
      <c r="B221" s="266" t="s">
        <v>755</v>
      </c>
      <c r="C221" s="267" t="s">
        <v>756</v>
      </c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286" t="str">
        <f t="shared" si="62"/>
        <v>n.é.</v>
      </c>
    </row>
    <row r="222" spans="1:14" s="3" customFormat="1" ht="20.100000000000001" customHeight="1" x14ac:dyDescent="0.2">
      <c r="A222" s="289" t="s">
        <v>825</v>
      </c>
      <c r="B222" s="290" t="s">
        <v>838</v>
      </c>
      <c r="C222" s="291" t="s">
        <v>412</v>
      </c>
      <c r="D222" s="303">
        <f>E222+G222</f>
        <v>0</v>
      </c>
      <c r="E222" s="287">
        <f t="shared" ref="E222:M222" si="66">SUM(E217:E221)</f>
        <v>0</v>
      </c>
      <c r="F222" s="287">
        <f t="shared" si="66"/>
        <v>0</v>
      </c>
      <c r="G222" s="287">
        <f t="shared" si="66"/>
        <v>0</v>
      </c>
      <c r="H222" s="287">
        <f t="shared" si="66"/>
        <v>0</v>
      </c>
      <c r="I222" s="287">
        <f t="shared" si="66"/>
        <v>0</v>
      </c>
      <c r="J222" s="287">
        <f t="shared" si="66"/>
        <v>0</v>
      </c>
      <c r="K222" s="287">
        <f t="shared" si="66"/>
        <v>0</v>
      </c>
      <c r="L222" s="287">
        <f t="shared" si="66"/>
        <v>0</v>
      </c>
      <c r="M222" s="287">
        <f t="shared" si="66"/>
        <v>0</v>
      </c>
      <c r="N222" s="286" t="str">
        <f t="shared" si="62"/>
        <v>n.é.</v>
      </c>
    </row>
    <row r="223" spans="1:14" ht="20.100000000000001" hidden="1" customHeight="1" x14ac:dyDescent="0.2">
      <c r="A223" s="285" t="s">
        <v>826</v>
      </c>
      <c r="B223" s="272" t="s">
        <v>413</v>
      </c>
      <c r="C223" s="267" t="s">
        <v>414</v>
      </c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288" t="str">
        <f t="shared" si="62"/>
        <v>n.é.</v>
      </c>
    </row>
    <row r="224" spans="1:14" ht="20.100000000000001" hidden="1" customHeight="1" x14ac:dyDescent="0.2">
      <c r="A224" s="285" t="s">
        <v>827</v>
      </c>
      <c r="B224" s="272" t="s">
        <v>758</v>
      </c>
      <c r="C224" s="267" t="s">
        <v>759</v>
      </c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288" t="str">
        <f t="shared" si="62"/>
        <v>n.é.</v>
      </c>
    </row>
    <row r="225" spans="1:14" s="3" customFormat="1" ht="20.100000000000001" customHeight="1" x14ac:dyDescent="0.2">
      <c r="A225" s="323" t="s">
        <v>828</v>
      </c>
      <c r="B225" s="324" t="s">
        <v>839</v>
      </c>
      <c r="C225" s="325" t="s">
        <v>415</v>
      </c>
      <c r="D225" s="326">
        <f>E225+G225</f>
        <v>0</v>
      </c>
      <c r="E225" s="321">
        <f t="shared" ref="E225:G225" si="67">E216+E222+E223+E224</f>
        <v>0</v>
      </c>
      <c r="F225" s="321">
        <f t="shared" ref="F225" si="68">F216+F222+F223+F224</f>
        <v>0</v>
      </c>
      <c r="G225" s="321">
        <f t="shared" si="67"/>
        <v>0</v>
      </c>
      <c r="H225" s="321">
        <f t="shared" ref="H225" si="69">H216+H222+H223+H224</f>
        <v>0</v>
      </c>
      <c r="I225" s="321">
        <f t="shared" ref="I225" si="70">I216+I222+I223+I224</f>
        <v>0</v>
      </c>
      <c r="J225" s="321">
        <f t="shared" ref="J225" si="71">J216+J222+J223+J224</f>
        <v>0</v>
      </c>
      <c r="K225" s="321">
        <f t="shared" ref="K225" si="72">K216+K222+K223+K224</f>
        <v>0</v>
      </c>
      <c r="L225" s="321">
        <f t="shared" ref="L225" si="73">L216+L222+L223+L224</f>
        <v>0</v>
      </c>
      <c r="M225" s="321">
        <f t="shared" ref="M225" si="74">M216+M222+M223+M224</f>
        <v>0</v>
      </c>
      <c r="N225" s="322" t="str">
        <f t="shared" si="62"/>
        <v>n.é.</v>
      </c>
    </row>
    <row r="226" spans="1:14" s="3" customFormat="1" ht="20.100000000000001" customHeight="1" x14ac:dyDescent="0.2">
      <c r="A226" s="261" t="s">
        <v>829</v>
      </c>
      <c r="B226" s="262" t="s">
        <v>840</v>
      </c>
      <c r="C226" s="263"/>
      <c r="D226" s="339">
        <f>E226+F226+G226</f>
        <v>105397741</v>
      </c>
      <c r="E226" s="319">
        <f t="shared" ref="E226" si="75">E196+E225</f>
        <v>53209299</v>
      </c>
      <c r="F226" s="319">
        <f t="shared" ref="F226" si="76">F196+F225</f>
        <v>20271811</v>
      </c>
      <c r="G226" s="319">
        <f t="shared" ref="G226" si="77">G196+G225</f>
        <v>31916631</v>
      </c>
      <c r="H226" s="319">
        <f t="shared" ref="H226:M226" si="78">H196+H225</f>
        <v>115732845</v>
      </c>
      <c r="I226" s="319">
        <f t="shared" si="78"/>
        <v>0</v>
      </c>
      <c r="J226" s="319">
        <f t="shared" si="78"/>
        <v>0</v>
      </c>
      <c r="K226" s="319">
        <f t="shared" si="78"/>
        <v>0</v>
      </c>
      <c r="L226" s="319">
        <f t="shared" si="78"/>
        <v>0</v>
      </c>
      <c r="M226" s="319">
        <f t="shared" si="78"/>
        <v>87290384</v>
      </c>
      <c r="N226" s="320">
        <f t="shared" si="62"/>
        <v>0.75424037143474698</v>
      </c>
    </row>
    <row r="228" spans="1:14" x14ac:dyDescent="0.2">
      <c r="C228" s="187"/>
      <c r="D228" s="183">
        <f>D226-D102</f>
        <v>0</v>
      </c>
      <c r="E228" s="183">
        <f>E226-E102</f>
        <v>0</v>
      </c>
      <c r="F228" s="183">
        <f>F226-F102</f>
        <v>0</v>
      </c>
      <c r="G228" s="183">
        <f>G226-G102</f>
        <v>0</v>
      </c>
      <c r="H228" s="183">
        <f>H226-H102</f>
        <v>0</v>
      </c>
      <c r="I228" s="182"/>
      <c r="J228" s="182"/>
      <c r="K228" s="182"/>
      <c r="L228" s="182"/>
      <c r="M228" s="183">
        <f>M102-M226</f>
        <v>-4457279</v>
      </c>
      <c r="N228" s="184"/>
    </row>
  </sheetData>
  <autoFilter ref="A7:N226" xr:uid="{00000000-0009-0000-0000-000004000000}">
    <filterColumn colId="0" showButton="0"/>
    <filterColumn colId="1" showButton="0"/>
    <filterColumn colId="2" showButton="0"/>
    <filterColumn colId="3" showButton="0">
      <customFilters>
        <customFilter operator="notEqual" val=" "/>
      </customFilters>
    </filterColumn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1">
    <mergeCell ref="A1:N1"/>
    <mergeCell ref="A2:N2"/>
    <mergeCell ref="A3:N3"/>
    <mergeCell ref="A4:N4"/>
    <mergeCell ref="A5:A6"/>
    <mergeCell ref="B5:B6"/>
    <mergeCell ref="C5:C6"/>
    <mergeCell ref="D5:H5"/>
    <mergeCell ref="I5:L5"/>
    <mergeCell ref="M5:M6"/>
    <mergeCell ref="N5:N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30" fitToHeight="0" orientation="landscape" r:id="rId1"/>
  <headerFooter alignWithMargins="0">
    <oddFooter>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L231"/>
  <sheetViews>
    <sheetView showGridLines="0" view="pageBreakPreview" zoomScaleNormal="100" zoomScaleSheetLayoutView="100" workbookViewId="0">
      <pane xSplit="2" ySplit="7" topLeftCell="C107" activePane="bottomRight" state="frozen"/>
      <selection sqref="A1:BK1"/>
      <selection pane="topRight" sqref="A1:BK1"/>
      <selection pane="bottomLeft" sqref="A1:BK1"/>
      <selection pane="bottomRight" sqref="A1:K1"/>
    </sheetView>
  </sheetViews>
  <sheetFormatPr defaultColWidth="9.140625" defaultRowHeight="12.75" x14ac:dyDescent="0.2"/>
  <cols>
    <col min="1" max="1" width="4.85546875" style="4" customWidth="1"/>
    <col min="2" max="2" width="64.42578125" style="1" customWidth="1"/>
    <col min="3" max="3" width="6" style="1" customWidth="1"/>
    <col min="4" max="4" width="13.42578125" style="1" customWidth="1"/>
    <col min="5" max="5" width="13.28515625" style="1" customWidth="1"/>
    <col min="6" max="6" width="10.85546875" style="1" customWidth="1"/>
    <col min="7" max="7" width="12.28515625" style="1" customWidth="1"/>
    <col min="8" max="8" width="14.85546875" style="1" customWidth="1"/>
    <col min="9" max="9" width="14.42578125" style="1" customWidth="1"/>
    <col min="10" max="10" width="10.28515625" style="1" customWidth="1"/>
    <col min="11" max="11" width="8.140625" style="1" customWidth="1"/>
    <col min="12" max="20" width="2.7109375" style="1" customWidth="1"/>
    <col min="21" max="35" width="9.140625" style="1"/>
    <col min="36" max="36" width="10.28515625" style="1" customWidth="1"/>
    <col min="37" max="16384" width="9.140625" style="1"/>
  </cols>
  <sheetData>
    <row r="1" spans="1:12" ht="28.5" customHeight="1" x14ac:dyDescent="0.2">
      <c r="A1" s="423" t="s">
        <v>941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2" ht="28.5" customHeight="1" x14ac:dyDescent="0.2">
      <c r="A2" s="412" t="s">
        <v>881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2" ht="15" customHeight="1" x14ac:dyDescent="0.2">
      <c r="A3" s="414" t="s">
        <v>474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2" ht="15.95" customHeight="1" x14ac:dyDescent="0.2">
      <c r="A4" s="416" t="s">
        <v>659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2"/>
    </row>
    <row r="5" spans="1:12" ht="15.95" customHeight="1" x14ac:dyDescent="0.2">
      <c r="A5" s="418" t="s">
        <v>441</v>
      </c>
      <c r="B5" s="419" t="s">
        <v>26</v>
      </c>
      <c r="C5" s="420" t="s">
        <v>442</v>
      </c>
      <c r="D5" s="421" t="s">
        <v>469</v>
      </c>
      <c r="E5" s="421"/>
      <c r="F5" s="426" t="s">
        <v>661</v>
      </c>
      <c r="G5" s="427"/>
      <c r="H5" s="427"/>
      <c r="I5" s="427"/>
      <c r="J5" s="422" t="s">
        <v>438</v>
      </c>
      <c r="K5" s="422" t="s">
        <v>439</v>
      </c>
      <c r="L5" s="2"/>
    </row>
    <row r="6" spans="1:12" ht="39.75" customHeight="1" x14ac:dyDescent="0.2">
      <c r="A6" s="418"/>
      <c r="B6" s="419"/>
      <c r="C6" s="420"/>
      <c r="D6" s="281" t="s">
        <v>467</v>
      </c>
      <c r="E6" s="281" t="s">
        <v>468</v>
      </c>
      <c r="F6" s="337" t="s">
        <v>470</v>
      </c>
      <c r="G6" s="337" t="s">
        <v>473</v>
      </c>
      <c r="H6" s="337" t="s">
        <v>471</v>
      </c>
      <c r="I6" s="337" t="s">
        <v>472</v>
      </c>
      <c r="J6" s="422"/>
      <c r="K6" s="422"/>
    </row>
    <row r="7" spans="1:12" x14ac:dyDescent="0.2">
      <c r="A7" s="279" t="s">
        <v>176</v>
      </c>
      <c r="B7" s="280" t="s">
        <v>177</v>
      </c>
      <c r="C7" s="280" t="s">
        <v>178</v>
      </c>
      <c r="D7" s="280" t="s">
        <v>175</v>
      </c>
      <c r="E7" s="280" t="s">
        <v>440</v>
      </c>
      <c r="F7" s="280" t="s">
        <v>552</v>
      </c>
      <c r="G7" s="280" t="s">
        <v>553</v>
      </c>
      <c r="H7" s="280" t="s">
        <v>567</v>
      </c>
      <c r="I7" s="280" t="s">
        <v>568</v>
      </c>
      <c r="J7" s="280" t="s">
        <v>569</v>
      </c>
      <c r="K7" s="280" t="s">
        <v>570</v>
      </c>
    </row>
    <row r="8" spans="1:12" ht="20.100000000000001" customHeight="1" x14ac:dyDescent="0.2">
      <c r="A8" s="265" t="s">
        <v>0</v>
      </c>
      <c r="B8" s="307" t="s">
        <v>242</v>
      </c>
      <c r="C8" s="276" t="s">
        <v>243</v>
      </c>
      <c r="D8" s="304"/>
      <c r="E8" s="376"/>
      <c r="F8" s="304"/>
      <c r="G8" s="338" t="s">
        <v>853</v>
      </c>
      <c r="H8" s="304"/>
      <c r="I8" s="338" t="s">
        <v>853</v>
      </c>
      <c r="J8" s="304"/>
      <c r="K8" s="234" t="str">
        <f t="shared" ref="K8:K39" si="0">IF(E8&gt;0,J8/E8,"n.é.")</f>
        <v>n.é.</v>
      </c>
    </row>
    <row r="9" spans="1:12" ht="20.100000000000001" customHeight="1" x14ac:dyDescent="0.2">
      <c r="A9" s="265" t="s">
        <v>1</v>
      </c>
      <c r="B9" s="272" t="s">
        <v>244</v>
      </c>
      <c r="C9" s="276" t="s">
        <v>245</v>
      </c>
      <c r="D9" s="304"/>
      <c r="E9" s="376"/>
      <c r="F9" s="304"/>
      <c r="G9" s="211" t="s">
        <v>853</v>
      </c>
      <c r="H9" s="304"/>
      <c r="I9" s="211" t="s">
        <v>853</v>
      </c>
      <c r="J9" s="304"/>
      <c r="K9" s="234" t="str">
        <f t="shared" si="0"/>
        <v>n.é.</v>
      </c>
    </row>
    <row r="10" spans="1:12" ht="20.100000000000001" customHeight="1" x14ac:dyDescent="0.2">
      <c r="A10" s="265" t="s">
        <v>2</v>
      </c>
      <c r="B10" s="272" t="s">
        <v>246</v>
      </c>
      <c r="C10" s="276" t="s">
        <v>247</v>
      </c>
      <c r="D10" s="304"/>
      <c r="E10" s="376"/>
      <c r="F10" s="304"/>
      <c r="G10" s="211" t="s">
        <v>853</v>
      </c>
      <c r="H10" s="304"/>
      <c r="I10" s="211" t="s">
        <v>853</v>
      </c>
      <c r="J10" s="304"/>
      <c r="K10" s="234" t="str">
        <f t="shared" si="0"/>
        <v>n.é.</v>
      </c>
    </row>
    <row r="11" spans="1:12" ht="20.100000000000001" customHeight="1" x14ac:dyDescent="0.2">
      <c r="A11" s="265" t="s">
        <v>3</v>
      </c>
      <c r="B11" s="272" t="s">
        <v>248</v>
      </c>
      <c r="C11" s="276" t="s">
        <v>249</v>
      </c>
      <c r="D11" s="304"/>
      <c r="E11" s="376"/>
      <c r="F11" s="304"/>
      <c r="G11" s="211" t="s">
        <v>853</v>
      </c>
      <c r="H11" s="304"/>
      <c r="I11" s="211" t="s">
        <v>853</v>
      </c>
      <c r="J11" s="304"/>
      <c r="K11" s="234" t="str">
        <f t="shared" si="0"/>
        <v>n.é.</v>
      </c>
    </row>
    <row r="12" spans="1:12" ht="20.100000000000001" customHeight="1" x14ac:dyDescent="0.2">
      <c r="A12" s="265" t="s">
        <v>4</v>
      </c>
      <c r="B12" s="272" t="s">
        <v>666</v>
      </c>
      <c r="C12" s="276" t="s">
        <v>250</v>
      </c>
      <c r="D12" s="304"/>
      <c r="E12" s="376"/>
      <c r="F12" s="304"/>
      <c r="G12" s="211" t="s">
        <v>853</v>
      </c>
      <c r="H12" s="304"/>
      <c r="I12" s="211" t="s">
        <v>853</v>
      </c>
      <c r="J12" s="304"/>
      <c r="K12" s="234" t="str">
        <f t="shared" si="0"/>
        <v>n.é.</v>
      </c>
    </row>
    <row r="13" spans="1:12" ht="20.100000000000001" customHeight="1" x14ac:dyDescent="0.2">
      <c r="A13" s="265" t="s">
        <v>5</v>
      </c>
      <c r="B13" s="272" t="s">
        <v>667</v>
      </c>
      <c r="C13" s="276" t="s">
        <v>251</v>
      </c>
      <c r="D13" s="304"/>
      <c r="E13" s="376"/>
      <c r="F13" s="304"/>
      <c r="G13" s="211" t="s">
        <v>853</v>
      </c>
      <c r="H13" s="304"/>
      <c r="I13" s="211" t="s">
        <v>853</v>
      </c>
      <c r="J13" s="304"/>
      <c r="K13" s="234" t="str">
        <f t="shared" si="0"/>
        <v>n.é.</v>
      </c>
    </row>
    <row r="14" spans="1:12" s="3" customFormat="1" ht="20.100000000000001" customHeight="1" x14ac:dyDescent="0.2">
      <c r="A14" s="306" t="s">
        <v>6</v>
      </c>
      <c r="B14" s="310" t="s">
        <v>252</v>
      </c>
      <c r="C14" s="317" t="s">
        <v>253</v>
      </c>
      <c r="D14" s="303">
        <f>SUM(D8:D13)</f>
        <v>0</v>
      </c>
      <c r="E14" s="378">
        <f>SUM(E8:E13)</f>
        <v>0</v>
      </c>
      <c r="F14" s="303">
        <f>SUM(F8:F13)</f>
        <v>0</v>
      </c>
      <c r="G14" s="302" t="s">
        <v>853</v>
      </c>
      <c r="H14" s="303">
        <f>SUM(H8:H13)</f>
        <v>0</v>
      </c>
      <c r="I14" s="302" t="s">
        <v>853</v>
      </c>
      <c r="J14" s="303">
        <f>SUM(J8:J13)</f>
        <v>0</v>
      </c>
      <c r="K14" s="311" t="str">
        <f t="shared" si="0"/>
        <v>n.é.</v>
      </c>
    </row>
    <row r="15" spans="1:12" ht="20.100000000000001" customHeight="1" x14ac:dyDescent="0.2">
      <c r="A15" s="265" t="s">
        <v>7</v>
      </c>
      <c r="B15" s="272" t="s">
        <v>254</v>
      </c>
      <c r="C15" s="276" t="s">
        <v>255</v>
      </c>
      <c r="D15" s="304"/>
      <c r="E15" s="376"/>
      <c r="F15" s="304"/>
      <c r="G15" s="211" t="s">
        <v>853</v>
      </c>
      <c r="H15" s="304"/>
      <c r="I15" s="211" t="s">
        <v>853</v>
      </c>
      <c r="J15" s="304"/>
      <c r="K15" s="234" t="str">
        <f t="shared" si="0"/>
        <v>n.é.</v>
      </c>
    </row>
    <row r="16" spans="1:12" ht="20.100000000000001" customHeight="1" x14ac:dyDescent="0.2">
      <c r="A16" s="265" t="s">
        <v>8</v>
      </c>
      <c r="B16" s="272" t="s">
        <v>427</v>
      </c>
      <c r="C16" s="276" t="s">
        <v>256</v>
      </c>
      <c r="D16" s="304"/>
      <c r="E16" s="376"/>
      <c r="F16" s="304"/>
      <c r="G16" s="211" t="s">
        <v>853</v>
      </c>
      <c r="H16" s="304"/>
      <c r="I16" s="211" t="s">
        <v>853</v>
      </c>
      <c r="J16" s="304"/>
      <c r="K16" s="234" t="str">
        <f t="shared" si="0"/>
        <v>n.é.</v>
      </c>
    </row>
    <row r="17" spans="1:11" ht="20.100000000000001" customHeight="1" x14ac:dyDescent="0.2">
      <c r="A17" s="265" t="s">
        <v>9</v>
      </c>
      <c r="B17" s="272" t="s">
        <v>428</v>
      </c>
      <c r="C17" s="276" t="s">
        <v>257</v>
      </c>
      <c r="D17" s="304"/>
      <c r="E17" s="376"/>
      <c r="F17" s="304"/>
      <c r="G17" s="211" t="s">
        <v>853</v>
      </c>
      <c r="H17" s="304"/>
      <c r="I17" s="211" t="s">
        <v>853</v>
      </c>
      <c r="J17" s="304"/>
      <c r="K17" s="234" t="str">
        <f t="shared" si="0"/>
        <v>n.é.</v>
      </c>
    </row>
    <row r="18" spans="1:11" ht="20.100000000000001" customHeight="1" x14ac:dyDescent="0.2">
      <c r="A18" s="265" t="s">
        <v>10</v>
      </c>
      <c r="B18" s="272" t="s">
        <v>429</v>
      </c>
      <c r="C18" s="276" t="s">
        <v>258</v>
      </c>
      <c r="D18" s="304"/>
      <c r="E18" s="376"/>
      <c r="F18" s="304"/>
      <c r="G18" s="211" t="s">
        <v>853</v>
      </c>
      <c r="H18" s="304"/>
      <c r="I18" s="211" t="s">
        <v>853</v>
      </c>
      <c r="J18" s="304"/>
      <c r="K18" s="234" t="str">
        <f t="shared" si="0"/>
        <v>n.é.</v>
      </c>
    </row>
    <row r="19" spans="1:11" ht="20.100000000000001" customHeight="1" x14ac:dyDescent="0.2">
      <c r="A19" s="265" t="s">
        <v>11</v>
      </c>
      <c r="B19" s="272" t="s">
        <v>259</v>
      </c>
      <c r="C19" s="276" t="s">
        <v>260</v>
      </c>
      <c r="D19" s="304"/>
      <c r="E19" s="376"/>
      <c r="F19" s="304"/>
      <c r="G19" s="211" t="s">
        <v>853</v>
      </c>
      <c r="H19" s="304"/>
      <c r="I19" s="211" t="s">
        <v>853</v>
      </c>
      <c r="J19" s="304"/>
      <c r="K19" s="234" t="str">
        <f t="shared" si="0"/>
        <v>n.é.</v>
      </c>
    </row>
    <row r="20" spans="1:11" s="3" customFormat="1" ht="20.100000000000001" customHeight="1" x14ac:dyDescent="0.2">
      <c r="A20" s="306" t="s">
        <v>12</v>
      </c>
      <c r="B20" s="310" t="s">
        <v>261</v>
      </c>
      <c r="C20" s="317" t="s">
        <v>262</v>
      </c>
      <c r="D20" s="303">
        <f>SUM(D14:D19)</f>
        <v>0</v>
      </c>
      <c r="E20" s="378">
        <f>SUM(E14:E19)</f>
        <v>0</v>
      </c>
      <c r="F20" s="303">
        <f>SUM(F14:F19)</f>
        <v>0</v>
      </c>
      <c r="G20" s="302" t="s">
        <v>853</v>
      </c>
      <c r="H20" s="303">
        <f>SUM(H14:H19)</f>
        <v>0</v>
      </c>
      <c r="I20" s="302" t="s">
        <v>853</v>
      </c>
      <c r="J20" s="303">
        <f>SUM(J14:J19)</f>
        <v>0</v>
      </c>
      <c r="K20" s="311" t="str">
        <f t="shared" si="0"/>
        <v>n.é.</v>
      </c>
    </row>
    <row r="21" spans="1:11" ht="20.100000000000001" customHeight="1" x14ac:dyDescent="0.2">
      <c r="A21" s="265" t="s">
        <v>13</v>
      </c>
      <c r="B21" s="272" t="s">
        <v>263</v>
      </c>
      <c r="C21" s="276" t="s">
        <v>264</v>
      </c>
      <c r="D21" s="304"/>
      <c r="E21" s="376"/>
      <c r="F21" s="304"/>
      <c r="G21" s="211" t="s">
        <v>853</v>
      </c>
      <c r="H21" s="304"/>
      <c r="I21" s="211" t="s">
        <v>853</v>
      </c>
      <c r="J21" s="304"/>
      <c r="K21" s="234" t="str">
        <f t="shared" si="0"/>
        <v>n.é.</v>
      </c>
    </row>
    <row r="22" spans="1:11" ht="20.100000000000001" customHeight="1" x14ac:dyDescent="0.2">
      <c r="A22" s="265" t="s">
        <v>14</v>
      </c>
      <c r="B22" s="272" t="s">
        <v>430</v>
      </c>
      <c r="C22" s="276" t="s">
        <v>265</v>
      </c>
      <c r="D22" s="304"/>
      <c r="E22" s="376"/>
      <c r="F22" s="304"/>
      <c r="G22" s="211" t="s">
        <v>853</v>
      </c>
      <c r="H22" s="304"/>
      <c r="I22" s="211" t="s">
        <v>853</v>
      </c>
      <c r="J22" s="304"/>
      <c r="K22" s="234" t="str">
        <f t="shared" si="0"/>
        <v>n.é.</v>
      </c>
    </row>
    <row r="23" spans="1:11" ht="20.100000000000001" customHeight="1" x14ac:dyDescent="0.2">
      <c r="A23" s="265" t="s">
        <v>15</v>
      </c>
      <c r="B23" s="272" t="s">
        <v>431</v>
      </c>
      <c r="C23" s="276" t="s">
        <v>266</v>
      </c>
      <c r="D23" s="304"/>
      <c r="E23" s="376"/>
      <c r="F23" s="304"/>
      <c r="G23" s="211" t="s">
        <v>853</v>
      </c>
      <c r="H23" s="304"/>
      <c r="I23" s="211" t="s">
        <v>853</v>
      </c>
      <c r="J23" s="304"/>
      <c r="K23" s="234" t="str">
        <f t="shared" si="0"/>
        <v>n.é.</v>
      </c>
    </row>
    <row r="24" spans="1:11" ht="20.100000000000001" customHeight="1" x14ac:dyDescent="0.2">
      <c r="A24" s="265" t="s">
        <v>53</v>
      </c>
      <c r="B24" s="272" t="s">
        <v>432</v>
      </c>
      <c r="C24" s="276" t="s">
        <v>267</v>
      </c>
      <c r="D24" s="304"/>
      <c r="E24" s="376"/>
      <c r="F24" s="304"/>
      <c r="G24" s="211" t="s">
        <v>853</v>
      </c>
      <c r="H24" s="304"/>
      <c r="I24" s="211" t="s">
        <v>853</v>
      </c>
      <c r="J24" s="304"/>
      <c r="K24" s="234" t="str">
        <f t="shared" si="0"/>
        <v>n.é.</v>
      </c>
    </row>
    <row r="25" spans="1:11" ht="20.100000000000001" customHeight="1" x14ac:dyDescent="0.2">
      <c r="A25" s="265" t="s">
        <v>54</v>
      </c>
      <c r="B25" s="272" t="s">
        <v>268</v>
      </c>
      <c r="C25" s="276" t="s">
        <v>269</v>
      </c>
      <c r="D25" s="304"/>
      <c r="E25" s="376"/>
      <c r="F25" s="304"/>
      <c r="G25" s="211" t="s">
        <v>853</v>
      </c>
      <c r="H25" s="304"/>
      <c r="I25" s="211" t="s">
        <v>853</v>
      </c>
      <c r="J25" s="304"/>
      <c r="K25" s="234" t="str">
        <f t="shared" si="0"/>
        <v>n.é.</v>
      </c>
    </row>
    <row r="26" spans="1:11" s="3" customFormat="1" ht="20.100000000000001" customHeight="1" x14ac:dyDescent="0.2">
      <c r="A26" s="306" t="s">
        <v>55</v>
      </c>
      <c r="B26" s="310" t="s">
        <v>270</v>
      </c>
      <c r="C26" s="317" t="s">
        <v>271</v>
      </c>
      <c r="D26" s="303">
        <f>SUM(D21:D25)</f>
        <v>0</v>
      </c>
      <c r="E26" s="378">
        <f>SUM(E21:E25)</f>
        <v>0</v>
      </c>
      <c r="F26" s="303">
        <f>SUM(F21:F25)</f>
        <v>0</v>
      </c>
      <c r="G26" s="302" t="s">
        <v>853</v>
      </c>
      <c r="H26" s="303">
        <f>SUM(H21:H25)</f>
        <v>0</v>
      </c>
      <c r="I26" s="302" t="s">
        <v>853</v>
      </c>
      <c r="J26" s="303">
        <f>SUM(J21:J25)</f>
        <v>0</v>
      </c>
      <c r="K26" s="311" t="str">
        <f t="shared" si="0"/>
        <v>n.é.</v>
      </c>
    </row>
    <row r="27" spans="1:11" ht="20.100000000000001" customHeight="1" x14ac:dyDescent="0.2">
      <c r="A27" s="265" t="s">
        <v>56</v>
      </c>
      <c r="B27" s="272" t="s">
        <v>272</v>
      </c>
      <c r="C27" s="276" t="s">
        <v>273</v>
      </c>
      <c r="D27" s="304"/>
      <c r="E27" s="376"/>
      <c r="F27" s="309"/>
      <c r="G27" s="211" t="s">
        <v>853</v>
      </c>
      <c r="H27" s="309"/>
      <c r="I27" s="211" t="s">
        <v>853</v>
      </c>
      <c r="J27" s="309"/>
      <c r="K27" s="234" t="str">
        <f t="shared" si="0"/>
        <v>n.é.</v>
      </c>
    </row>
    <row r="28" spans="1:11" ht="20.100000000000001" customHeight="1" x14ac:dyDescent="0.2">
      <c r="A28" s="265" t="s">
        <v>106</v>
      </c>
      <c r="B28" s="272" t="s">
        <v>274</v>
      </c>
      <c r="C28" s="276" t="s">
        <v>275</v>
      </c>
      <c r="D28" s="304"/>
      <c r="E28" s="376"/>
      <c r="F28" s="309"/>
      <c r="G28" s="211" t="s">
        <v>853</v>
      </c>
      <c r="H28" s="309"/>
      <c r="I28" s="211" t="s">
        <v>853</v>
      </c>
      <c r="J28" s="309"/>
      <c r="K28" s="234" t="str">
        <f t="shared" si="0"/>
        <v>n.é.</v>
      </c>
    </row>
    <row r="29" spans="1:11" s="3" customFormat="1" ht="20.100000000000001" customHeight="1" x14ac:dyDescent="0.2">
      <c r="A29" s="306" t="s">
        <v>107</v>
      </c>
      <c r="B29" s="310" t="s">
        <v>276</v>
      </c>
      <c r="C29" s="317" t="s">
        <v>277</v>
      </c>
      <c r="D29" s="303">
        <f>SUM(D27:D28)</f>
        <v>0</v>
      </c>
      <c r="E29" s="378">
        <f>SUM(E27:E28)</f>
        <v>0</v>
      </c>
      <c r="F29" s="303">
        <f>SUM(F27:F28)</f>
        <v>0</v>
      </c>
      <c r="G29" s="302" t="s">
        <v>853</v>
      </c>
      <c r="H29" s="303">
        <f>SUM(H27:H28)</f>
        <v>0</v>
      </c>
      <c r="I29" s="302" t="s">
        <v>853</v>
      </c>
      <c r="J29" s="303">
        <f>SUM(J27:J28)</f>
        <v>0</v>
      </c>
      <c r="K29" s="311" t="str">
        <f t="shared" si="0"/>
        <v>n.é.</v>
      </c>
    </row>
    <row r="30" spans="1:11" ht="20.100000000000001" customHeight="1" x14ac:dyDescent="0.2">
      <c r="A30" s="265" t="s">
        <v>179</v>
      </c>
      <c r="B30" s="272" t="s">
        <v>278</v>
      </c>
      <c r="C30" s="276" t="s">
        <v>279</v>
      </c>
      <c r="D30" s="304"/>
      <c r="E30" s="376"/>
      <c r="F30" s="304"/>
      <c r="G30" s="211" t="s">
        <v>853</v>
      </c>
      <c r="H30" s="304"/>
      <c r="I30" s="211" t="s">
        <v>853</v>
      </c>
      <c r="J30" s="304"/>
      <c r="K30" s="234" t="str">
        <f t="shared" si="0"/>
        <v>n.é.</v>
      </c>
    </row>
    <row r="31" spans="1:11" ht="20.100000000000001" customHeight="1" x14ac:dyDescent="0.2">
      <c r="A31" s="265" t="s">
        <v>180</v>
      </c>
      <c r="B31" s="272" t="s">
        <v>280</v>
      </c>
      <c r="C31" s="276" t="s">
        <v>281</v>
      </c>
      <c r="D31" s="304"/>
      <c r="E31" s="376"/>
      <c r="F31" s="304"/>
      <c r="G31" s="211" t="s">
        <v>853</v>
      </c>
      <c r="H31" s="304"/>
      <c r="I31" s="211" t="s">
        <v>853</v>
      </c>
      <c r="J31" s="304"/>
      <c r="K31" s="234" t="str">
        <f t="shared" si="0"/>
        <v>n.é.</v>
      </c>
    </row>
    <row r="32" spans="1:11" ht="20.100000000000001" customHeight="1" x14ac:dyDescent="0.2">
      <c r="A32" s="265" t="s">
        <v>181</v>
      </c>
      <c r="B32" s="272" t="s">
        <v>282</v>
      </c>
      <c r="C32" s="276" t="s">
        <v>283</v>
      </c>
      <c r="D32" s="304"/>
      <c r="E32" s="376"/>
      <c r="F32" s="304"/>
      <c r="G32" s="211" t="s">
        <v>853</v>
      </c>
      <c r="H32" s="304"/>
      <c r="I32" s="211" t="s">
        <v>853</v>
      </c>
      <c r="J32" s="304"/>
      <c r="K32" s="234" t="str">
        <f t="shared" si="0"/>
        <v>n.é.</v>
      </c>
    </row>
    <row r="33" spans="1:11" ht="20.100000000000001" customHeight="1" x14ac:dyDescent="0.2">
      <c r="A33" s="265" t="s">
        <v>182</v>
      </c>
      <c r="B33" s="272" t="s">
        <v>284</v>
      </c>
      <c r="C33" s="276" t="s">
        <v>285</v>
      </c>
      <c r="D33" s="304"/>
      <c r="E33" s="376"/>
      <c r="F33" s="304"/>
      <c r="G33" s="211" t="s">
        <v>853</v>
      </c>
      <c r="H33" s="304"/>
      <c r="I33" s="211" t="s">
        <v>853</v>
      </c>
      <c r="J33" s="304"/>
      <c r="K33" s="234" t="str">
        <f t="shared" si="0"/>
        <v>n.é.</v>
      </c>
    </row>
    <row r="34" spans="1:11" ht="20.100000000000001" customHeight="1" x14ac:dyDescent="0.2">
      <c r="A34" s="265" t="s">
        <v>183</v>
      </c>
      <c r="B34" s="272" t="s">
        <v>286</v>
      </c>
      <c r="C34" s="276" t="s">
        <v>287</v>
      </c>
      <c r="D34" s="304"/>
      <c r="E34" s="376"/>
      <c r="F34" s="304"/>
      <c r="G34" s="211" t="s">
        <v>853</v>
      </c>
      <c r="H34" s="304"/>
      <c r="I34" s="211" t="s">
        <v>853</v>
      </c>
      <c r="J34" s="304"/>
      <c r="K34" s="234" t="str">
        <f t="shared" si="0"/>
        <v>n.é.</v>
      </c>
    </row>
    <row r="35" spans="1:11" ht="20.100000000000001" customHeight="1" x14ac:dyDescent="0.2">
      <c r="A35" s="265" t="s">
        <v>184</v>
      </c>
      <c r="B35" s="272" t="s">
        <v>288</v>
      </c>
      <c r="C35" s="276" t="s">
        <v>289</v>
      </c>
      <c r="D35" s="304"/>
      <c r="E35" s="376"/>
      <c r="F35" s="304"/>
      <c r="G35" s="211" t="s">
        <v>853</v>
      </c>
      <c r="H35" s="304"/>
      <c r="I35" s="211" t="s">
        <v>853</v>
      </c>
      <c r="J35" s="304"/>
      <c r="K35" s="234" t="str">
        <f t="shared" si="0"/>
        <v>n.é.</v>
      </c>
    </row>
    <row r="36" spans="1:11" ht="20.100000000000001" customHeight="1" x14ac:dyDescent="0.2">
      <c r="A36" s="265" t="s">
        <v>185</v>
      </c>
      <c r="B36" s="272" t="s">
        <v>290</v>
      </c>
      <c r="C36" s="276" t="s">
        <v>291</v>
      </c>
      <c r="D36" s="304"/>
      <c r="E36" s="376"/>
      <c r="F36" s="304"/>
      <c r="G36" s="211" t="s">
        <v>853</v>
      </c>
      <c r="H36" s="304"/>
      <c r="I36" s="211" t="s">
        <v>853</v>
      </c>
      <c r="J36" s="304"/>
      <c r="K36" s="234" t="str">
        <f t="shared" si="0"/>
        <v>n.é.</v>
      </c>
    </row>
    <row r="37" spans="1:11" ht="20.100000000000001" customHeight="1" x14ac:dyDescent="0.2">
      <c r="A37" s="265" t="s">
        <v>186</v>
      </c>
      <c r="B37" s="272" t="s">
        <v>292</v>
      </c>
      <c r="C37" s="276" t="s">
        <v>293</v>
      </c>
      <c r="D37" s="304"/>
      <c r="E37" s="376"/>
      <c r="F37" s="304"/>
      <c r="G37" s="211" t="s">
        <v>853</v>
      </c>
      <c r="H37" s="304"/>
      <c r="I37" s="211" t="s">
        <v>853</v>
      </c>
      <c r="J37" s="304"/>
      <c r="K37" s="234" t="str">
        <f t="shared" si="0"/>
        <v>n.é.</v>
      </c>
    </row>
    <row r="38" spans="1:11" s="3" customFormat="1" ht="20.100000000000001" customHeight="1" x14ac:dyDescent="0.2">
      <c r="A38" s="306" t="s">
        <v>187</v>
      </c>
      <c r="B38" s="310" t="s">
        <v>294</v>
      </c>
      <c r="C38" s="317" t="s">
        <v>295</v>
      </c>
      <c r="D38" s="303">
        <f>SUM(D33:D37)</f>
        <v>0</v>
      </c>
      <c r="E38" s="378">
        <f>SUM(E33:E37)</f>
        <v>0</v>
      </c>
      <c r="F38" s="303">
        <f>SUM(F33:F37)</f>
        <v>0</v>
      </c>
      <c r="G38" s="302" t="s">
        <v>853</v>
      </c>
      <c r="H38" s="303">
        <f>SUM(H33:H37)</f>
        <v>0</v>
      </c>
      <c r="I38" s="302" t="s">
        <v>853</v>
      </c>
      <c r="J38" s="303">
        <f>SUM(J33:J37)</f>
        <v>0</v>
      </c>
      <c r="K38" s="311" t="str">
        <f t="shared" si="0"/>
        <v>n.é.</v>
      </c>
    </row>
    <row r="39" spans="1:11" ht="20.100000000000001" customHeight="1" x14ac:dyDescent="0.2">
      <c r="A39" s="265" t="s">
        <v>188</v>
      </c>
      <c r="B39" s="272" t="s">
        <v>296</v>
      </c>
      <c r="C39" s="276" t="s">
        <v>297</v>
      </c>
      <c r="D39" s="304"/>
      <c r="E39" s="376"/>
      <c r="F39" s="309"/>
      <c r="G39" s="211" t="s">
        <v>853</v>
      </c>
      <c r="H39" s="309"/>
      <c r="I39" s="211" t="s">
        <v>853</v>
      </c>
      <c r="J39" s="309"/>
      <c r="K39" s="234" t="str">
        <f t="shared" si="0"/>
        <v>n.é.</v>
      </c>
    </row>
    <row r="40" spans="1:11" s="3" customFormat="1" ht="20.100000000000001" customHeight="1" x14ac:dyDescent="0.2">
      <c r="A40" s="306" t="s">
        <v>189</v>
      </c>
      <c r="B40" s="310" t="s">
        <v>298</v>
      </c>
      <c r="C40" s="317" t="s">
        <v>299</v>
      </c>
      <c r="D40" s="303">
        <f>SUM(D29:D32,D38:D39)</f>
        <v>0</v>
      </c>
      <c r="E40" s="378">
        <f t="shared" ref="E40" si="1">E29+E30+E31+E32+E38+E39</f>
        <v>0</v>
      </c>
      <c r="F40" s="303">
        <f t="shared" ref="F40" si="2">F29+F30+F31+F32+F38+F39</f>
        <v>0</v>
      </c>
      <c r="G40" s="302" t="s">
        <v>853</v>
      </c>
      <c r="H40" s="303">
        <f t="shared" ref="H40" si="3">H29+H30+H31+H32+H38+H39</f>
        <v>0</v>
      </c>
      <c r="I40" s="302" t="s">
        <v>853</v>
      </c>
      <c r="J40" s="303">
        <f t="shared" ref="J40" si="4">J29+J30+J31+J32+J38+J39</f>
        <v>0</v>
      </c>
      <c r="K40" s="311" t="str">
        <f t="shared" ref="K40:K71" si="5">IF(E40&gt;0,J40/E40,"n.é.")</f>
        <v>n.é.</v>
      </c>
    </row>
    <row r="41" spans="1:11" ht="20.100000000000001" customHeight="1" x14ac:dyDescent="0.2">
      <c r="A41" s="265" t="s">
        <v>190</v>
      </c>
      <c r="B41" s="272" t="s">
        <v>300</v>
      </c>
      <c r="C41" s="276" t="s">
        <v>301</v>
      </c>
      <c r="D41" s="304"/>
      <c r="E41" s="376"/>
      <c r="F41" s="304"/>
      <c r="G41" s="211" t="s">
        <v>853</v>
      </c>
      <c r="H41" s="304"/>
      <c r="I41" s="211" t="s">
        <v>853</v>
      </c>
      <c r="J41" s="304"/>
      <c r="K41" s="234" t="str">
        <f t="shared" si="5"/>
        <v>n.é.</v>
      </c>
    </row>
    <row r="42" spans="1:11" ht="20.100000000000001" customHeight="1" x14ac:dyDescent="0.2">
      <c r="A42" s="265" t="s">
        <v>191</v>
      </c>
      <c r="B42" s="272" t="s">
        <v>302</v>
      </c>
      <c r="C42" s="276" t="s">
        <v>303</v>
      </c>
      <c r="D42" s="304"/>
      <c r="E42" s="376"/>
      <c r="F42" s="304"/>
      <c r="G42" s="211" t="s">
        <v>853</v>
      </c>
      <c r="H42" s="304"/>
      <c r="I42" s="211" t="s">
        <v>853</v>
      </c>
      <c r="J42" s="304"/>
      <c r="K42" s="234" t="str">
        <f t="shared" si="5"/>
        <v>n.é.</v>
      </c>
    </row>
    <row r="43" spans="1:11" ht="20.100000000000001" customHeight="1" x14ac:dyDescent="0.2">
      <c r="A43" s="265" t="s">
        <v>192</v>
      </c>
      <c r="B43" s="272" t="s">
        <v>304</v>
      </c>
      <c r="C43" s="276" t="s">
        <v>305</v>
      </c>
      <c r="D43" s="304"/>
      <c r="E43" s="376"/>
      <c r="F43" s="304"/>
      <c r="G43" s="305" t="s">
        <v>853</v>
      </c>
      <c r="H43" s="304"/>
      <c r="I43" s="305" t="s">
        <v>853</v>
      </c>
      <c r="J43" s="304"/>
      <c r="K43" s="288" t="str">
        <f t="shared" si="5"/>
        <v>n.é.</v>
      </c>
    </row>
    <row r="44" spans="1:11" ht="20.100000000000001" customHeight="1" x14ac:dyDescent="0.2">
      <c r="A44" s="265" t="s">
        <v>193</v>
      </c>
      <c r="B44" s="272" t="s">
        <v>306</v>
      </c>
      <c r="C44" s="276" t="s">
        <v>307</v>
      </c>
      <c r="D44" s="304"/>
      <c r="E44" s="376"/>
      <c r="F44" s="304"/>
      <c r="G44" s="305" t="s">
        <v>853</v>
      </c>
      <c r="H44" s="304"/>
      <c r="I44" s="305" t="s">
        <v>853</v>
      </c>
      <c r="J44" s="304"/>
      <c r="K44" s="288" t="str">
        <f t="shared" si="5"/>
        <v>n.é.</v>
      </c>
    </row>
    <row r="45" spans="1:11" ht="20.100000000000001" customHeight="1" x14ac:dyDescent="0.2">
      <c r="A45" s="265" t="s">
        <v>194</v>
      </c>
      <c r="B45" s="272" t="s">
        <v>308</v>
      </c>
      <c r="C45" s="276" t="s">
        <v>309</v>
      </c>
      <c r="D45" s="304">
        <v>800000</v>
      </c>
      <c r="E45" s="376">
        <v>800000</v>
      </c>
      <c r="F45" s="304"/>
      <c r="G45" s="305" t="s">
        <v>853</v>
      </c>
      <c r="H45" s="304"/>
      <c r="I45" s="305" t="s">
        <v>853</v>
      </c>
      <c r="J45" s="304">
        <v>356600</v>
      </c>
      <c r="K45" s="288">
        <f t="shared" si="5"/>
        <v>0.44574999999999998</v>
      </c>
    </row>
    <row r="46" spans="1:11" ht="20.100000000000001" customHeight="1" x14ac:dyDescent="0.2">
      <c r="A46" s="265" t="s">
        <v>195</v>
      </c>
      <c r="B46" s="272" t="s">
        <v>310</v>
      </c>
      <c r="C46" s="276" t="s">
        <v>311</v>
      </c>
      <c r="D46" s="304"/>
      <c r="E46" s="376"/>
      <c r="F46" s="304"/>
      <c r="G46" s="305" t="s">
        <v>853</v>
      </c>
      <c r="H46" s="304"/>
      <c r="I46" s="305" t="s">
        <v>853</v>
      </c>
      <c r="J46" s="304"/>
      <c r="K46" s="288" t="str">
        <f t="shared" si="5"/>
        <v>n.é.</v>
      </c>
    </row>
    <row r="47" spans="1:11" ht="20.100000000000001" customHeight="1" x14ac:dyDescent="0.2">
      <c r="A47" s="265" t="s">
        <v>196</v>
      </c>
      <c r="B47" s="272" t="s">
        <v>312</v>
      </c>
      <c r="C47" s="276" t="s">
        <v>313</v>
      </c>
      <c r="D47" s="304"/>
      <c r="E47" s="376"/>
      <c r="F47" s="304"/>
      <c r="G47" s="305" t="s">
        <v>853</v>
      </c>
      <c r="H47" s="304"/>
      <c r="I47" s="305" t="s">
        <v>853</v>
      </c>
      <c r="J47" s="304"/>
      <c r="K47" s="288" t="str">
        <f t="shared" si="5"/>
        <v>n.é.</v>
      </c>
    </row>
    <row r="48" spans="1:11" ht="20.100000000000001" customHeight="1" x14ac:dyDescent="0.2">
      <c r="A48" s="265" t="s">
        <v>197</v>
      </c>
      <c r="B48" s="272" t="s">
        <v>314</v>
      </c>
      <c r="C48" s="276" t="s">
        <v>315</v>
      </c>
      <c r="D48" s="304"/>
      <c r="E48" s="376"/>
      <c r="F48" s="304"/>
      <c r="G48" s="305" t="s">
        <v>853</v>
      </c>
      <c r="H48" s="304"/>
      <c r="I48" s="305" t="s">
        <v>853</v>
      </c>
      <c r="J48" s="304"/>
      <c r="K48" s="288" t="str">
        <f t="shared" si="5"/>
        <v>n.é.</v>
      </c>
    </row>
    <row r="49" spans="1:11" ht="20.100000000000001" customHeight="1" x14ac:dyDescent="0.2">
      <c r="A49" s="265" t="s">
        <v>198</v>
      </c>
      <c r="B49" s="272" t="s">
        <v>316</v>
      </c>
      <c r="C49" s="276" t="s">
        <v>317</v>
      </c>
      <c r="D49" s="304"/>
      <c r="E49" s="376"/>
      <c r="F49" s="304"/>
      <c r="G49" s="305" t="s">
        <v>853</v>
      </c>
      <c r="H49" s="304"/>
      <c r="I49" s="305" t="s">
        <v>853</v>
      </c>
      <c r="J49" s="304"/>
      <c r="K49" s="288" t="str">
        <f t="shared" si="5"/>
        <v>n.é.</v>
      </c>
    </row>
    <row r="50" spans="1:11" ht="20.100000000000001" customHeight="1" x14ac:dyDescent="0.2">
      <c r="A50" s="265" t="s">
        <v>199</v>
      </c>
      <c r="B50" s="272" t="s">
        <v>670</v>
      </c>
      <c r="C50" s="276" t="s">
        <v>319</v>
      </c>
      <c r="D50" s="304"/>
      <c r="E50" s="376"/>
      <c r="F50" s="304"/>
      <c r="G50" s="305" t="s">
        <v>853</v>
      </c>
      <c r="H50" s="304"/>
      <c r="I50" s="305" t="s">
        <v>853</v>
      </c>
      <c r="J50" s="304"/>
      <c r="K50" s="288" t="str">
        <f t="shared" si="5"/>
        <v>n.é.</v>
      </c>
    </row>
    <row r="51" spans="1:11" ht="20.100000000000001" customHeight="1" x14ac:dyDescent="0.2">
      <c r="A51" s="265" t="s">
        <v>200</v>
      </c>
      <c r="B51" s="272" t="s">
        <v>318</v>
      </c>
      <c r="C51" s="276" t="s">
        <v>669</v>
      </c>
      <c r="D51" s="304"/>
      <c r="E51" s="376"/>
      <c r="F51" s="304"/>
      <c r="G51" s="305" t="s">
        <v>853</v>
      </c>
      <c r="H51" s="304"/>
      <c r="I51" s="305" t="s">
        <v>853</v>
      </c>
      <c r="J51" s="304"/>
      <c r="K51" s="288" t="str">
        <f t="shared" si="5"/>
        <v>n.é.</v>
      </c>
    </row>
    <row r="52" spans="1:11" s="3" customFormat="1" ht="20.100000000000001" customHeight="1" x14ac:dyDescent="0.2">
      <c r="A52" s="306" t="s">
        <v>201</v>
      </c>
      <c r="B52" s="310" t="s">
        <v>671</v>
      </c>
      <c r="C52" s="317" t="s">
        <v>320</v>
      </c>
      <c r="D52" s="303">
        <f>SUM(D41:D51)</f>
        <v>800000</v>
      </c>
      <c r="E52" s="378">
        <f t="shared" ref="E52" si="6">E41+E42+E43+E44+E45+E46+E47+E48+E49+E51</f>
        <v>800000</v>
      </c>
      <c r="F52" s="303">
        <f t="shared" ref="F52" si="7">F41+F42+F43+F44+F45+F46+F47+F48+F49+F51</f>
        <v>0</v>
      </c>
      <c r="G52" s="302" t="s">
        <v>853</v>
      </c>
      <c r="H52" s="303">
        <f t="shared" ref="H52" si="8">H41+H42+H43+H44+H45+H46+H47+H48+H49+H51</f>
        <v>0</v>
      </c>
      <c r="I52" s="302" t="s">
        <v>853</v>
      </c>
      <c r="J52" s="303">
        <f t="shared" ref="J52" si="9">J41+J42+J43+J44+J45+J46+J47+J48+J49+J51</f>
        <v>356600</v>
      </c>
      <c r="K52" s="286">
        <f t="shared" si="5"/>
        <v>0.44574999999999998</v>
      </c>
    </row>
    <row r="53" spans="1:11" ht="20.100000000000001" customHeight="1" x14ac:dyDescent="0.2">
      <c r="A53" s="265" t="s">
        <v>202</v>
      </c>
      <c r="B53" s="272" t="s">
        <v>321</v>
      </c>
      <c r="C53" s="276" t="s">
        <v>322</v>
      </c>
      <c r="D53" s="304"/>
      <c r="E53" s="376"/>
      <c r="F53" s="304"/>
      <c r="G53" s="305" t="s">
        <v>853</v>
      </c>
      <c r="H53" s="304"/>
      <c r="I53" s="305" t="s">
        <v>853</v>
      </c>
      <c r="J53" s="304"/>
      <c r="K53" s="288" t="str">
        <f t="shared" si="5"/>
        <v>n.é.</v>
      </c>
    </row>
    <row r="54" spans="1:11" ht="20.100000000000001" customHeight="1" x14ac:dyDescent="0.2">
      <c r="A54" s="265" t="s">
        <v>203</v>
      </c>
      <c r="B54" s="272" t="s">
        <v>323</v>
      </c>
      <c r="C54" s="276" t="s">
        <v>324</v>
      </c>
      <c r="D54" s="304"/>
      <c r="E54" s="376"/>
      <c r="F54" s="304"/>
      <c r="G54" s="305" t="s">
        <v>853</v>
      </c>
      <c r="H54" s="304"/>
      <c r="I54" s="305" t="s">
        <v>853</v>
      </c>
      <c r="J54" s="304"/>
      <c r="K54" s="288" t="str">
        <f t="shared" si="5"/>
        <v>n.é.</v>
      </c>
    </row>
    <row r="55" spans="1:11" ht="20.100000000000001" customHeight="1" x14ac:dyDescent="0.2">
      <c r="A55" s="265" t="s">
        <v>204</v>
      </c>
      <c r="B55" s="272" t="s">
        <v>325</v>
      </c>
      <c r="C55" s="276" t="s">
        <v>326</v>
      </c>
      <c r="D55" s="304"/>
      <c r="E55" s="376"/>
      <c r="F55" s="304"/>
      <c r="G55" s="305" t="s">
        <v>853</v>
      </c>
      <c r="H55" s="304"/>
      <c r="I55" s="305" t="s">
        <v>853</v>
      </c>
      <c r="J55" s="304"/>
      <c r="K55" s="288" t="str">
        <f t="shared" si="5"/>
        <v>n.é.</v>
      </c>
    </row>
    <row r="56" spans="1:11" ht="20.100000000000001" customHeight="1" x14ac:dyDescent="0.2">
      <c r="A56" s="265" t="s">
        <v>205</v>
      </c>
      <c r="B56" s="272" t="s">
        <v>327</v>
      </c>
      <c r="C56" s="276" t="s">
        <v>328</v>
      </c>
      <c r="D56" s="304"/>
      <c r="E56" s="376"/>
      <c r="F56" s="304"/>
      <c r="G56" s="305" t="s">
        <v>853</v>
      </c>
      <c r="H56" s="304"/>
      <c r="I56" s="305" t="s">
        <v>853</v>
      </c>
      <c r="J56" s="304"/>
      <c r="K56" s="288" t="str">
        <f t="shared" si="5"/>
        <v>n.é.</v>
      </c>
    </row>
    <row r="57" spans="1:11" ht="20.100000000000001" customHeight="1" x14ac:dyDescent="0.2">
      <c r="A57" s="265" t="s">
        <v>206</v>
      </c>
      <c r="B57" s="272" t="s">
        <v>329</v>
      </c>
      <c r="C57" s="276" t="s">
        <v>330</v>
      </c>
      <c r="D57" s="304"/>
      <c r="E57" s="376"/>
      <c r="F57" s="304"/>
      <c r="G57" s="305" t="s">
        <v>853</v>
      </c>
      <c r="H57" s="304"/>
      <c r="I57" s="305" t="s">
        <v>853</v>
      </c>
      <c r="J57" s="304"/>
      <c r="K57" s="288" t="str">
        <f t="shared" si="5"/>
        <v>n.é.</v>
      </c>
    </row>
    <row r="58" spans="1:11" s="3" customFormat="1" ht="20.100000000000001" customHeight="1" x14ac:dyDescent="0.2">
      <c r="A58" s="306" t="s">
        <v>207</v>
      </c>
      <c r="B58" s="310" t="s">
        <v>672</v>
      </c>
      <c r="C58" s="317" t="s">
        <v>331</v>
      </c>
      <c r="D58" s="303">
        <f>SUM(D53:D57)</f>
        <v>0</v>
      </c>
      <c r="E58" s="378">
        <f>SUM(E53:E57)</f>
        <v>0</v>
      </c>
      <c r="F58" s="303">
        <f>SUM(F53:F57)</f>
        <v>0</v>
      </c>
      <c r="G58" s="302" t="s">
        <v>853</v>
      </c>
      <c r="H58" s="303">
        <f>SUM(H53:H57)</f>
        <v>0</v>
      </c>
      <c r="I58" s="302" t="s">
        <v>853</v>
      </c>
      <c r="J58" s="303">
        <f>SUM(J53:J57)</f>
        <v>0</v>
      </c>
      <c r="K58" s="286" t="str">
        <f t="shared" si="5"/>
        <v>n.é.</v>
      </c>
    </row>
    <row r="59" spans="1:11" ht="20.100000000000001" customHeight="1" x14ac:dyDescent="0.2">
      <c r="A59" s="265" t="s">
        <v>208</v>
      </c>
      <c r="B59" s="272" t="s">
        <v>433</v>
      </c>
      <c r="C59" s="276" t="s">
        <v>332</v>
      </c>
      <c r="D59" s="304"/>
      <c r="E59" s="376"/>
      <c r="F59" s="304"/>
      <c r="G59" s="305" t="s">
        <v>853</v>
      </c>
      <c r="H59" s="304"/>
      <c r="I59" s="305" t="s">
        <v>853</v>
      </c>
      <c r="J59" s="304"/>
      <c r="K59" s="288" t="str">
        <f t="shared" si="5"/>
        <v>n.é.</v>
      </c>
    </row>
    <row r="60" spans="1:11" ht="20.100000000000001" customHeight="1" x14ac:dyDescent="0.2">
      <c r="A60" s="265" t="s">
        <v>209</v>
      </c>
      <c r="B60" s="272" t="s">
        <v>673</v>
      </c>
      <c r="C60" s="276" t="s">
        <v>333</v>
      </c>
      <c r="D60" s="304"/>
      <c r="E60" s="376"/>
      <c r="F60" s="304"/>
      <c r="G60" s="305" t="s">
        <v>853</v>
      </c>
      <c r="H60" s="304"/>
      <c r="I60" s="305" t="s">
        <v>853</v>
      </c>
      <c r="J60" s="304"/>
      <c r="K60" s="288" t="str">
        <f t="shared" si="5"/>
        <v>n.é.</v>
      </c>
    </row>
    <row r="61" spans="1:11" ht="20.100000000000001" customHeight="1" x14ac:dyDescent="0.2">
      <c r="A61" s="265" t="s">
        <v>210</v>
      </c>
      <c r="B61" s="272" t="s">
        <v>676</v>
      </c>
      <c r="C61" s="276" t="s">
        <v>335</v>
      </c>
      <c r="D61" s="304"/>
      <c r="E61" s="376"/>
      <c r="F61" s="304"/>
      <c r="G61" s="305" t="s">
        <v>853</v>
      </c>
      <c r="H61" s="304"/>
      <c r="I61" s="305" t="s">
        <v>853</v>
      </c>
      <c r="J61" s="304"/>
      <c r="K61" s="288" t="str">
        <f t="shared" si="5"/>
        <v>n.é.</v>
      </c>
    </row>
    <row r="62" spans="1:11" ht="20.100000000000001" customHeight="1" x14ac:dyDescent="0.2">
      <c r="A62" s="265" t="s">
        <v>211</v>
      </c>
      <c r="B62" s="272" t="s">
        <v>434</v>
      </c>
      <c r="C62" s="276" t="s">
        <v>674</v>
      </c>
      <c r="D62" s="304"/>
      <c r="E62" s="376"/>
      <c r="F62" s="304"/>
      <c r="G62" s="305" t="s">
        <v>853</v>
      </c>
      <c r="H62" s="304"/>
      <c r="I62" s="305" t="s">
        <v>853</v>
      </c>
      <c r="J62" s="304"/>
      <c r="K62" s="288" t="str">
        <f t="shared" si="5"/>
        <v>n.é.</v>
      </c>
    </row>
    <row r="63" spans="1:11" ht="20.100000000000001" customHeight="1" x14ac:dyDescent="0.2">
      <c r="A63" s="265" t="s">
        <v>212</v>
      </c>
      <c r="B63" s="272" t="s">
        <v>334</v>
      </c>
      <c r="C63" s="276" t="s">
        <v>675</v>
      </c>
      <c r="D63" s="304"/>
      <c r="E63" s="376"/>
      <c r="F63" s="304"/>
      <c r="G63" s="305" t="s">
        <v>853</v>
      </c>
      <c r="H63" s="304"/>
      <c r="I63" s="305" t="s">
        <v>853</v>
      </c>
      <c r="J63" s="304"/>
      <c r="K63" s="288" t="str">
        <f t="shared" si="5"/>
        <v>n.é.</v>
      </c>
    </row>
    <row r="64" spans="1:11" s="3" customFormat="1" ht="20.100000000000001" customHeight="1" x14ac:dyDescent="0.2">
      <c r="A64" s="306" t="s">
        <v>213</v>
      </c>
      <c r="B64" s="310" t="s">
        <v>681</v>
      </c>
      <c r="C64" s="317" t="s">
        <v>336</v>
      </c>
      <c r="D64" s="303">
        <f>SUM(D59:D63)</f>
        <v>0</v>
      </c>
      <c r="E64" s="378">
        <f>SUM(E59:E63)</f>
        <v>0</v>
      </c>
      <c r="F64" s="303">
        <f>SUM(F59:F63)</f>
        <v>0</v>
      </c>
      <c r="G64" s="302" t="s">
        <v>853</v>
      </c>
      <c r="H64" s="303">
        <f>SUM(H59:H63)</f>
        <v>0</v>
      </c>
      <c r="I64" s="302" t="s">
        <v>853</v>
      </c>
      <c r="J64" s="303">
        <f>SUM(J59:J63)</f>
        <v>0</v>
      </c>
      <c r="K64" s="286" t="str">
        <f t="shared" si="5"/>
        <v>n.é.</v>
      </c>
    </row>
    <row r="65" spans="1:11" ht="20.100000000000001" customHeight="1" x14ac:dyDescent="0.2">
      <c r="A65" s="265" t="s">
        <v>214</v>
      </c>
      <c r="B65" s="272" t="s">
        <v>435</v>
      </c>
      <c r="C65" s="276" t="s">
        <v>337</v>
      </c>
      <c r="D65" s="304"/>
      <c r="E65" s="376"/>
      <c r="F65" s="304"/>
      <c r="G65" s="305" t="s">
        <v>853</v>
      </c>
      <c r="H65" s="304"/>
      <c r="I65" s="305" t="s">
        <v>853</v>
      </c>
      <c r="J65" s="304"/>
      <c r="K65" s="288" t="str">
        <f t="shared" si="5"/>
        <v>n.é.</v>
      </c>
    </row>
    <row r="66" spans="1:11" ht="20.100000000000001" customHeight="1" x14ac:dyDescent="0.2">
      <c r="A66" s="265" t="s">
        <v>215</v>
      </c>
      <c r="B66" s="272" t="s">
        <v>679</v>
      </c>
      <c r="C66" s="276" t="s">
        <v>338</v>
      </c>
      <c r="D66" s="304"/>
      <c r="E66" s="376"/>
      <c r="F66" s="304"/>
      <c r="G66" s="305" t="s">
        <v>853</v>
      </c>
      <c r="H66" s="304"/>
      <c r="I66" s="305" t="s">
        <v>853</v>
      </c>
      <c r="J66" s="304"/>
      <c r="K66" s="288" t="str">
        <f t="shared" si="5"/>
        <v>n.é.</v>
      </c>
    </row>
    <row r="67" spans="1:11" ht="20.100000000000001" customHeight="1" x14ac:dyDescent="0.2">
      <c r="A67" s="265" t="s">
        <v>216</v>
      </c>
      <c r="B67" s="272" t="s">
        <v>680</v>
      </c>
      <c r="C67" s="276" t="s">
        <v>340</v>
      </c>
      <c r="D67" s="304"/>
      <c r="E67" s="376"/>
      <c r="F67" s="304"/>
      <c r="G67" s="305" t="s">
        <v>853</v>
      </c>
      <c r="H67" s="304"/>
      <c r="I67" s="305" t="s">
        <v>853</v>
      </c>
      <c r="J67" s="304"/>
      <c r="K67" s="288" t="str">
        <f t="shared" si="5"/>
        <v>n.é.</v>
      </c>
    </row>
    <row r="68" spans="1:11" ht="20.100000000000001" customHeight="1" x14ac:dyDescent="0.2">
      <c r="A68" s="265" t="s">
        <v>217</v>
      </c>
      <c r="B68" s="272" t="s">
        <v>436</v>
      </c>
      <c r="C68" s="276" t="s">
        <v>677</v>
      </c>
      <c r="D68" s="304"/>
      <c r="E68" s="376"/>
      <c r="F68" s="304"/>
      <c r="G68" s="305" t="s">
        <v>853</v>
      </c>
      <c r="H68" s="304"/>
      <c r="I68" s="305" t="s">
        <v>853</v>
      </c>
      <c r="J68" s="304"/>
      <c r="K68" s="288" t="str">
        <f t="shared" si="5"/>
        <v>n.é.</v>
      </c>
    </row>
    <row r="69" spans="1:11" ht="20.100000000000001" customHeight="1" x14ac:dyDescent="0.2">
      <c r="A69" s="265" t="s">
        <v>218</v>
      </c>
      <c r="B69" s="272" t="s">
        <v>339</v>
      </c>
      <c r="C69" s="276" t="s">
        <v>678</v>
      </c>
      <c r="D69" s="304"/>
      <c r="E69" s="376"/>
      <c r="F69" s="304"/>
      <c r="G69" s="305" t="s">
        <v>853</v>
      </c>
      <c r="H69" s="304"/>
      <c r="I69" s="305" t="s">
        <v>853</v>
      </c>
      <c r="J69" s="304"/>
      <c r="K69" s="288" t="str">
        <f t="shared" si="5"/>
        <v>n.é.</v>
      </c>
    </row>
    <row r="70" spans="1:11" s="3" customFormat="1" ht="20.100000000000001" customHeight="1" x14ac:dyDescent="0.2">
      <c r="A70" s="306" t="s">
        <v>219</v>
      </c>
      <c r="B70" s="310" t="s">
        <v>682</v>
      </c>
      <c r="C70" s="317" t="s">
        <v>341</v>
      </c>
      <c r="D70" s="303">
        <f>SUM(D65:D69)</f>
        <v>0</v>
      </c>
      <c r="E70" s="378">
        <f>SUM(E65:E69)</f>
        <v>0</v>
      </c>
      <c r="F70" s="303">
        <f>SUM(F65:F69)</f>
        <v>0</v>
      </c>
      <c r="G70" s="302" t="s">
        <v>853</v>
      </c>
      <c r="H70" s="303">
        <f>SUM(H65:H69)</f>
        <v>0</v>
      </c>
      <c r="I70" s="302" t="s">
        <v>853</v>
      </c>
      <c r="J70" s="303">
        <f>SUM(J65:J69)</f>
        <v>0</v>
      </c>
      <c r="K70" s="286" t="str">
        <f t="shared" si="5"/>
        <v>n.é.</v>
      </c>
    </row>
    <row r="71" spans="1:11" s="3" customFormat="1" ht="20.100000000000001" customHeight="1" x14ac:dyDescent="0.2">
      <c r="A71" s="269" t="s">
        <v>220</v>
      </c>
      <c r="B71" s="277" t="s">
        <v>683</v>
      </c>
      <c r="C71" s="278" t="s">
        <v>342</v>
      </c>
      <c r="D71" s="326">
        <f>D20+D26+D40+D52+D58+D64+D70</f>
        <v>800000</v>
      </c>
      <c r="E71" s="378">
        <f t="shared" ref="E71" si="10">E20+E26+E40+E52+E58+E64+E70</f>
        <v>800000</v>
      </c>
      <c r="F71" s="326">
        <f t="shared" ref="F71" si="11">F20+F26+F40+F52+F58+F64+F70</f>
        <v>0</v>
      </c>
      <c r="G71" s="332" t="s">
        <v>853</v>
      </c>
      <c r="H71" s="326">
        <f t="shared" ref="H71" si="12">H20+H26+H40+H52+H58+H64+H70</f>
        <v>0</v>
      </c>
      <c r="I71" s="332" t="s">
        <v>853</v>
      </c>
      <c r="J71" s="326">
        <f t="shared" ref="J71" si="13">J20+J26+J40+J52+J58+J64+J70</f>
        <v>356600</v>
      </c>
      <c r="K71" s="322">
        <f t="shared" si="5"/>
        <v>0.44574999999999998</v>
      </c>
    </row>
    <row r="72" spans="1:11" ht="20.100000000000001" customHeight="1" x14ac:dyDescent="0.2">
      <c r="A72" s="265" t="s">
        <v>221</v>
      </c>
      <c r="B72" s="266" t="s">
        <v>684</v>
      </c>
      <c r="C72" s="267" t="s">
        <v>343</v>
      </c>
      <c r="D72" s="304"/>
      <c r="E72" s="376"/>
      <c r="F72" s="304"/>
      <c r="G72" s="305" t="s">
        <v>853</v>
      </c>
      <c r="H72" s="304"/>
      <c r="I72" s="305" t="s">
        <v>853</v>
      </c>
      <c r="J72" s="304"/>
      <c r="K72" s="288" t="str">
        <f t="shared" ref="K72:K103" si="14">IF(E72&gt;0,J72/E72,"n.é.")</f>
        <v>n.é.</v>
      </c>
    </row>
    <row r="73" spans="1:11" ht="20.100000000000001" customHeight="1" x14ac:dyDescent="0.2">
      <c r="A73" s="265" t="s">
        <v>222</v>
      </c>
      <c r="B73" s="272" t="s">
        <v>344</v>
      </c>
      <c r="C73" s="267" t="s">
        <v>345</v>
      </c>
      <c r="D73" s="304"/>
      <c r="E73" s="376"/>
      <c r="F73" s="304"/>
      <c r="G73" s="305" t="s">
        <v>853</v>
      </c>
      <c r="H73" s="304"/>
      <c r="I73" s="305" t="s">
        <v>853</v>
      </c>
      <c r="J73" s="304"/>
      <c r="K73" s="288" t="str">
        <f t="shared" si="14"/>
        <v>n.é.</v>
      </c>
    </row>
    <row r="74" spans="1:11" ht="20.100000000000001" customHeight="1" x14ac:dyDescent="0.2">
      <c r="A74" s="265" t="s">
        <v>223</v>
      </c>
      <c r="B74" s="266" t="s">
        <v>685</v>
      </c>
      <c r="C74" s="267" t="s">
        <v>346</v>
      </c>
      <c r="D74" s="304"/>
      <c r="E74" s="376"/>
      <c r="F74" s="304"/>
      <c r="G74" s="305" t="s">
        <v>853</v>
      </c>
      <c r="H74" s="304"/>
      <c r="I74" s="305" t="s">
        <v>853</v>
      </c>
      <c r="J74" s="304"/>
      <c r="K74" s="288" t="str">
        <f t="shared" si="14"/>
        <v>n.é.</v>
      </c>
    </row>
    <row r="75" spans="1:11" s="3" customFormat="1" ht="20.100000000000001" customHeight="1" x14ac:dyDescent="0.2">
      <c r="A75" s="306" t="s">
        <v>224</v>
      </c>
      <c r="B75" s="310" t="s">
        <v>688</v>
      </c>
      <c r="C75" s="291" t="s">
        <v>347</v>
      </c>
      <c r="D75" s="303">
        <f>SUM(D72:D74)</f>
        <v>0</v>
      </c>
      <c r="E75" s="378">
        <f>SUM(E72:E74)</f>
        <v>0</v>
      </c>
      <c r="F75" s="303">
        <f>SUM(F72:F74)</f>
        <v>0</v>
      </c>
      <c r="G75" s="302" t="s">
        <v>853</v>
      </c>
      <c r="H75" s="303">
        <f>SUM(H72:H74)</f>
        <v>0</v>
      </c>
      <c r="I75" s="302" t="s">
        <v>853</v>
      </c>
      <c r="J75" s="303">
        <f>SUM(J72:J74)</f>
        <v>0</v>
      </c>
      <c r="K75" s="286" t="str">
        <f t="shared" si="14"/>
        <v>n.é.</v>
      </c>
    </row>
    <row r="76" spans="1:11" ht="20.100000000000001" customHeight="1" x14ac:dyDescent="0.2">
      <c r="A76" s="265" t="s">
        <v>225</v>
      </c>
      <c r="B76" s="272" t="s">
        <v>348</v>
      </c>
      <c r="C76" s="267" t="s">
        <v>349</v>
      </c>
      <c r="D76" s="304"/>
      <c r="E76" s="376"/>
      <c r="F76" s="304"/>
      <c r="G76" s="305" t="s">
        <v>853</v>
      </c>
      <c r="H76" s="304"/>
      <c r="I76" s="305" t="s">
        <v>853</v>
      </c>
      <c r="J76" s="304"/>
      <c r="K76" s="288" t="str">
        <f t="shared" si="14"/>
        <v>n.é.</v>
      </c>
    </row>
    <row r="77" spans="1:11" ht="20.100000000000001" customHeight="1" x14ac:dyDescent="0.2">
      <c r="A77" s="265" t="s">
        <v>226</v>
      </c>
      <c r="B77" s="266" t="s">
        <v>686</v>
      </c>
      <c r="C77" s="267" t="s">
        <v>350</v>
      </c>
      <c r="D77" s="304"/>
      <c r="E77" s="376"/>
      <c r="F77" s="304"/>
      <c r="G77" s="305" t="s">
        <v>853</v>
      </c>
      <c r="H77" s="304"/>
      <c r="I77" s="305" t="s">
        <v>853</v>
      </c>
      <c r="J77" s="304"/>
      <c r="K77" s="288" t="str">
        <f t="shared" si="14"/>
        <v>n.é.</v>
      </c>
    </row>
    <row r="78" spans="1:11" ht="20.100000000000001" customHeight="1" x14ac:dyDescent="0.2">
      <c r="A78" s="265" t="s">
        <v>227</v>
      </c>
      <c r="B78" s="272" t="s">
        <v>351</v>
      </c>
      <c r="C78" s="267" t="s">
        <v>352</v>
      </c>
      <c r="D78" s="304"/>
      <c r="E78" s="376"/>
      <c r="F78" s="304"/>
      <c r="G78" s="305" t="s">
        <v>853</v>
      </c>
      <c r="H78" s="304"/>
      <c r="I78" s="305" t="s">
        <v>853</v>
      </c>
      <c r="J78" s="304"/>
      <c r="K78" s="288" t="str">
        <f t="shared" si="14"/>
        <v>n.é.</v>
      </c>
    </row>
    <row r="79" spans="1:11" ht="20.100000000000001" customHeight="1" x14ac:dyDescent="0.2">
      <c r="A79" s="265" t="s">
        <v>228</v>
      </c>
      <c r="B79" s="266" t="s">
        <v>687</v>
      </c>
      <c r="C79" s="267" t="s">
        <v>353</v>
      </c>
      <c r="D79" s="304"/>
      <c r="E79" s="376"/>
      <c r="F79" s="304"/>
      <c r="G79" s="305" t="s">
        <v>853</v>
      </c>
      <c r="H79" s="304"/>
      <c r="I79" s="305" t="s">
        <v>853</v>
      </c>
      <c r="J79" s="304"/>
      <c r="K79" s="288" t="str">
        <f t="shared" si="14"/>
        <v>n.é.</v>
      </c>
    </row>
    <row r="80" spans="1:11" s="3" customFormat="1" ht="20.100000000000001" customHeight="1" x14ac:dyDescent="0.2">
      <c r="A80" s="306" t="s">
        <v>229</v>
      </c>
      <c r="B80" s="290" t="s">
        <v>689</v>
      </c>
      <c r="C80" s="291" t="s">
        <v>354</v>
      </c>
      <c r="D80" s="303">
        <f>SUM(D76:D79)</f>
        <v>0</v>
      </c>
      <c r="E80" s="378">
        <f>SUM(E76:E79)</f>
        <v>0</v>
      </c>
      <c r="F80" s="303">
        <f>SUM(F76:F79)</f>
        <v>0</v>
      </c>
      <c r="G80" s="302" t="s">
        <v>853</v>
      </c>
      <c r="H80" s="303">
        <f>SUM(H76:H79)</f>
        <v>0</v>
      </c>
      <c r="I80" s="302" t="s">
        <v>853</v>
      </c>
      <c r="J80" s="303">
        <f>SUM(J76:J79)</f>
        <v>0</v>
      </c>
      <c r="K80" s="286" t="str">
        <f t="shared" si="14"/>
        <v>n.é.</v>
      </c>
    </row>
    <row r="81" spans="1:11" ht="17.25" customHeight="1" x14ac:dyDescent="0.2">
      <c r="A81" s="265" t="s">
        <v>230</v>
      </c>
      <c r="B81" s="272" t="s">
        <v>355</v>
      </c>
      <c r="C81" s="267" t="s">
        <v>356</v>
      </c>
      <c r="D81" s="304"/>
      <c r="E81" s="376">
        <v>191526</v>
      </c>
      <c r="F81" s="304"/>
      <c r="G81" s="305" t="s">
        <v>853</v>
      </c>
      <c r="H81" s="304"/>
      <c r="I81" s="305" t="s">
        <v>853</v>
      </c>
      <c r="J81" s="304">
        <v>191526</v>
      </c>
      <c r="K81" s="288">
        <f t="shared" si="14"/>
        <v>1</v>
      </c>
    </row>
    <row r="82" spans="1:11" ht="18.75" customHeight="1" x14ac:dyDescent="0.2">
      <c r="A82" s="265" t="s">
        <v>231</v>
      </c>
      <c r="B82" s="272" t="s">
        <v>357</v>
      </c>
      <c r="C82" s="267" t="s">
        <v>358</v>
      </c>
      <c r="D82" s="304"/>
      <c r="E82" s="376"/>
      <c r="F82" s="304"/>
      <c r="G82" s="305" t="s">
        <v>853</v>
      </c>
      <c r="H82" s="304"/>
      <c r="I82" s="305" t="s">
        <v>853</v>
      </c>
      <c r="J82" s="304"/>
      <c r="K82" s="288" t="str">
        <f t="shared" si="14"/>
        <v>n.é.</v>
      </c>
    </row>
    <row r="83" spans="1:11" s="3" customFormat="1" ht="20.100000000000001" customHeight="1" x14ac:dyDescent="0.2">
      <c r="A83" s="306" t="s">
        <v>232</v>
      </c>
      <c r="B83" s="310" t="s">
        <v>691</v>
      </c>
      <c r="C83" s="291" t="s">
        <v>359</v>
      </c>
      <c r="D83" s="197">
        <f>SUM(D81:D82)</f>
        <v>0</v>
      </c>
      <c r="E83" s="380">
        <f>SUM(E81:E82)</f>
        <v>191526</v>
      </c>
      <c r="F83" s="197">
        <f>SUM(F81:F82)</f>
        <v>0</v>
      </c>
      <c r="G83" s="206" t="s">
        <v>853</v>
      </c>
      <c r="H83" s="197">
        <f>SUM(H81:H82)</f>
        <v>0</v>
      </c>
      <c r="I83" s="206" t="s">
        <v>853</v>
      </c>
      <c r="J83" s="197">
        <f>SUM(J81:J82)</f>
        <v>191526</v>
      </c>
      <c r="K83" s="286">
        <f t="shared" si="14"/>
        <v>1</v>
      </c>
    </row>
    <row r="84" spans="1:11" ht="20.100000000000001" customHeight="1" x14ac:dyDescent="0.2">
      <c r="A84" s="265" t="s">
        <v>233</v>
      </c>
      <c r="B84" s="266" t="s">
        <v>360</v>
      </c>
      <c r="C84" s="267" t="s">
        <v>361</v>
      </c>
      <c r="D84" s="304"/>
      <c r="E84" s="376"/>
      <c r="F84" s="304"/>
      <c r="G84" s="305" t="s">
        <v>853</v>
      </c>
      <c r="H84" s="304"/>
      <c r="I84" s="305" t="s">
        <v>853</v>
      </c>
      <c r="J84" s="304"/>
      <c r="K84" s="288" t="str">
        <f t="shared" si="14"/>
        <v>n.é.</v>
      </c>
    </row>
    <row r="85" spans="1:11" ht="20.100000000000001" customHeight="1" x14ac:dyDescent="0.2">
      <c r="A85" s="265" t="s">
        <v>234</v>
      </c>
      <c r="B85" s="266" t="s">
        <v>362</v>
      </c>
      <c r="C85" s="267" t="s">
        <v>363</v>
      </c>
      <c r="D85" s="304"/>
      <c r="E85" s="376"/>
      <c r="F85" s="304"/>
      <c r="G85" s="305" t="s">
        <v>853</v>
      </c>
      <c r="H85" s="304"/>
      <c r="I85" s="305" t="s">
        <v>853</v>
      </c>
      <c r="J85" s="304"/>
      <c r="K85" s="288" t="str">
        <f t="shared" si="14"/>
        <v>n.é.</v>
      </c>
    </row>
    <row r="86" spans="1:11" ht="20.100000000000001" customHeight="1" x14ac:dyDescent="0.2">
      <c r="A86" s="265" t="s">
        <v>235</v>
      </c>
      <c r="B86" s="266" t="s">
        <v>364</v>
      </c>
      <c r="C86" s="267" t="s">
        <v>365</v>
      </c>
      <c r="D86" s="304">
        <f>50845400+2800000+352881</f>
        <v>53998281</v>
      </c>
      <c r="E86" s="376">
        <f>53998281-191526</f>
        <v>53806755</v>
      </c>
      <c r="F86" s="304"/>
      <c r="G86" s="305" t="s">
        <v>853</v>
      </c>
      <c r="H86" s="304"/>
      <c r="I86" s="305" t="s">
        <v>853</v>
      </c>
      <c r="J86" s="304">
        <v>38097043</v>
      </c>
      <c r="K86" s="288">
        <f t="shared" si="14"/>
        <v>0.70803457669952408</v>
      </c>
    </row>
    <row r="87" spans="1:11" ht="20.100000000000001" customHeight="1" x14ac:dyDescent="0.2">
      <c r="A87" s="265" t="s">
        <v>236</v>
      </c>
      <c r="B87" s="266" t="s">
        <v>690</v>
      </c>
      <c r="C87" s="267" t="s">
        <v>366</v>
      </c>
      <c r="D87" s="304"/>
      <c r="E87" s="376"/>
      <c r="F87" s="304"/>
      <c r="G87" s="305" t="s">
        <v>853</v>
      </c>
      <c r="H87" s="304"/>
      <c r="I87" s="305" t="s">
        <v>853</v>
      </c>
      <c r="J87" s="304"/>
      <c r="K87" s="288" t="str">
        <f t="shared" si="14"/>
        <v>n.é.</v>
      </c>
    </row>
    <row r="88" spans="1:11" ht="20.100000000000001" customHeight="1" x14ac:dyDescent="0.2">
      <c r="A88" s="265" t="s">
        <v>237</v>
      </c>
      <c r="B88" s="272" t="s">
        <v>367</v>
      </c>
      <c r="C88" s="267" t="s">
        <v>368</v>
      </c>
      <c r="D88" s="304"/>
      <c r="E88" s="376"/>
      <c r="F88" s="304"/>
      <c r="G88" s="305" t="s">
        <v>853</v>
      </c>
      <c r="H88" s="304"/>
      <c r="I88" s="305" t="s">
        <v>853</v>
      </c>
      <c r="J88" s="304"/>
      <c r="K88" s="288" t="str">
        <f t="shared" si="14"/>
        <v>n.é.</v>
      </c>
    </row>
    <row r="89" spans="1:11" ht="20.100000000000001" customHeight="1" x14ac:dyDescent="0.2">
      <c r="A89" s="265" t="s">
        <v>238</v>
      </c>
      <c r="B89" s="272" t="s">
        <v>695</v>
      </c>
      <c r="C89" s="267" t="s">
        <v>693</v>
      </c>
      <c r="D89" s="304"/>
      <c r="E89" s="376"/>
      <c r="F89" s="304"/>
      <c r="G89" s="305" t="s">
        <v>853</v>
      </c>
      <c r="H89" s="304"/>
      <c r="I89" s="305" t="s">
        <v>853</v>
      </c>
      <c r="J89" s="304"/>
      <c r="K89" s="288" t="str">
        <f t="shared" si="14"/>
        <v>n.é.</v>
      </c>
    </row>
    <row r="90" spans="1:11" ht="20.100000000000001" customHeight="1" x14ac:dyDescent="0.2">
      <c r="A90" s="265" t="s">
        <v>239</v>
      </c>
      <c r="B90" s="272" t="s">
        <v>696</v>
      </c>
      <c r="C90" s="267" t="s">
        <v>694</v>
      </c>
      <c r="D90" s="304"/>
      <c r="E90" s="376"/>
      <c r="F90" s="304"/>
      <c r="G90" s="305" t="s">
        <v>853</v>
      </c>
      <c r="H90" s="304"/>
      <c r="I90" s="305" t="s">
        <v>853</v>
      </c>
      <c r="J90" s="304"/>
      <c r="K90" s="288" t="str">
        <f t="shared" si="14"/>
        <v>n.é.</v>
      </c>
    </row>
    <row r="91" spans="1:11" s="3" customFormat="1" ht="20.100000000000001" customHeight="1" x14ac:dyDescent="0.2">
      <c r="A91" s="306" t="s">
        <v>240</v>
      </c>
      <c r="B91" s="310" t="s">
        <v>698</v>
      </c>
      <c r="C91" s="291" t="s">
        <v>692</v>
      </c>
      <c r="D91" s="334">
        <f>SUM(D89:D90)</f>
        <v>0</v>
      </c>
      <c r="E91" s="381">
        <f>SUM(E89:E90)</f>
        <v>0</v>
      </c>
      <c r="F91" s="334">
        <f>SUM(F89:F90)</f>
        <v>0</v>
      </c>
      <c r="G91" s="333" t="s">
        <v>853</v>
      </c>
      <c r="H91" s="334">
        <f>SUM(H89:H90)</f>
        <v>0</v>
      </c>
      <c r="I91" s="333" t="s">
        <v>853</v>
      </c>
      <c r="J91" s="334">
        <f>SUM(J89:J90)</f>
        <v>0</v>
      </c>
      <c r="K91" s="286" t="str">
        <f t="shared" si="14"/>
        <v>n.é.</v>
      </c>
    </row>
    <row r="92" spans="1:11" s="3" customFormat="1" ht="20.100000000000001" customHeight="1" x14ac:dyDescent="0.2">
      <c r="A92" s="306" t="s">
        <v>500</v>
      </c>
      <c r="B92" s="310" t="s">
        <v>697</v>
      </c>
      <c r="C92" s="291" t="s">
        <v>369</v>
      </c>
      <c r="D92" s="303">
        <f>D75+D80+SUM(D83:D88)+D91</f>
        <v>53998281</v>
      </c>
      <c r="E92" s="378">
        <f>E75+E80+SUM(E83:E88)+E91</f>
        <v>53998281</v>
      </c>
      <c r="F92" s="303">
        <f>F75+F80+SUM(F83:F88)+F91</f>
        <v>0</v>
      </c>
      <c r="G92" s="302" t="s">
        <v>853</v>
      </c>
      <c r="H92" s="303">
        <f>H75+H80+SUM(H83:H88)+H91</f>
        <v>0</v>
      </c>
      <c r="I92" s="302" t="s">
        <v>853</v>
      </c>
      <c r="J92" s="303">
        <f>J75+J80+SUM(J83:J88)+J91</f>
        <v>38288569</v>
      </c>
      <c r="K92" s="286">
        <f t="shared" si="14"/>
        <v>0.70907014614039288</v>
      </c>
    </row>
    <row r="93" spans="1:11" ht="20.100000000000001" customHeight="1" x14ac:dyDescent="0.2">
      <c r="A93" s="265" t="s">
        <v>501</v>
      </c>
      <c r="B93" s="272" t="s">
        <v>841</v>
      </c>
      <c r="C93" s="267" t="s">
        <v>371</v>
      </c>
      <c r="D93" s="304"/>
      <c r="E93" s="376"/>
      <c r="F93" s="304"/>
      <c r="G93" s="305" t="s">
        <v>853</v>
      </c>
      <c r="H93" s="304"/>
      <c r="I93" s="305" t="s">
        <v>853</v>
      </c>
      <c r="J93" s="304"/>
      <c r="K93" s="288" t="str">
        <f t="shared" si="14"/>
        <v>n.é.</v>
      </c>
    </row>
    <row r="94" spans="1:11" ht="20.100000000000001" customHeight="1" x14ac:dyDescent="0.2">
      <c r="A94" s="265" t="s">
        <v>502</v>
      </c>
      <c r="B94" s="272" t="s">
        <v>372</v>
      </c>
      <c r="C94" s="267" t="s">
        <v>373</v>
      </c>
      <c r="D94" s="304"/>
      <c r="E94" s="376"/>
      <c r="F94" s="304"/>
      <c r="G94" s="305" t="s">
        <v>853</v>
      </c>
      <c r="H94" s="304"/>
      <c r="I94" s="305" t="s">
        <v>853</v>
      </c>
      <c r="J94" s="304"/>
      <c r="K94" s="288" t="str">
        <f t="shared" si="14"/>
        <v>n.é.</v>
      </c>
    </row>
    <row r="95" spans="1:11" ht="20.100000000000001" customHeight="1" x14ac:dyDescent="0.2">
      <c r="A95" s="265" t="s">
        <v>503</v>
      </c>
      <c r="B95" s="266" t="s">
        <v>374</v>
      </c>
      <c r="C95" s="267" t="s">
        <v>375</v>
      </c>
      <c r="D95" s="304"/>
      <c r="E95" s="376"/>
      <c r="F95" s="304"/>
      <c r="G95" s="305" t="s">
        <v>853</v>
      </c>
      <c r="H95" s="304"/>
      <c r="I95" s="305" t="s">
        <v>853</v>
      </c>
      <c r="J95" s="304"/>
      <c r="K95" s="288" t="str">
        <f t="shared" si="14"/>
        <v>n.é.</v>
      </c>
    </row>
    <row r="96" spans="1:11" ht="20.100000000000001" customHeight="1" x14ac:dyDescent="0.2">
      <c r="A96" s="265" t="s">
        <v>504</v>
      </c>
      <c r="B96" s="266" t="s">
        <v>701</v>
      </c>
      <c r="C96" s="267" t="s">
        <v>376</v>
      </c>
      <c r="D96" s="304"/>
      <c r="E96" s="376"/>
      <c r="F96" s="304"/>
      <c r="G96" s="305" t="s">
        <v>853</v>
      </c>
      <c r="H96" s="304"/>
      <c r="I96" s="305" t="s">
        <v>853</v>
      </c>
      <c r="J96" s="304"/>
      <c r="K96" s="288" t="str">
        <f t="shared" si="14"/>
        <v>n.é.</v>
      </c>
    </row>
    <row r="97" spans="1:11" ht="20.100000000000001" customHeight="1" x14ac:dyDescent="0.2">
      <c r="A97" s="265" t="s">
        <v>505</v>
      </c>
      <c r="B97" s="266" t="s">
        <v>700</v>
      </c>
      <c r="C97" s="267" t="s">
        <v>702</v>
      </c>
      <c r="D97" s="304"/>
      <c r="E97" s="376"/>
      <c r="F97" s="304"/>
      <c r="G97" s="305" t="s">
        <v>853</v>
      </c>
      <c r="H97" s="304"/>
      <c r="I97" s="305" t="s">
        <v>853</v>
      </c>
      <c r="J97" s="304"/>
      <c r="K97" s="288" t="str">
        <f t="shared" si="14"/>
        <v>n.é.</v>
      </c>
    </row>
    <row r="98" spans="1:11" s="3" customFormat="1" ht="20.100000000000001" customHeight="1" x14ac:dyDescent="0.2">
      <c r="A98" s="306" t="s">
        <v>506</v>
      </c>
      <c r="B98" s="290" t="s">
        <v>699</v>
      </c>
      <c r="C98" s="291" t="s">
        <v>377</v>
      </c>
      <c r="D98" s="303">
        <f>SUM(D93:D97)</f>
        <v>0</v>
      </c>
      <c r="E98" s="378">
        <f>SUM(E93:E97)</f>
        <v>0</v>
      </c>
      <c r="F98" s="303">
        <f>SUM(F93:F97)</f>
        <v>0</v>
      </c>
      <c r="G98" s="302" t="s">
        <v>853</v>
      </c>
      <c r="H98" s="303">
        <f>SUM(H93:H97)</f>
        <v>0</v>
      </c>
      <c r="I98" s="302" t="s">
        <v>853</v>
      </c>
      <c r="J98" s="303">
        <f>SUM(J93:J97)</f>
        <v>0</v>
      </c>
      <c r="K98" s="286" t="str">
        <f t="shared" si="14"/>
        <v>n.é.</v>
      </c>
    </row>
    <row r="99" spans="1:11" s="3" customFormat="1" ht="20.100000000000001" customHeight="1" x14ac:dyDescent="0.2">
      <c r="A99" s="265" t="s">
        <v>507</v>
      </c>
      <c r="B99" s="272" t="s">
        <v>378</v>
      </c>
      <c r="C99" s="267" t="s">
        <v>379</v>
      </c>
      <c r="D99" s="304"/>
      <c r="E99" s="376"/>
      <c r="F99" s="304"/>
      <c r="G99" s="305" t="s">
        <v>853</v>
      </c>
      <c r="H99" s="304"/>
      <c r="I99" s="305" t="s">
        <v>853</v>
      </c>
      <c r="J99" s="304"/>
      <c r="K99" s="288" t="str">
        <f t="shared" si="14"/>
        <v>n.é.</v>
      </c>
    </row>
    <row r="100" spans="1:11" ht="20.100000000000001" customHeight="1" x14ac:dyDescent="0.2">
      <c r="A100" s="265" t="s">
        <v>508</v>
      </c>
      <c r="B100" s="272" t="s">
        <v>706</v>
      </c>
      <c r="C100" s="267" t="s">
        <v>704</v>
      </c>
      <c r="D100" s="304"/>
      <c r="E100" s="376"/>
      <c r="F100" s="304"/>
      <c r="G100" s="305" t="s">
        <v>853</v>
      </c>
      <c r="H100" s="304"/>
      <c r="I100" s="305" t="s">
        <v>853</v>
      </c>
      <c r="J100" s="304"/>
      <c r="K100" s="288" t="str">
        <f t="shared" si="14"/>
        <v>n.é.</v>
      </c>
    </row>
    <row r="101" spans="1:11" s="3" customFormat="1" ht="20.100000000000001" customHeight="1" x14ac:dyDescent="0.2">
      <c r="A101" s="269" t="s">
        <v>509</v>
      </c>
      <c r="B101" s="324" t="s">
        <v>705</v>
      </c>
      <c r="C101" s="325" t="s">
        <v>380</v>
      </c>
      <c r="D101" s="326">
        <f>SUM(D92,D98:D100)</f>
        <v>53998281</v>
      </c>
      <c r="E101" s="379">
        <f t="shared" ref="E101" si="15">E92+E98+E100+E99</f>
        <v>53998281</v>
      </c>
      <c r="F101" s="326">
        <f t="shared" ref="F101" si="16">F92+F98+F100+F99</f>
        <v>0</v>
      </c>
      <c r="G101" s="332" t="s">
        <v>853</v>
      </c>
      <c r="H101" s="326">
        <f t="shared" ref="H101" si="17">H92+H98+H100+H99</f>
        <v>0</v>
      </c>
      <c r="I101" s="332" t="s">
        <v>853</v>
      </c>
      <c r="J101" s="326">
        <f t="shared" ref="J101" si="18">J92+J98+J100+J99</f>
        <v>38288569</v>
      </c>
      <c r="K101" s="322">
        <f t="shared" si="14"/>
        <v>0.70907014614039288</v>
      </c>
    </row>
    <row r="102" spans="1:11" s="3" customFormat="1" ht="20.100000000000001" customHeight="1" x14ac:dyDescent="0.2">
      <c r="A102" s="261" t="s">
        <v>510</v>
      </c>
      <c r="B102" s="83" t="s">
        <v>703</v>
      </c>
      <c r="C102" s="5"/>
      <c r="D102" s="329">
        <f>D71+D101</f>
        <v>54798281</v>
      </c>
      <c r="E102" s="382">
        <f t="shared" ref="E102" si="19">E71+E101</f>
        <v>54798281</v>
      </c>
      <c r="F102" s="329">
        <f t="shared" ref="F102" si="20">F71+F101</f>
        <v>0</v>
      </c>
      <c r="G102" s="330" t="s">
        <v>853</v>
      </c>
      <c r="H102" s="329">
        <f t="shared" ref="H102" si="21">H71+H101</f>
        <v>0</v>
      </c>
      <c r="I102" s="330" t="s">
        <v>853</v>
      </c>
      <c r="J102" s="329">
        <f t="shared" ref="J102" si="22">J71+J101</f>
        <v>38645169</v>
      </c>
      <c r="K102" s="331">
        <f t="shared" si="14"/>
        <v>0.7052259358281695</v>
      </c>
    </row>
    <row r="103" spans="1:11" ht="20.100000000000001" customHeight="1" x14ac:dyDescent="0.2">
      <c r="A103" s="265" t="s">
        <v>511</v>
      </c>
      <c r="B103" s="316" t="s">
        <v>20</v>
      </c>
      <c r="C103" s="328" t="s">
        <v>51</v>
      </c>
      <c r="D103" s="304">
        <v>37678248</v>
      </c>
      <c r="E103" s="376">
        <v>37433767</v>
      </c>
      <c r="F103" s="298"/>
      <c r="G103" s="298"/>
      <c r="H103" s="298"/>
      <c r="I103" s="298"/>
      <c r="J103" s="298">
        <v>28850855</v>
      </c>
      <c r="K103" s="299">
        <f t="shared" si="14"/>
        <v>0.77071738465434159</v>
      </c>
    </row>
    <row r="104" spans="1:11" ht="20.100000000000001" customHeight="1" x14ac:dyDescent="0.2">
      <c r="A104" s="265" t="s">
        <v>512</v>
      </c>
      <c r="B104" s="316" t="s">
        <v>47</v>
      </c>
      <c r="C104" s="268" t="s">
        <v>50</v>
      </c>
      <c r="D104" s="298"/>
      <c r="E104" s="376"/>
      <c r="F104" s="298"/>
      <c r="G104" s="298"/>
      <c r="H104" s="298"/>
      <c r="I104" s="298"/>
      <c r="J104" s="298"/>
      <c r="K104" s="299" t="str">
        <f t="shared" ref="K104:K135" si="23">IF(E104&gt;0,J104/E104,"n.é.")</f>
        <v>n.é.</v>
      </c>
    </row>
    <row r="105" spans="1:11" ht="20.100000000000001" customHeight="1" x14ac:dyDescent="0.2">
      <c r="A105" s="265" t="s">
        <v>513</v>
      </c>
      <c r="B105" s="316" t="s">
        <v>46</v>
      </c>
      <c r="C105" s="268" t="s">
        <v>49</v>
      </c>
      <c r="D105" s="298">
        <v>3139854</v>
      </c>
      <c r="E105" s="376">
        <v>3139854</v>
      </c>
      <c r="F105" s="298"/>
      <c r="G105" s="298"/>
      <c r="H105" s="298"/>
      <c r="I105" s="298"/>
      <c r="J105" s="298"/>
      <c r="K105" s="299">
        <f t="shared" si="23"/>
        <v>0</v>
      </c>
    </row>
    <row r="106" spans="1:11" ht="20.100000000000001" customHeight="1" x14ac:dyDescent="0.2">
      <c r="A106" s="265" t="s">
        <v>515</v>
      </c>
      <c r="B106" s="307" t="s">
        <v>19</v>
      </c>
      <c r="C106" s="268" t="s">
        <v>48</v>
      </c>
      <c r="D106" s="298"/>
      <c r="E106" s="376"/>
      <c r="F106" s="298"/>
      <c r="G106" s="298"/>
      <c r="H106" s="298"/>
      <c r="I106" s="298"/>
      <c r="J106" s="298"/>
      <c r="K106" s="299" t="str">
        <f t="shared" si="23"/>
        <v>n.é.</v>
      </c>
    </row>
    <row r="107" spans="1:11" ht="20.100000000000001" customHeight="1" x14ac:dyDescent="0.2">
      <c r="A107" s="265" t="s">
        <v>516</v>
      </c>
      <c r="B107" s="307" t="s">
        <v>16</v>
      </c>
      <c r="C107" s="268" t="s">
        <v>45</v>
      </c>
      <c r="D107" s="298"/>
      <c r="E107" s="376"/>
      <c r="F107" s="298"/>
      <c r="G107" s="298"/>
      <c r="H107" s="298"/>
      <c r="I107" s="298"/>
      <c r="J107" s="298"/>
      <c r="K107" s="299" t="str">
        <f t="shared" si="23"/>
        <v>n.é.</v>
      </c>
    </row>
    <row r="108" spans="1:11" ht="20.100000000000001" customHeight="1" x14ac:dyDescent="0.2">
      <c r="A108" s="265" t="s">
        <v>517</v>
      </c>
      <c r="B108" s="307" t="s">
        <v>17</v>
      </c>
      <c r="C108" s="268" t="s">
        <v>44</v>
      </c>
      <c r="D108" s="298"/>
      <c r="E108" s="376"/>
      <c r="F108" s="298"/>
      <c r="G108" s="298"/>
      <c r="H108" s="298"/>
      <c r="I108" s="298"/>
      <c r="J108" s="298"/>
      <c r="K108" s="299" t="str">
        <f t="shared" si="23"/>
        <v>n.é.</v>
      </c>
    </row>
    <row r="109" spans="1:11" ht="20.100000000000001" customHeight="1" x14ac:dyDescent="0.2">
      <c r="A109" s="265" t="s">
        <v>518</v>
      </c>
      <c r="B109" s="307" t="s">
        <v>21</v>
      </c>
      <c r="C109" s="268" t="s">
        <v>43</v>
      </c>
      <c r="D109" s="304">
        <v>2125750</v>
      </c>
      <c r="E109" s="376">
        <v>2125750</v>
      </c>
      <c r="F109" s="298"/>
      <c r="G109" s="298"/>
      <c r="H109" s="298"/>
      <c r="I109" s="298"/>
      <c r="J109" s="298">
        <v>1765347</v>
      </c>
      <c r="K109" s="299">
        <f t="shared" si="23"/>
        <v>0.83045842643772783</v>
      </c>
    </row>
    <row r="110" spans="1:11" ht="20.100000000000001" customHeight="1" x14ac:dyDescent="0.2">
      <c r="A110" s="265" t="s">
        <v>519</v>
      </c>
      <c r="B110" s="307" t="s">
        <v>41</v>
      </c>
      <c r="C110" s="268" t="s">
        <v>42</v>
      </c>
      <c r="D110" s="298"/>
      <c r="E110" s="376"/>
      <c r="F110" s="298"/>
      <c r="G110" s="298"/>
      <c r="H110" s="298"/>
      <c r="I110" s="298"/>
      <c r="J110" s="298"/>
      <c r="K110" s="299" t="str">
        <f t="shared" si="23"/>
        <v>n.é.</v>
      </c>
    </row>
    <row r="111" spans="1:11" ht="20.100000000000001" customHeight="1" x14ac:dyDescent="0.2">
      <c r="A111" s="265" t="s">
        <v>520</v>
      </c>
      <c r="B111" s="272" t="s">
        <v>18</v>
      </c>
      <c r="C111" s="268" t="s">
        <v>40</v>
      </c>
      <c r="D111" s="298">
        <v>99600</v>
      </c>
      <c r="E111" s="376">
        <v>99600</v>
      </c>
      <c r="F111" s="298"/>
      <c r="G111" s="298"/>
      <c r="H111" s="298"/>
      <c r="I111" s="298"/>
      <c r="J111" s="298">
        <v>57120</v>
      </c>
      <c r="K111" s="299">
        <f t="shared" si="23"/>
        <v>0.57349397590361451</v>
      </c>
    </row>
    <row r="112" spans="1:11" ht="20.100000000000001" customHeight="1" x14ac:dyDescent="0.2">
      <c r="A112" s="265" t="s">
        <v>521</v>
      </c>
      <c r="B112" s="272" t="s">
        <v>37</v>
      </c>
      <c r="C112" s="268" t="s">
        <v>39</v>
      </c>
      <c r="D112" s="298"/>
      <c r="E112" s="376"/>
      <c r="F112" s="298"/>
      <c r="G112" s="298"/>
      <c r="H112" s="298"/>
      <c r="I112" s="298"/>
      <c r="J112" s="298"/>
      <c r="K112" s="299" t="str">
        <f t="shared" si="23"/>
        <v>n.é.</v>
      </c>
    </row>
    <row r="113" spans="1:11" ht="20.100000000000001" customHeight="1" x14ac:dyDescent="0.2">
      <c r="A113" s="265" t="s">
        <v>522</v>
      </c>
      <c r="B113" s="272" t="s">
        <v>36</v>
      </c>
      <c r="C113" s="268" t="s">
        <v>38</v>
      </c>
      <c r="D113" s="298"/>
      <c r="E113" s="376"/>
      <c r="F113" s="298"/>
      <c r="G113" s="298"/>
      <c r="H113" s="298"/>
      <c r="I113" s="298"/>
      <c r="J113" s="298"/>
      <c r="K113" s="299" t="str">
        <f t="shared" si="23"/>
        <v>n.é.</v>
      </c>
    </row>
    <row r="114" spans="1:11" s="2" customFormat="1" ht="20.100000000000001" customHeight="1" x14ac:dyDescent="0.2">
      <c r="A114" s="265" t="s">
        <v>523</v>
      </c>
      <c r="B114" s="272" t="s">
        <v>35</v>
      </c>
      <c r="C114" s="268" t="s">
        <v>34</v>
      </c>
      <c r="D114" s="298"/>
      <c r="E114" s="376"/>
      <c r="F114" s="298"/>
      <c r="G114" s="298"/>
      <c r="H114" s="298"/>
      <c r="I114" s="298"/>
      <c r="J114" s="298"/>
      <c r="K114" s="299" t="str">
        <f t="shared" si="23"/>
        <v>n.é.</v>
      </c>
    </row>
    <row r="115" spans="1:11" s="2" customFormat="1" ht="20.100000000000001" customHeight="1" x14ac:dyDescent="0.2">
      <c r="A115" s="265" t="s">
        <v>524</v>
      </c>
      <c r="B115" s="272" t="s">
        <v>25</v>
      </c>
      <c r="C115" s="268" t="s">
        <v>33</v>
      </c>
      <c r="D115" s="298"/>
      <c r="E115" s="376">
        <v>326184</v>
      </c>
      <c r="F115" s="298"/>
      <c r="G115" s="298"/>
      <c r="H115" s="298"/>
      <c r="I115" s="298"/>
      <c r="J115" s="298">
        <v>326184</v>
      </c>
      <c r="K115" s="299">
        <f t="shared" si="23"/>
        <v>1</v>
      </c>
    </row>
    <row r="116" spans="1:11" s="2" customFormat="1" ht="20.100000000000001" customHeight="1" x14ac:dyDescent="0.2">
      <c r="A116" s="306" t="s">
        <v>525</v>
      </c>
      <c r="B116" s="318" t="s">
        <v>842</v>
      </c>
      <c r="C116" s="314" t="s">
        <v>27</v>
      </c>
      <c r="D116" s="303">
        <f t="shared" ref="D116:J116" si="24">SUM(D103:D115)</f>
        <v>43043452</v>
      </c>
      <c r="E116" s="378">
        <f t="shared" si="24"/>
        <v>43125155</v>
      </c>
      <c r="F116" s="303">
        <f t="shared" si="24"/>
        <v>0</v>
      </c>
      <c r="G116" s="303">
        <f t="shared" si="24"/>
        <v>0</v>
      </c>
      <c r="H116" s="303">
        <f t="shared" si="24"/>
        <v>0</v>
      </c>
      <c r="I116" s="303">
        <f t="shared" si="24"/>
        <v>0</v>
      </c>
      <c r="J116" s="303">
        <f t="shared" si="24"/>
        <v>30999506</v>
      </c>
      <c r="K116" s="286">
        <f t="shared" si="23"/>
        <v>0.71882654102924382</v>
      </c>
    </row>
    <row r="117" spans="1:11" ht="20.100000000000001" customHeight="1" x14ac:dyDescent="0.2">
      <c r="A117" s="265" t="s">
        <v>526</v>
      </c>
      <c r="B117" s="272" t="s">
        <v>22</v>
      </c>
      <c r="C117" s="268" t="s">
        <v>28</v>
      </c>
      <c r="D117" s="304"/>
      <c r="E117" s="376"/>
      <c r="F117" s="304"/>
      <c r="G117" s="304"/>
      <c r="H117" s="304"/>
      <c r="I117" s="304"/>
      <c r="J117" s="304"/>
      <c r="K117" s="299" t="str">
        <f t="shared" si="23"/>
        <v>n.é.</v>
      </c>
    </row>
    <row r="118" spans="1:11" ht="20.100000000000001" customHeight="1" x14ac:dyDescent="0.2">
      <c r="A118" s="265" t="s">
        <v>527</v>
      </c>
      <c r="B118" s="272" t="s">
        <v>426</v>
      </c>
      <c r="C118" s="268" t="s">
        <v>29</v>
      </c>
      <c r="D118" s="298"/>
      <c r="E118" s="376"/>
      <c r="F118" s="298"/>
      <c r="G118" s="298"/>
      <c r="H118" s="298"/>
      <c r="I118" s="298"/>
      <c r="J118" s="298"/>
      <c r="K118" s="299" t="str">
        <f t="shared" si="23"/>
        <v>n.é.</v>
      </c>
    </row>
    <row r="119" spans="1:11" ht="20.100000000000001" customHeight="1" x14ac:dyDescent="0.2">
      <c r="A119" s="265" t="s">
        <v>528</v>
      </c>
      <c r="B119" s="266" t="s">
        <v>23</v>
      </c>
      <c r="C119" s="268" t="s">
        <v>30</v>
      </c>
      <c r="D119" s="304"/>
      <c r="E119" s="376"/>
      <c r="F119" s="304"/>
      <c r="G119" s="304"/>
      <c r="H119" s="304"/>
      <c r="I119" s="304"/>
      <c r="J119" s="304"/>
      <c r="K119" s="299" t="str">
        <f t="shared" si="23"/>
        <v>n.é.</v>
      </c>
    </row>
    <row r="120" spans="1:11" ht="20.100000000000001" customHeight="1" x14ac:dyDescent="0.2">
      <c r="A120" s="306" t="s">
        <v>529</v>
      </c>
      <c r="B120" s="310" t="s">
        <v>843</v>
      </c>
      <c r="C120" s="314" t="s">
        <v>31</v>
      </c>
      <c r="D120" s="303">
        <f t="shared" ref="D120:J120" si="25">SUM(D117:D119)</f>
        <v>0</v>
      </c>
      <c r="E120" s="378">
        <f t="shared" si="25"/>
        <v>0</v>
      </c>
      <c r="F120" s="303">
        <f t="shared" si="25"/>
        <v>0</v>
      </c>
      <c r="G120" s="303">
        <f t="shared" si="25"/>
        <v>0</v>
      </c>
      <c r="H120" s="303">
        <f t="shared" si="25"/>
        <v>0</v>
      </c>
      <c r="I120" s="303">
        <f t="shared" si="25"/>
        <v>0</v>
      </c>
      <c r="J120" s="303">
        <f t="shared" si="25"/>
        <v>0</v>
      </c>
      <c r="K120" s="286" t="str">
        <f t="shared" si="23"/>
        <v>n.é.</v>
      </c>
    </row>
    <row r="121" spans="1:11" ht="20.100000000000001" customHeight="1" x14ac:dyDescent="0.2">
      <c r="A121" s="306" t="s">
        <v>530</v>
      </c>
      <c r="B121" s="318" t="s">
        <v>844</v>
      </c>
      <c r="C121" s="314" t="s">
        <v>32</v>
      </c>
      <c r="D121" s="303">
        <f>D116+D120</f>
        <v>43043452</v>
      </c>
      <c r="E121" s="378">
        <f t="shared" ref="E121" si="26">E116+E120</f>
        <v>43125155</v>
      </c>
      <c r="F121" s="303">
        <f t="shared" ref="F121" si="27">F116+F120</f>
        <v>0</v>
      </c>
      <c r="G121" s="303">
        <f t="shared" ref="G121" si="28">G116+G120</f>
        <v>0</v>
      </c>
      <c r="H121" s="303">
        <f t="shared" ref="H121" si="29">H116+H120</f>
        <v>0</v>
      </c>
      <c r="I121" s="303">
        <f t="shared" ref="I121" si="30">I116+I120</f>
        <v>0</v>
      </c>
      <c r="J121" s="303">
        <f t="shared" ref="J121" si="31">J116+J120</f>
        <v>30999506</v>
      </c>
      <c r="K121" s="286">
        <f t="shared" si="23"/>
        <v>0.71882654102924382</v>
      </c>
    </row>
    <row r="122" spans="1:11" s="3" customFormat="1" ht="20.100000000000001" customHeight="1" x14ac:dyDescent="0.2">
      <c r="A122" s="306" t="s">
        <v>531</v>
      </c>
      <c r="B122" s="310" t="s">
        <v>24</v>
      </c>
      <c r="C122" s="314" t="s">
        <v>52</v>
      </c>
      <c r="D122" s="303">
        <v>7834037</v>
      </c>
      <c r="E122" s="378">
        <v>7834037</v>
      </c>
      <c r="F122" s="303">
        <v>0</v>
      </c>
      <c r="G122" s="303">
        <v>0</v>
      </c>
      <c r="H122" s="303">
        <v>0</v>
      </c>
      <c r="I122" s="303">
        <v>0</v>
      </c>
      <c r="J122" s="303">
        <v>0</v>
      </c>
      <c r="K122" s="286">
        <f t="shared" si="23"/>
        <v>0</v>
      </c>
    </row>
    <row r="123" spans="1:11" ht="20.100000000000001" customHeight="1" x14ac:dyDescent="0.2">
      <c r="A123" s="265" t="s">
        <v>532</v>
      </c>
      <c r="B123" s="272" t="s">
        <v>63</v>
      </c>
      <c r="C123" s="268" t="s">
        <v>82</v>
      </c>
      <c r="D123" s="298">
        <v>60000</v>
      </c>
      <c r="E123" s="376">
        <f>60000+25714</f>
        <v>85714</v>
      </c>
      <c r="F123" s="298"/>
      <c r="G123" s="298"/>
      <c r="H123" s="298"/>
      <c r="I123" s="298"/>
      <c r="J123" s="298">
        <v>35525</v>
      </c>
      <c r="K123" s="299">
        <f t="shared" si="23"/>
        <v>0.4144597148657162</v>
      </c>
    </row>
    <row r="124" spans="1:11" ht="20.100000000000001" customHeight="1" x14ac:dyDescent="0.2">
      <c r="A124" s="265" t="s">
        <v>533</v>
      </c>
      <c r="B124" s="272" t="s">
        <v>64</v>
      </c>
      <c r="C124" s="268" t="s">
        <v>83</v>
      </c>
      <c r="D124" s="298">
        <v>1665792</v>
      </c>
      <c r="E124" s="376">
        <v>1418502</v>
      </c>
      <c r="F124" s="298"/>
      <c r="G124" s="298"/>
      <c r="H124" s="298"/>
      <c r="I124" s="298"/>
      <c r="J124" s="298">
        <v>394036</v>
      </c>
      <c r="K124" s="299">
        <f t="shared" si="23"/>
        <v>0.27778318254045464</v>
      </c>
    </row>
    <row r="125" spans="1:11" ht="20.100000000000001" customHeight="1" x14ac:dyDescent="0.2">
      <c r="A125" s="265" t="s">
        <v>534</v>
      </c>
      <c r="B125" s="272" t="s">
        <v>65</v>
      </c>
      <c r="C125" s="268" t="s">
        <v>84</v>
      </c>
      <c r="D125" s="298"/>
      <c r="E125" s="376"/>
      <c r="F125" s="298"/>
      <c r="G125" s="298"/>
      <c r="H125" s="298"/>
      <c r="I125" s="298"/>
      <c r="J125" s="298"/>
      <c r="K125" s="299" t="str">
        <f t="shared" si="23"/>
        <v>n.é.</v>
      </c>
    </row>
    <row r="126" spans="1:11" ht="20.100000000000001" customHeight="1" x14ac:dyDescent="0.2">
      <c r="A126" s="306" t="s">
        <v>535</v>
      </c>
      <c r="B126" s="310" t="s">
        <v>845</v>
      </c>
      <c r="C126" s="314" t="s">
        <v>92</v>
      </c>
      <c r="D126" s="303">
        <f t="shared" ref="D126:J126" si="32">SUM(D123:D125)</f>
        <v>1725792</v>
      </c>
      <c r="E126" s="378">
        <f t="shared" si="32"/>
        <v>1504216</v>
      </c>
      <c r="F126" s="303">
        <f t="shared" si="32"/>
        <v>0</v>
      </c>
      <c r="G126" s="303">
        <f t="shared" si="32"/>
        <v>0</v>
      </c>
      <c r="H126" s="303">
        <f t="shared" si="32"/>
        <v>0</v>
      </c>
      <c r="I126" s="303">
        <f t="shared" si="32"/>
        <v>0</v>
      </c>
      <c r="J126" s="303">
        <f t="shared" si="32"/>
        <v>429561</v>
      </c>
      <c r="K126" s="286">
        <f t="shared" si="23"/>
        <v>0.28557135411403684</v>
      </c>
    </row>
    <row r="127" spans="1:11" ht="20.100000000000001" customHeight="1" x14ac:dyDescent="0.2">
      <c r="A127" s="265" t="s">
        <v>536</v>
      </c>
      <c r="B127" s="272" t="s">
        <v>66</v>
      </c>
      <c r="C127" s="268" t="s">
        <v>85</v>
      </c>
      <c r="D127" s="298">
        <v>80000</v>
      </c>
      <c r="E127" s="376">
        <v>80000</v>
      </c>
      <c r="F127" s="298"/>
      <c r="G127" s="298"/>
      <c r="H127" s="298"/>
      <c r="I127" s="298"/>
      <c r="J127" s="298">
        <v>33189</v>
      </c>
      <c r="K127" s="299">
        <f t="shared" si="23"/>
        <v>0.41486250000000002</v>
      </c>
    </row>
    <row r="128" spans="1:11" ht="20.100000000000001" customHeight="1" x14ac:dyDescent="0.2">
      <c r="A128" s="265" t="s">
        <v>537</v>
      </c>
      <c r="B128" s="272" t="s">
        <v>67</v>
      </c>
      <c r="C128" s="268" t="s">
        <v>86</v>
      </c>
      <c r="D128" s="298">
        <v>50000</v>
      </c>
      <c r="E128" s="376">
        <f>50000+39970</f>
        <v>89970</v>
      </c>
      <c r="F128" s="298"/>
      <c r="G128" s="298"/>
      <c r="H128" s="298"/>
      <c r="I128" s="298"/>
      <c r="J128" s="298">
        <v>73186</v>
      </c>
      <c r="K128" s="299">
        <f t="shared" si="23"/>
        <v>0.81344892742025121</v>
      </c>
    </row>
    <row r="129" spans="1:11" ht="20.100000000000001" customHeight="1" x14ac:dyDescent="0.2">
      <c r="A129" s="306" t="s">
        <v>538</v>
      </c>
      <c r="B129" s="310" t="s">
        <v>846</v>
      </c>
      <c r="C129" s="314" t="s">
        <v>93</v>
      </c>
      <c r="D129" s="303">
        <f t="shared" ref="D129:J129" si="33">SUM(D127:D128)</f>
        <v>130000</v>
      </c>
      <c r="E129" s="378">
        <f t="shared" si="33"/>
        <v>169970</v>
      </c>
      <c r="F129" s="303">
        <f t="shared" si="33"/>
        <v>0</v>
      </c>
      <c r="G129" s="303">
        <f t="shared" si="33"/>
        <v>0</v>
      </c>
      <c r="H129" s="303">
        <f t="shared" si="33"/>
        <v>0</v>
      </c>
      <c r="I129" s="303">
        <f t="shared" si="33"/>
        <v>0</v>
      </c>
      <c r="J129" s="303">
        <f t="shared" si="33"/>
        <v>106375</v>
      </c>
      <c r="K129" s="286">
        <f t="shared" si="23"/>
        <v>0.62584573748308525</v>
      </c>
    </row>
    <row r="130" spans="1:11" ht="20.100000000000001" customHeight="1" x14ac:dyDescent="0.2">
      <c r="A130" s="265" t="s">
        <v>539</v>
      </c>
      <c r="B130" s="272" t="s">
        <v>68</v>
      </c>
      <c r="C130" s="268" t="s">
        <v>87</v>
      </c>
      <c r="D130" s="298">
        <v>800000</v>
      </c>
      <c r="E130" s="376">
        <f>SUM(E131:E133)</f>
        <v>800000</v>
      </c>
      <c r="F130" s="298"/>
      <c r="G130" s="298"/>
      <c r="H130" s="298"/>
      <c r="I130" s="298"/>
      <c r="J130" s="298">
        <v>576059</v>
      </c>
      <c r="K130" s="299">
        <f t="shared" si="23"/>
        <v>0.72007374999999996</v>
      </c>
    </row>
    <row r="131" spans="1:11" s="6" customFormat="1" ht="20.100000000000001" customHeight="1" x14ac:dyDescent="0.2">
      <c r="A131" s="293" t="s">
        <v>476</v>
      </c>
      <c r="B131" s="294" t="s">
        <v>495</v>
      </c>
      <c r="C131" s="295" t="s">
        <v>476</v>
      </c>
      <c r="D131" s="296">
        <v>640000</v>
      </c>
      <c r="E131" s="377">
        <v>640000</v>
      </c>
      <c r="F131" s="297" t="s">
        <v>660</v>
      </c>
      <c r="G131" s="297" t="s">
        <v>660</v>
      </c>
      <c r="H131" s="297" t="s">
        <v>660</v>
      </c>
      <c r="I131" s="297" t="s">
        <v>660</v>
      </c>
      <c r="J131" s="340"/>
      <c r="K131" s="301">
        <f t="shared" si="23"/>
        <v>0</v>
      </c>
    </row>
    <row r="132" spans="1:11" s="6" customFormat="1" ht="20.100000000000001" customHeight="1" x14ac:dyDescent="0.2">
      <c r="A132" s="293" t="s">
        <v>476</v>
      </c>
      <c r="B132" s="294" t="s">
        <v>496</v>
      </c>
      <c r="C132" s="295" t="s">
        <v>476</v>
      </c>
      <c r="D132" s="296">
        <v>20000</v>
      </c>
      <c r="E132" s="377">
        <v>20000</v>
      </c>
      <c r="F132" s="297" t="s">
        <v>660</v>
      </c>
      <c r="G132" s="297" t="s">
        <v>660</v>
      </c>
      <c r="H132" s="297" t="s">
        <v>660</v>
      </c>
      <c r="I132" s="297" t="s">
        <v>660</v>
      </c>
      <c r="J132" s="340"/>
      <c r="K132" s="301">
        <f t="shared" si="23"/>
        <v>0</v>
      </c>
    </row>
    <row r="133" spans="1:11" s="6" customFormat="1" ht="20.100000000000001" customHeight="1" x14ac:dyDescent="0.2">
      <c r="A133" s="293" t="s">
        <v>476</v>
      </c>
      <c r="B133" s="294" t="s">
        <v>497</v>
      </c>
      <c r="C133" s="295" t="s">
        <v>476</v>
      </c>
      <c r="D133" s="296">
        <v>140000</v>
      </c>
      <c r="E133" s="377">
        <v>140000</v>
      </c>
      <c r="F133" s="297" t="s">
        <v>660</v>
      </c>
      <c r="G133" s="297" t="s">
        <v>660</v>
      </c>
      <c r="H133" s="297" t="s">
        <v>660</v>
      </c>
      <c r="I133" s="297" t="s">
        <v>660</v>
      </c>
      <c r="J133" s="340"/>
      <c r="K133" s="301">
        <f t="shared" si="23"/>
        <v>0</v>
      </c>
    </row>
    <row r="134" spans="1:11" ht="20.100000000000001" customHeight="1" x14ac:dyDescent="0.2">
      <c r="A134" s="265" t="s">
        <v>707</v>
      </c>
      <c r="B134" s="272" t="s">
        <v>69</v>
      </c>
      <c r="C134" s="268" t="s">
        <v>88</v>
      </c>
      <c r="D134" s="298">
        <v>180000</v>
      </c>
      <c r="E134" s="376">
        <v>63554</v>
      </c>
      <c r="F134" s="298"/>
      <c r="G134" s="298"/>
      <c r="H134" s="298"/>
      <c r="I134" s="298"/>
      <c r="J134" s="298">
        <v>0</v>
      </c>
      <c r="K134" s="299">
        <f t="shared" si="23"/>
        <v>0</v>
      </c>
    </row>
    <row r="135" spans="1:11" ht="20.100000000000001" customHeight="1" x14ac:dyDescent="0.2">
      <c r="A135" s="265" t="s">
        <v>708</v>
      </c>
      <c r="B135" s="272" t="s">
        <v>70</v>
      </c>
      <c r="C135" s="268" t="s">
        <v>89</v>
      </c>
      <c r="D135" s="298"/>
      <c r="E135" s="376"/>
      <c r="F135" s="298"/>
      <c r="G135" s="298"/>
      <c r="H135" s="298"/>
      <c r="I135" s="298"/>
      <c r="J135" s="298"/>
      <c r="K135" s="299" t="str">
        <f t="shared" si="23"/>
        <v>n.é.</v>
      </c>
    </row>
    <row r="136" spans="1:11" ht="20.100000000000001" customHeight="1" x14ac:dyDescent="0.2">
      <c r="A136" s="265" t="s">
        <v>709</v>
      </c>
      <c r="B136" s="272" t="s">
        <v>71</v>
      </c>
      <c r="C136" s="268" t="s">
        <v>90</v>
      </c>
      <c r="D136" s="298">
        <v>150000</v>
      </c>
      <c r="E136" s="376">
        <v>181606</v>
      </c>
      <c r="F136" s="298"/>
      <c r="G136" s="298"/>
      <c r="H136" s="298"/>
      <c r="I136" s="298"/>
      <c r="J136" s="298">
        <v>160706</v>
      </c>
      <c r="K136" s="299">
        <f t="shared" ref="K136:K167" si="34">IF(E136&gt;0,J136/E136,"n.é.")</f>
        <v>0.88491569661795311</v>
      </c>
    </row>
    <row r="137" spans="1:11" ht="20.100000000000001" customHeight="1" x14ac:dyDescent="0.2">
      <c r="A137" s="265" t="s">
        <v>710</v>
      </c>
      <c r="B137" s="313" t="s">
        <v>72</v>
      </c>
      <c r="C137" s="268" t="s">
        <v>91</v>
      </c>
      <c r="D137" s="298"/>
      <c r="E137" s="376"/>
      <c r="F137" s="298"/>
      <c r="G137" s="298"/>
      <c r="H137" s="298"/>
      <c r="I137" s="298"/>
      <c r="J137" s="298"/>
      <c r="K137" s="299" t="str">
        <f t="shared" si="34"/>
        <v>n.é.</v>
      </c>
    </row>
    <row r="138" spans="1:11" ht="20.100000000000001" customHeight="1" x14ac:dyDescent="0.2">
      <c r="A138" s="265" t="s">
        <v>711</v>
      </c>
      <c r="B138" s="266" t="s">
        <v>73</v>
      </c>
      <c r="C138" s="268" t="s">
        <v>94</v>
      </c>
      <c r="D138" s="298">
        <v>120000</v>
      </c>
      <c r="E138" s="376">
        <v>120000</v>
      </c>
      <c r="F138" s="298"/>
      <c r="G138" s="298"/>
      <c r="H138" s="298"/>
      <c r="I138" s="298"/>
      <c r="J138" s="298">
        <v>78400</v>
      </c>
      <c r="K138" s="299">
        <f t="shared" si="34"/>
        <v>0.65333333333333332</v>
      </c>
    </row>
    <row r="139" spans="1:11" ht="20.100000000000001" customHeight="1" x14ac:dyDescent="0.2">
      <c r="A139" s="265" t="s">
        <v>712</v>
      </c>
      <c r="B139" s="272" t="s">
        <v>74</v>
      </c>
      <c r="C139" s="268" t="s">
        <v>95</v>
      </c>
      <c r="D139" s="298">
        <v>200000</v>
      </c>
      <c r="E139" s="376">
        <v>291446</v>
      </c>
      <c r="F139" s="298"/>
      <c r="G139" s="298"/>
      <c r="H139" s="298"/>
      <c r="I139" s="298"/>
      <c r="J139" s="298">
        <v>251889</v>
      </c>
      <c r="K139" s="299">
        <f t="shared" si="34"/>
        <v>0.86427331306657151</v>
      </c>
    </row>
    <row r="140" spans="1:11" ht="20.100000000000001" customHeight="1" x14ac:dyDescent="0.2">
      <c r="A140" s="306" t="s">
        <v>713</v>
      </c>
      <c r="B140" s="310" t="s">
        <v>847</v>
      </c>
      <c r="C140" s="314" t="s">
        <v>96</v>
      </c>
      <c r="D140" s="303">
        <f t="shared" ref="D140:J140" si="35">SUM(D130:D139)-SUM(D131:D133)</f>
        <v>1450000</v>
      </c>
      <c r="E140" s="378">
        <f t="shared" si="35"/>
        <v>1456606</v>
      </c>
      <c r="F140" s="303">
        <f t="shared" si="35"/>
        <v>0</v>
      </c>
      <c r="G140" s="303">
        <f t="shared" si="35"/>
        <v>0</v>
      </c>
      <c r="H140" s="303">
        <f t="shared" si="35"/>
        <v>0</v>
      </c>
      <c r="I140" s="303">
        <f t="shared" si="35"/>
        <v>0</v>
      </c>
      <c r="J140" s="303">
        <f t="shared" si="35"/>
        <v>1067054</v>
      </c>
      <c r="K140" s="286">
        <f t="shared" si="34"/>
        <v>0.73256185955570685</v>
      </c>
    </row>
    <row r="141" spans="1:11" ht="20.100000000000001" customHeight="1" x14ac:dyDescent="0.2">
      <c r="A141" s="265" t="s">
        <v>714</v>
      </c>
      <c r="B141" s="272" t="s">
        <v>75</v>
      </c>
      <c r="C141" s="268" t="s">
        <v>97</v>
      </c>
      <c r="D141" s="298">
        <v>60000</v>
      </c>
      <c r="E141" s="376">
        <f>60000-31703</f>
        <v>28297</v>
      </c>
      <c r="F141" s="298"/>
      <c r="G141" s="298"/>
      <c r="H141" s="298"/>
      <c r="I141" s="298"/>
      <c r="J141" s="298">
        <v>0</v>
      </c>
      <c r="K141" s="299">
        <f t="shared" si="34"/>
        <v>0</v>
      </c>
    </row>
    <row r="142" spans="1:11" ht="20.100000000000001" customHeight="1" x14ac:dyDescent="0.2">
      <c r="A142" s="265" t="s">
        <v>715</v>
      </c>
      <c r="B142" s="272" t="s">
        <v>76</v>
      </c>
      <c r="C142" s="268" t="s">
        <v>98</v>
      </c>
      <c r="D142" s="298"/>
      <c r="E142" s="376"/>
      <c r="F142" s="298"/>
      <c r="G142" s="298"/>
      <c r="H142" s="298"/>
      <c r="I142" s="298"/>
      <c r="J142" s="298"/>
      <c r="K142" s="299" t="str">
        <f t="shared" si="34"/>
        <v>n.é.</v>
      </c>
    </row>
    <row r="143" spans="1:11" ht="20.100000000000001" customHeight="1" x14ac:dyDescent="0.2">
      <c r="A143" s="306" t="s">
        <v>716</v>
      </c>
      <c r="B143" s="310" t="s">
        <v>848</v>
      </c>
      <c r="C143" s="314" t="s">
        <v>99</v>
      </c>
      <c r="D143" s="303">
        <f t="shared" ref="D143:J143" si="36">SUM(D141:D142)</f>
        <v>60000</v>
      </c>
      <c r="E143" s="378">
        <f t="shared" si="36"/>
        <v>28297</v>
      </c>
      <c r="F143" s="303">
        <f t="shared" si="36"/>
        <v>0</v>
      </c>
      <c r="G143" s="303">
        <f t="shared" si="36"/>
        <v>0</v>
      </c>
      <c r="H143" s="303">
        <f t="shared" si="36"/>
        <v>0</v>
      </c>
      <c r="I143" s="303">
        <f t="shared" si="36"/>
        <v>0</v>
      </c>
      <c r="J143" s="303">
        <f t="shared" si="36"/>
        <v>0</v>
      </c>
      <c r="K143" s="286">
        <f t="shared" si="34"/>
        <v>0</v>
      </c>
    </row>
    <row r="144" spans="1:11" ht="20.100000000000001" customHeight="1" x14ac:dyDescent="0.2">
      <c r="A144" s="285" t="s">
        <v>717</v>
      </c>
      <c r="B144" s="272" t="s">
        <v>77</v>
      </c>
      <c r="C144" s="268" t="s">
        <v>100</v>
      </c>
      <c r="D144" s="298">
        <v>550000</v>
      </c>
      <c r="E144" s="376">
        <v>550000</v>
      </c>
      <c r="F144" s="298"/>
      <c r="G144" s="298"/>
      <c r="H144" s="298"/>
      <c r="I144" s="298"/>
      <c r="J144" s="298">
        <v>356573</v>
      </c>
      <c r="K144" s="299">
        <f t="shared" si="34"/>
        <v>0.64831454545454548</v>
      </c>
    </row>
    <row r="145" spans="1:11" ht="20.100000000000001" customHeight="1" x14ac:dyDescent="0.2">
      <c r="A145" s="285" t="s">
        <v>718</v>
      </c>
      <c r="B145" s="272" t="s">
        <v>78</v>
      </c>
      <c r="C145" s="268" t="s">
        <v>101</v>
      </c>
      <c r="D145" s="298"/>
      <c r="E145" s="376"/>
      <c r="F145" s="298"/>
      <c r="G145" s="298"/>
      <c r="H145" s="298"/>
      <c r="I145" s="298"/>
      <c r="J145" s="298"/>
      <c r="K145" s="299" t="str">
        <f t="shared" si="34"/>
        <v>n.é.</v>
      </c>
    </row>
    <row r="146" spans="1:11" ht="20.100000000000001" customHeight="1" x14ac:dyDescent="0.2">
      <c r="A146" s="285" t="s">
        <v>719</v>
      </c>
      <c r="B146" s="272" t="s">
        <v>79</v>
      </c>
      <c r="C146" s="268" t="s">
        <v>102</v>
      </c>
      <c r="D146" s="298"/>
      <c r="E146" s="376"/>
      <c r="F146" s="298"/>
      <c r="G146" s="298"/>
      <c r="H146" s="298"/>
      <c r="I146" s="298"/>
      <c r="J146" s="298"/>
      <c r="K146" s="299" t="str">
        <f t="shared" si="34"/>
        <v>n.é.</v>
      </c>
    </row>
    <row r="147" spans="1:11" ht="20.100000000000001" customHeight="1" x14ac:dyDescent="0.2">
      <c r="A147" s="285" t="s">
        <v>720</v>
      </c>
      <c r="B147" s="272" t="s">
        <v>80</v>
      </c>
      <c r="C147" s="268" t="s">
        <v>103</v>
      </c>
      <c r="D147" s="298"/>
      <c r="E147" s="376"/>
      <c r="F147" s="298"/>
      <c r="G147" s="298"/>
      <c r="H147" s="298"/>
      <c r="I147" s="298"/>
      <c r="J147" s="298"/>
      <c r="K147" s="299" t="str">
        <f t="shared" si="34"/>
        <v>n.é.</v>
      </c>
    </row>
    <row r="148" spans="1:11" ht="20.100000000000001" customHeight="1" x14ac:dyDescent="0.2">
      <c r="A148" s="285" t="s">
        <v>721</v>
      </c>
      <c r="B148" s="272" t="s">
        <v>81</v>
      </c>
      <c r="C148" s="268" t="s">
        <v>104</v>
      </c>
      <c r="D148" s="298">
        <v>5000</v>
      </c>
      <c r="E148" s="376">
        <v>5000</v>
      </c>
      <c r="F148" s="298"/>
      <c r="G148" s="298"/>
      <c r="H148" s="298"/>
      <c r="I148" s="298"/>
      <c r="J148" s="298">
        <v>7</v>
      </c>
      <c r="K148" s="299">
        <f t="shared" si="34"/>
        <v>1.4E-3</v>
      </c>
    </row>
    <row r="149" spans="1:11" ht="20.100000000000001" customHeight="1" x14ac:dyDescent="0.2">
      <c r="A149" s="289" t="s">
        <v>722</v>
      </c>
      <c r="B149" s="310" t="s">
        <v>849</v>
      </c>
      <c r="C149" s="314" t="s">
        <v>105</v>
      </c>
      <c r="D149" s="303">
        <f t="shared" ref="D149:J149" si="37">SUM(D144:D148)</f>
        <v>555000</v>
      </c>
      <c r="E149" s="378">
        <f t="shared" si="37"/>
        <v>555000</v>
      </c>
      <c r="F149" s="303">
        <f t="shared" si="37"/>
        <v>0</v>
      </c>
      <c r="G149" s="303">
        <f t="shared" si="37"/>
        <v>0</v>
      </c>
      <c r="H149" s="303">
        <f t="shared" si="37"/>
        <v>0</v>
      </c>
      <c r="I149" s="303">
        <f t="shared" si="37"/>
        <v>0</v>
      </c>
      <c r="J149" s="303">
        <f t="shared" si="37"/>
        <v>356580</v>
      </c>
      <c r="K149" s="286">
        <f t="shared" si="34"/>
        <v>0.64248648648648654</v>
      </c>
    </row>
    <row r="150" spans="1:11" ht="20.100000000000001" customHeight="1" x14ac:dyDescent="0.2">
      <c r="A150" s="289" t="s">
        <v>723</v>
      </c>
      <c r="B150" s="310" t="s">
        <v>850</v>
      </c>
      <c r="C150" s="314" t="s">
        <v>57</v>
      </c>
      <c r="D150" s="303">
        <f>D126+D129+D140+D143+D149</f>
        <v>3920792</v>
      </c>
      <c r="E150" s="378">
        <f t="shared" ref="E150" si="38">E126+E129+E140+E143+E149</f>
        <v>3714089</v>
      </c>
      <c r="F150" s="303">
        <f t="shared" ref="F150" si="39">F126+F129+F140+F143+F149</f>
        <v>0</v>
      </c>
      <c r="G150" s="303">
        <f t="shared" ref="G150" si="40">G126+G129+G140+G143+G149</f>
        <v>0</v>
      </c>
      <c r="H150" s="303">
        <f t="shared" ref="H150" si="41">H126+H129+H140+H143+H149</f>
        <v>0</v>
      </c>
      <c r="I150" s="303">
        <f t="shared" ref="I150" si="42">I126+I129+I140+I143+I149</f>
        <v>0</v>
      </c>
      <c r="J150" s="303">
        <f t="shared" ref="J150" si="43">J126+J129+J140+J143+J149</f>
        <v>1959570</v>
      </c>
      <c r="K150" s="286">
        <f t="shared" si="34"/>
        <v>0.52760448120656234</v>
      </c>
    </row>
    <row r="151" spans="1:11" ht="20.100000000000001" customHeight="1" x14ac:dyDescent="0.2">
      <c r="A151" s="285" t="s">
        <v>724</v>
      </c>
      <c r="B151" s="272" t="s">
        <v>108</v>
      </c>
      <c r="C151" s="268" t="s">
        <v>116</v>
      </c>
      <c r="D151" s="298"/>
      <c r="E151" s="376"/>
      <c r="F151" s="298"/>
      <c r="G151" s="298"/>
      <c r="H151" s="298"/>
      <c r="I151" s="298"/>
      <c r="J151" s="298"/>
      <c r="K151" s="299" t="str">
        <f t="shared" si="34"/>
        <v>n.é.</v>
      </c>
    </row>
    <row r="152" spans="1:11" ht="20.100000000000001" customHeight="1" x14ac:dyDescent="0.2">
      <c r="A152" s="285" t="s">
        <v>725</v>
      </c>
      <c r="B152" s="272" t="s">
        <v>109</v>
      </c>
      <c r="C152" s="268" t="s">
        <v>117</v>
      </c>
      <c r="D152" s="298"/>
      <c r="E152" s="376"/>
      <c r="F152" s="298"/>
      <c r="G152" s="298"/>
      <c r="H152" s="298"/>
      <c r="I152" s="298"/>
      <c r="J152" s="298"/>
      <c r="K152" s="299" t="str">
        <f t="shared" si="34"/>
        <v>n.é.</v>
      </c>
    </row>
    <row r="153" spans="1:11" ht="20.100000000000001" customHeight="1" x14ac:dyDescent="0.2">
      <c r="A153" s="285" t="s">
        <v>726</v>
      </c>
      <c r="B153" s="313" t="s">
        <v>110</v>
      </c>
      <c r="C153" s="268" t="s">
        <v>118</v>
      </c>
      <c r="D153" s="298"/>
      <c r="E153" s="376"/>
      <c r="F153" s="298"/>
      <c r="G153" s="298"/>
      <c r="H153" s="298"/>
      <c r="I153" s="298"/>
      <c r="J153" s="298"/>
      <c r="K153" s="299" t="str">
        <f t="shared" si="34"/>
        <v>n.é.</v>
      </c>
    </row>
    <row r="154" spans="1:11" ht="20.100000000000001" customHeight="1" x14ac:dyDescent="0.2">
      <c r="A154" s="285" t="s">
        <v>727</v>
      </c>
      <c r="B154" s="313" t="s">
        <v>111</v>
      </c>
      <c r="C154" s="268" t="s">
        <v>119</v>
      </c>
      <c r="D154" s="298"/>
      <c r="E154" s="376"/>
      <c r="F154" s="298"/>
      <c r="G154" s="298"/>
      <c r="H154" s="298"/>
      <c r="I154" s="298"/>
      <c r="J154" s="298"/>
      <c r="K154" s="299" t="str">
        <f t="shared" si="34"/>
        <v>n.é.</v>
      </c>
    </row>
    <row r="155" spans="1:11" ht="20.100000000000001" customHeight="1" x14ac:dyDescent="0.2">
      <c r="A155" s="285" t="s">
        <v>728</v>
      </c>
      <c r="B155" s="313" t="s">
        <v>112</v>
      </c>
      <c r="C155" s="268" t="s">
        <v>120</v>
      </c>
      <c r="D155" s="298"/>
      <c r="E155" s="376"/>
      <c r="F155" s="298"/>
      <c r="G155" s="298"/>
      <c r="H155" s="298"/>
      <c r="I155" s="298"/>
      <c r="J155" s="298"/>
      <c r="K155" s="299" t="str">
        <f t="shared" si="34"/>
        <v>n.é.</v>
      </c>
    </row>
    <row r="156" spans="1:11" ht="20.100000000000001" customHeight="1" x14ac:dyDescent="0.2">
      <c r="A156" s="285" t="s">
        <v>729</v>
      </c>
      <c r="B156" s="272" t="s">
        <v>113</v>
      </c>
      <c r="C156" s="268" t="s">
        <v>121</v>
      </c>
      <c r="D156" s="298"/>
      <c r="E156" s="376"/>
      <c r="F156" s="298"/>
      <c r="G156" s="298"/>
      <c r="H156" s="298"/>
      <c r="I156" s="298"/>
      <c r="J156" s="298"/>
      <c r="K156" s="299" t="str">
        <f t="shared" si="34"/>
        <v>n.é.</v>
      </c>
    </row>
    <row r="157" spans="1:11" ht="20.100000000000001" customHeight="1" x14ac:dyDescent="0.2">
      <c r="A157" s="285" t="s">
        <v>730</v>
      </c>
      <c r="B157" s="272" t="s">
        <v>114</v>
      </c>
      <c r="C157" s="268" t="s">
        <v>122</v>
      </c>
      <c r="D157" s="298"/>
      <c r="E157" s="376"/>
      <c r="F157" s="298"/>
      <c r="G157" s="298"/>
      <c r="H157" s="298"/>
      <c r="I157" s="298"/>
      <c r="J157" s="298"/>
      <c r="K157" s="299" t="str">
        <f t="shared" si="34"/>
        <v>n.é.</v>
      </c>
    </row>
    <row r="158" spans="1:11" ht="20.100000000000001" customHeight="1" x14ac:dyDescent="0.2">
      <c r="A158" s="285" t="s">
        <v>731</v>
      </c>
      <c r="B158" s="272" t="s">
        <v>115</v>
      </c>
      <c r="C158" s="268" t="s">
        <v>123</v>
      </c>
      <c r="D158" s="298"/>
      <c r="E158" s="376"/>
      <c r="F158" s="298"/>
      <c r="G158" s="298"/>
      <c r="H158" s="298"/>
      <c r="I158" s="298"/>
      <c r="J158" s="298"/>
      <c r="K158" s="299" t="str">
        <f t="shared" si="34"/>
        <v>n.é.</v>
      </c>
    </row>
    <row r="159" spans="1:11" ht="20.100000000000001" customHeight="1" x14ac:dyDescent="0.2">
      <c r="A159" s="289" t="s">
        <v>732</v>
      </c>
      <c r="B159" s="310" t="s">
        <v>851</v>
      </c>
      <c r="C159" s="314" t="s">
        <v>58</v>
      </c>
      <c r="D159" s="303">
        <f t="shared" ref="D159:J159" si="44">SUM(D151:D158)</f>
        <v>0</v>
      </c>
      <c r="E159" s="378">
        <f t="shared" si="44"/>
        <v>0</v>
      </c>
      <c r="F159" s="303">
        <f t="shared" si="44"/>
        <v>0</v>
      </c>
      <c r="G159" s="303">
        <f t="shared" si="44"/>
        <v>0</v>
      </c>
      <c r="H159" s="303">
        <f t="shared" si="44"/>
        <v>0</v>
      </c>
      <c r="I159" s="303">
        <f t="shared" si="44"/>
        <v>0</v>
      </c>
      <c r="J159" s="303">
        <f t="shared" si="44"/>
        <v>0</v>
      </c>
      <c r="K159" s="286" t="str">
        <f t="shared" si="34"/>
        <v>n.é.</v>
      </c>
    </row>
    <row r="160" spans="1:11" ht="20.100000000000001" customHeight="1" x14ac:dyDescent="0.2">
      <c r="A160" s="285" t="s">
        <v>760</v>
      </c>
      <c r="B160" s="307" t="s">
        <v>142</v>
      </c>
      <c r="C160" s="268" t="s">
        <v>131</v>
      </c>
      <c r="D160" s="298"/>
      <c r="E160" s="376"/>
      <c r="F160" s="298"/>
      <c r="G160" s="298"/>
      <c r="H160" s="298"/>
      <c r="I160" s="298"/>
      <c r="J160" s="298"/>
      <c r="K160" s="299" t="str">
        <f t="shared" si="34"/>
        <v>n.é.</v>
      </c>
    </row>
    <row r="161" spans="1:11" ht="20.100000000000001" customHeight="1" x14ac:dyDescent="0.2">
      <c r="A161" s="285" t="s">
        <v>761</v>
      </c>
      <c r="B161" s="307" t="s">
        <v>734</v>
      </c>
      <c r="C161" s="268" t="s">
        <v>733</v>
      </c>
      <c r="D161" s="298"/>
      <c r="E161" s="376"/>
      <c r="F161" s="298"/>
      <c r="G161" s="298"/>
      <c r="H161" s="298"/>
      <c r="I161" s="298"/>
      <c r="J161" s="298"/>
      <c r="K161" s="299" t="str">
        <f t="shared" si="34"/>
        <v>n.é.</v>
      </c>
    </row>
    <row r="162" spans="1:11" ht="20.100000000000001" customHeight="1" x14ac:dyDescent="0.2">
      <c r="A162" s="285" t="s">
        <v>762</v>
      </c>
      <c r="B162" s="307" t="s">
        <v>735</v>
      </c>
      <c r="C162" s="268" t="s">
        <v>736</v>
      </c>
      <c r="D162" s="298"/>
      <c r="E162" s="376"/>
      <c r="F162" s="298"/>
      <c r="G162" s="298"/>
      <c r="H162" s="298"/>
      <c r="I162" s="298"/>
      <c r="J162" s="298"/>
      <c r="K162" s="299" t="str">
        <f t="shared" si="34"/>
        <v>n.é.</v>
      </c>
    </row>
    <row r="163" spans="1:11" ht="20.100000000000001" customHeight="1" x14ac:dyDescent="0.2">
      <c r="A163" s="285" t="s">
        <v>763</v>
      </c>
      <c r="B163" s="307" t="s">
        <v>737</v>
      </c>
      <c r="C163" s="268" t="s">
        <v>738</v>
      </c>
      <c r="D163" s="298"/>
      <c r="E163" s="376"/>
      <c r="F163" s="298"/>
      <c r="G163" s="298"/>
      <c r="H163" s="298"/>
      <c r="I163" s="298"/>
      <c r="J163" s="298"/>
      <c r="K163" s="299" t="str">
        <f t="shared" si="34"/>
        <v>n.é.</v>
      </c>
    </row>
    <row r="164" spans="1:11" ht="20.100000000000001" customHeight="1" x14ac:dyDescent="0.2">
      <c r="A164" s="285" t="s">
        <v>764</v>
      </c>
      <c r="B164" s="307" t="s">
        <v>425</v>
      </c>
      <c r="C164" s="268" t="s">
        <v>132</v>
      </c>
      <c r="D164" s="298"/>
      <c r="E164" s="376"/>
      <c r="F164" s="298"/>
      <c r="G164" s="298"/>
      <c r="H164" s="298"/>
      <c r="I164" s="298"/>
      <c r="J164" s="298"/>
      <c r="K164" s="299" t="str">
        <f t="shared" si="34"/>
        <v>n.é.</v>
      </c>
    </row>
    <row r="165" spans="1:11" ht="20.100000000000001" customHeight="1" x14ac:dyDescent="0.2">
      <c r="A165" s="285" t="s">
        <v>765</v>
      </c>
      <c r="B165" s="307" t="s">
        <v>424</v>
      </c>
      <c r="C165" s="268" t="s">
        <v>133</v>
      </c>
      <c r="D165" s="298"/>
      <c r="E165" s="376"/>
      <c r="F165" s="298"/>
      <c r="G165" s="298"/>
      <c r="H165" s="298"/>
      <c r="I165" s="298"/>
      <c r="J165" s="298"/>
      <c r="K165" s="299" t="str">
        <f t="shared" si="34"/>
        <v>n.é.</v>
      </c>
    </row>
    <row r="166" spans="1:11" ht="20.100000000000001" customHeight="1" x14ac:dyDescent="0.2">
      <c r="A166" s="285" t="s">
        <v>766</v>
      </c>
      <c r="B166" s="307" t="s">
        <v>423</v>
      </c>
      <c r="C166" s="268" t="s">
        <v>134</v>
      </c>
      <c r="D166" s="298"/>
      <c r="E166" s="376"/>
      <c r="F166" s="298"/>
      <c r="G166" s="298"/>
      <c r="H166" s="298"/>
      <c r="I166" s="298"/>
      <c r="J166" s="298"/>
      <c r="K166" s="299" t="str">
        <f t="shared" si="34"/>
        <v>n.é.</v>
      </c>
    </row>
    <row r="167" spans="1:11" ht="20.100000000000001" customHeight="1" x14ac:dyDescent="0.2">
      <c r="A167" s="285" t="s">
        <v>767</v>
      </c>
      <c r="B167" s="307" t="s">
        <v>143</v>
      </c>
      <c r="C167" s="268" t="s">
        <v>135</v>
      </c>
      <c r="D167" s="298"/>
      <c r="E167" s="376"/>
      <c r="F167" s="298"/>
      <c r="G167" s="298"/>
      <c r="H167" s="298"/>
      <c r="I167" s="298"/>
      <c r="J167" s="298"/>
      <c r="K167" s="299" t="str">
        <f t="shared" si="34"/>
        <v>n.é.</v>
      </c>
    </row>
    <row r="168" spans="1:11" ht="20.100000000000001" customHeight="1" x14ac:dyDescent="0.2">
      <c r="A168" s="285" t="s">
        <v>768</v>
      </c>
      <c r="B168" s="307" t="s">
        <v>422</v>
      </c>
      <c r="C168" s="268" t="s">
        <v>136</v>
      </c>
      <c r="D168" s="298"/>
      <c r="E168" s="376"/>
      <c r="F168" s="298"/>
      <c r="G168" s="298"/>
      <c r="H168" s="298"/>
      <c r="I168" s="298"/>
      <c r="J168" s="298"/>
      <c r="K168" s="299" t="str">
        <f t="shared" ref="K168:K173" si="45">IF(E168&gt;0,J168/E168,"n.é.")</f>
        <v>n.é.</v>
      </c>
    </row>
    <row r="169" spans="1:11" ht="20.100000000000001" customHeight="1" x14ac:dyDescent="0.2">
      <c r="A169" s="285" t="s">
        <v>769</v>
      </c>
      <c r="B169" s="307" t="s">
        <v>421</v>
      </c>
      <c r="C169" s="268" t="s">
        <v>137</v>
      </c>
      <c r="D169" s="298"/>
      <c r="E169" s="376"/>
      <c r="F169" s="298"/>
      <c r="G169" s="298"/>
      <c r="H169" s="298"/>
      <c r="I169" s="298"/>
      <c r="J169" s="298"/>
      <c r="K169" s="299" t="str">
        <f t="shared" si="45"/>
        <v>n.é.</v>
      </c>
    </row>
    <row r="170" spans="1:11" ht="20.100000000000001" customHeight="1" x14ac:dyDescent="0.2">
      <c r="A170" s="285" t="s">
        <v>770</v>
      </c>
      <c r="B170" s="307" t="s">
        <v>144</v>
      </c>
      <c r="C170" s="268" t="s">
        <v>138</v>
      </c>
      <c r="D170" s="298"/>
      <c r="E170" s="376"/>
      <c r="F170" s="298"/>
      <c r="G170" s="298"/>
      <c r="H170" s="298"/>
      <c r="I170" s="298"/>
      <c r="J170" s="298"/>
      <c r="K170" s="299" t="str">
        <f t="shared" si="45"/>
        <v>n.é.</v>
      </c>
    </row>
    <row r="171" spans="1:11" ht="20.100000000000001" customHeight="1" x14ac:dyDescent="0.2">
      <c r="A171" s="285" t="s">
        <v>771</v>
      </c>
      <c r="B171" s="316" t="s">
        <v>145</v>
      </c>
      <c r="C171" s="268" t="s">
        <v>139</v>
      </c>
      <c r="D171" s="298"/>
      <c r="E171" s="376"/>
      <c r="F171" s="298"/>
      <c r="G171" s="298"/>
      <c r="H171" s="298"/>
      <c r="I171" s="298"/>
      <c r="J171" s="298"/>
      <c r="K171" s="299" t="str">
        <f t="shared" si="45"/>
        <v>n.é.</v>
      </c>
    </row>
    <row r="172" spans="1:11" ht="20.100000000000001" customHeight="1" x14ac:dyDescent="0.2">
      <c r="A172" s="285" t="s">
        <v>772</v>
      </c>
      <c r="B172" s="307" t="s">
        <v>739</v>
      </c>
      <c r="C172" s="268" t="s">
        <v>140</v>
      </c>
      <c r="D172" s="298"/>
      <c r="E172" s="376"/>
      <c r="F172" s="298"/>
      <c r="G172" s="298"/>
      <c r="H172" s="298"/>
      <c r="I172" s="298"/>
      <c r="J172" s="298"/>
      <c r="K172" s="299" t="str">
        <f t="shared" si="45"/>
        <v>n.é.</v>
      </c>
    </row>
    <row r="173" spans="1:11" ht="20.100000000000001" customHeight="1" x14ac:dyDescent="0.2">
      <c r="A173" s="285" t="s">
        <v>773</v>
      </c>
      <c r="B173" s="307" t="s">
        <v>146</v>
      </c>
      <c r="C173" s="268" t="s">
        <v>141</v>
      </c>
      <c r="D173" s="298"/>
      <c r="E173" s="376"/>
      <c r="F173" s="298"/>
      <c r="G173" s="298"/>
      <c r="H173" s="298"/>
      <c r="I173" s="298"/>
      <c r="J173" s="298"/>
      <c r="K173" s="299" t="str">
        <f t="shared" si="45"/>
        <v>n.é.</v>
      </c>
    </row>
    <row r="174" spans="1:11" ht="20.100000000000001" customHeight="1" x14ac:dyDescent="0.2">
      <c r="A174" s="285" t="s">
        <v>774</v>
      </c>
      <c r="B174" s="316" t="s">
        <v>147</v>
      </c>
      <c r="C174" s="268" t="s">
        <v>740</v>
      </c>
      <c r="D174" s="298"/>
      <c r="E174" s="376"/>
      <c r="F174" s="297" t="s">
        <v>660</v>
      </c>
      <c r="G174" s="297" t="s">
        <v>660</v>
      </c>
      <c r="H174" s="297" t="s">
        <v>660</v>
      </c>
      <c r="I174" s="297" t="s">
        <v>660</v>
      </c>
      <c r="J174" s="297" t="s">
        <v>660</v>
      </c>
      <c r="K174" s="308" t="s">
        <v>662</v>
      </c>
    </row>
    <row r="175" spans="1:11" ht="20.100000000000001" customHeight="1" x14ac:dyDescent="0.2">
      <c r="A175" s="289" t="s">
        <v>775</v>
      </c>
      <c r="B175" s="310" t="s">
        <v>852</v>
      </c>
      <c r="C175" s="314" t="s">
        <v>59</v>
      </c>
      <c r="D175" s="303">
        <f t="shared" ref="D175:J175" si="46">SUM(D160:D174)</f>
        <v>0</v>
      </c>
      <c r="E175" s="378">
        <f t="shared" si="46"/>
        <v>0</v>
      </c>
      <c r="F175" s="303">
        <f t="shared" si="46"/>
        <v>0</v>
      </c>
      <c r="G175" s="303">
        <f t="shared" si="46"/>
        <v>0</v>
      </c>
      <c r="H175" s="303">
        <f t="shared" si="46"/>
        <v>0</v>
      </c>
      <c r="I175" s="303">
        <f t="shared" si="46"/>
        <v>0</v>
      </c>
      <c r="J175" s="303">
        <f t="shared" si="46"/>
        <v>0</v>
      </c>
      <c r="K175" s="286" t="str">
        <f t="shared" ref="K175:K206" si="47">IF(E175&gt;0,J175/E175,"n.é.")</f>
        <v>n.é.</v>
      </c>
    </row>
    <row r="176" spans="1:11" ht="20.100000000000001" customHeight="1" x14ac:dyDescent="0.2">
      <c r="A176" s="285" t="s">
        <v>776</v>
      </c>
      <c r="B176" s="327" t="s">
        <v>148</v>
      </c>
      <c r="C176" s="268" t="s">
        <v>124</v>
      </c>
      <c r="D176" s="298"/>
      <c r="E176" s="376"/>
      <c r="F176" s="298"/>
      <c r="G176" s="298"/>
      <c r="H176" s="298"/>
      <c r="I176" s="298"/>
      <c r="J176" s="298"/>
      <c r="K176" s="299" t="str">
        <f t="shared" si="47"/>
        <v>n.é.</v>
      </c>
    </row>
    <row r="177" spans="1:11" ht="20.100000000000001" customHeight="1" x14ac:dyDescent="0.2">
      <c r="A177" s="285" t="s">
        <v>777</v>
      </c>
      <c r="B177" s="327" t="s">
        <v>149</v>
      </c>
      <c r="C177" s="268" t="s">
        <v>125</v>
      </c>
      <c r="D177" s="298"/>
      <c r="E177" s="376"/>
      <c r="F177" s="298"/>
      <c r="G177" s="298"/>
      <c r="H177" s="298"/>
      <c r="I177" s="298"/>
      <c r="J177" s="298"/>
      <c r="K177" s="299" t="str">
        <f t="shared" si="47"/>
        <v>n.é.</v>
      </c>
    </row>
    <row r="178" spans="1:11" ht="20.100000000000001" customHeight="1" x14ac:dyDescent="0.2">
      <c r="A178" s="285" t="s">
        <v>778</v>
      </c>
      <c r="B178" s="327" t="s">
        <v>150</v>
      </c>
      <c r="C178" s="268" t="s">
        <v>126</v>
      </c>
      <c r="D178" s="298"/>
      <c r="E178" s="376"/>
      <c r="F178" s="298"/>
      <c r="G178" s="298"/>
      <c r="H178" s="298"/>
      <c r="I178" s="298"/>
      <c r="J178" s="298"/>
      <c r="K178" s="299" t="str">
        <f t="shared" si="47"/>
        <v>n.é.</v>
      </c>
    </row>
    <row r="179" spans="1:11" ht="20.100000000000001" customHeight="1" x14ac:dyDescent="0.2">
      <c r="A179" s="285" t="s">
        <v>779</v>
      </c>
      <c r="B179" s="327" t="s">
        <v>151</v>
      </c>
      <c r="C179" s="268" t="s">
        <v>127</v>
      </c>
      <c r="D179" s="298"/>
      <c r="E179" s="376">
        <v>98425</v>
      </c>
      <c r="F179" s="298"/>
      <c r="G179" s="298"/>
      <c r="H179" s="298"/>
      <c r="I179" s="298"/>
      <c r="J179" s="298">
        <v>98424</v>
      </c>
      <c r="K179" s="299">
        <f t="shared" si="47"/>
        <v>0.99998983997967994</v>
      </c>
    </row>
    <row r="180" spans="1:11" ht="20.100000000000001" customHeight="1" x14ac:dyDescent="0.2">
      <c r="A180" s="285" t="s">
        <v>780</v>
      </c>
      <c r="B180" s="266" t="s">
        <v>152</v>
      </c>
      <c r="C180" s="268" t="s">
        <v>128</v>
      </c>
      <c r="D180" s="298"/>
      <c r="E180" s="376"/>
      <c r="F180" s="298"/>
      <c r="G180" s="298"/>
      <c r="H180" s="298"/>
      <c r="I180" s="298"/>
      <c r="J180" s="298"/>
      <c r="K180" s="299" t="str">
        <f t="shared" si="47"/>
        <v>n.é.</v>
      </c>
    </row>
    <row r="181" spans="1:11" ht="20.100000000000001" customHeight="1" x14ac:dyDescent="0.2">
      <c r="A181" s="285" t="s">
        <v>781</v>
      </c>
      <c r="B181" s="266" t="s">
        <v>153</v>
      </c>
      <c r="C181" s="268" t="s">
        <v>129</v>
      </c>
      <c r="D181" s="298"/>
      <c r="E181" s="376"/>
      <c r="F181" s="298"/>
      <c r="G181" s="298"/>
      <c r="H181" s="298"/>
      <c r="I181" s="298"/>
      <c r="J181" s="298"/>
      <c r="K181" s="299" t="str">
        <f t="shared" si="47"/>
        <v>n.é.</v>
      </c>
    </row>
    <row r="182" spans="1:11" ht="20.100000000000001" customHeight="1" x14ac:dyDescent="0.2">
      <c r="A182" s="285" t="s">
        <v>782</v>
      </c>
      <c r="B182" s="266" t="s">
        <v>154</v>
      </c>
      <c r="C182" s="268" t="s">
        <v>130</v>
      </c>
      <c r="D182" s="298"/>
      <c r="E182" s="376">
        <v>26575</v>
      </c>
      <c r="F182" s="298"/>
      <c r="G182" s="298"/>
      <c r="H182" s="298"/>
      <c r="I182" s="298"/>
      <c r="J182" s="298">
        <v>26575</v>
      </c>
      <c r="K182" s="299">
        <f t="shared" si="47"/>
        <v>1</v>
      </c>
    </row>
    <row r="183" spans="1:11" s="3" customFormat="1" ht="20.100000000000001" customHeight="1" x14ac:dyDescent="0.2">
      <c r="A183" s="289" t="s">
        <v>783</v>
      </c>
      <c r="B183" s="290" t="s">
        <v>830</v>
      </c>
      <c r="C183" s="314" t="s">
        <v>60</v>
      </c>
      <c r="D183" s="303">
        <f t="shared" ref="D183:I183" si="48">SUM(D176:D182)</f>
        <v>0</v>
      </c>
      <c r="E183" s="378">
        <f t="shared" si="48"/>
        <v>125000</v>
      </c>
      <c r="F183" s="303">
        <f t="shared" si="48"/>
        <v>0</v>
      </c>
      <c r="G183" s="303">
        <f t="shared" si="48"/>
        <v>0</v>
      </c>
      <c r="H183" s="303">
        <f t="shared" si="48"/>
        <v>0</v>
      </c>
      <c r="I183" s="303">
        <f t="shared" si="48"/>
        <v>0</v>
      </c>
      <c r="J183" s="303">
        <f>SUM(J176:J182)</f>
        <v>124999</v>
      </c>
      <c r="K183" s="286">
        <f t="shared" si="47"/>
        <v>0.99999199999999999</v>
      </c>
    </row>
    <row r="184" spans="1:11" ht="20.100000000000001" customHeight="1" x14ac:dyDescent="0.2">
      <c r="A184" s="285" t="s">
        <v>784</v>
      </c>
      <c r="B184" s="272" t="s">
        <v>167</v>
      </c>
      <c r="C184" s="268" t="s">
        <v>155</v>
      </c>
      <c r="D184" s="298"/>
      <c r="E184" s="376"/>
      <c r="F184" s="298"/>
      <c r="G184" s="298"/>
      <c r="H184" s="298"/>
      <c r="I184" s="298"/>
      <c r="J184" s="298"/>
      <c r="K184" s="299" t="str">
        <f t="shared" si="47"/>
        <v>n.é.</v>
      </c>
    </row>
    <row r="185" spans="1:11" ht="20.100000000000001" customHeight="1" x14ac:dyDescent="0.2">
      <c r="A185" s="285" t="s">
        <v>785</v>
      </c>
      <c r="B185" s="272" t="s">
        <v>168</v>
      </c>
      <c r="C185" s="268" t="s">
        <v>156</v>
      </c>
      <c r="D185" s="298"/>
      <c r="E185" s="376"/>
      <c r="F185" s="298"/>
      <c r="G185" s="298"/>
      <c r="H185" s="298"/>
      <c r="I185" s="298"/>
      <c r="J185" s="298"/>
      <c r="K185" s="299" t="str">
        <f t="shared" si="47"/>
        <v>n.é.</v>
      </c>
    </row>
    <row r="186" spans="1:11" ht="20.100000000000001" customHeight="1" x14ac:dyDescent="0.2">
      <c r="A186" s="285" t="s">
        <v>786</v>
      </c>
      <c r="B186" s="272" t="s">
        <v>169</v>
      </c>
      <c r="C186" s="268" t="s">
        <v>157</v>
      </c>
      <c r="D186" s="298"/>
      <c r="E186" s="376"/>
      <c r="F186" s="298"/>
      <c r="G186" s="298"/>
      <c r="H186" s="298"/>
      <c r="I186" s="298"/>
      <c r="J186" s="298"/>
      <c r="K186" s="299" t="str">
        <f t="shared" si="47"/>
        <v>n.é.</v>
      </c>
    </row>
    <row r="187" spans="1:11" ht="20.100000000000001" customHeight="1" x14ac:dyDescent="0.2">
      <c r="A187" s="285" t="s">
        <v>787</v>
      </c>
      <c r="B187" s="272" t="s">
        <v>170</v>
      </c>
      <c r="C187" s="268" t="s">
        <v>158</v>
      </c>
      <c r="D187" s="298"/>
      <c r="E187" s="376"/>
      <c r="F187" s="298"/>
      <c r="G187" s="298"/>
      <c r="H187" s="298"/>
      <c r="I187" s="298"/>
      <c r="J187" s="298"/>
      <c r="K187" s="299" t="str">
        <f t="shared" si="47"/>
        <v>n.é.</v>
      </c>
    </row>
    <row r="188" spans="1:11" s="3" customFormat="1" ht="20.100000000000001" customHeight="1" x14ac:dyDescent="0.2">
      <c r="A188" s="289" t="s">
        <v>788</v>
      </c>
      <c r="B188" s="310" t="s">
        <v>831</v>
      </c>
      <c r="C188" s="314" t="s">
        <v>61</v>
      </c>
      <c r="D188" s="303">
        <f t="shared" ref="D188:J188" si="49">SUM(D184:D187)</f>
        <v>0</v>
      </c>
      <c r="E188" s="378">
        <f t="shared" si="49"/>
        <v>0</v>
      </c>
      <c r="F188" s="303">
        <f t="shared" si="49"/>
        <v>0</v>
      </c>
      <c r="G188" s="303">
        <f t="shared" si="49"/>
        <v>0</v>
      </c>
      <c r="H188" s="303">
        <f t="shared" si="49"/>
        <v>0</v>
      </c>
      <c r="I188" s="303">
        <f t="shared" si="49"/>
        <v>0</v>
      </c>
      <c r="J188" s="303">
        <f t="shared" si="49"/>
        <v>0</v>
      </c>
      <c r="K188" s="286" t="str">
        <f t="shared" si="47"/>
        <v>n.é.</v>
      </c>
    </row>
    <row r="189" spans="1:11" ht="20.100000000000001" customHeight="1" x14ac:dyDescent="0.2">
      <c r="A189" s="285" t="s">
        <v>789</v>
      </c>
      <c r="B189" s="272" t="s">
        <v>416</v>
      </c>
      <c r="C189" s="268" t="s">
        <v>159</v>
      </c>
      <c r="D189" s="298"/>
      <c r="E189" s="376"/>
      <c r="F189" s="298"/>
      <c r="G189" s="298"/>
      <c r="H189" s="298"/>
      <c r="I189" s="298"/>
      <c r="J189" s="298"/>
      <c r="K189" s="299" t="str">
        <f t="shared" si="47"/>
        <v>n.é.</v>
      </c>
    </row>
    <row r="190" spans="1:11" ht="20.100000000000001" customHeight="1" x14ac:dyDescent="0.2">
      <c r="A190" s="285" t="s">
        <v>790</v>
      </c>
      <c r="B190" s="272" t="s">
        <v>417</v>
      </c>
      <c r="C190" s="268" t="s">
        <v>160</v>
      </c>
      <c r="D190" s="298"/>
      <c r="E190" s="376"/>
      <c r="F190" s="298"/>
      <c r="G190" s="298"/>
      <c r="H190" s="298"/>
      <c r="I190" s="298"/>
      <c r="J190" s="298"/>
      <c r="K190" s="299" t="str">
        <f t="shared" si="47"/>
        <v>n.é.</v>
      </c>
    </row>
    <row r="191" spans="1:11" ht="20.100000000000001" customHeight="1" x14ac:dyDescent="0.2">
      <c r="A191" s="285" t="s">
        <v>791</v>
      </c>
      <c r="B191" s="272" t="s">
        <v>418</v>
      </c>
      <c r="C191" s="268" t="s">
        <v>161</v>
      </c>
      <c r="D191" s="298"/>
      <c r="E191" s="376"/>
      <c r="F191" s="298"/>
      <c r="G191" s="298"/>
      <c r="H191" s="298"/>
      <c r="I191" s="298"/>
      <c r="J191" s="298"/>
      <c r="K191" s="299" t="str">
        <f t="shared" si="47"/>
        <v>n.é.</v>
      </c>
    </row>
    <row r="192" spans="1:11" ht="20.100000000000001" customHeight="1" x14ac:dyDescent="0.2">
      <c r="A192" s="285" t="s">
        <v>792</v>
      </c>
      <c r="B192" s="272" t="s">
        <v>171</v>
      </c>
      <c r="C192" s="268" t="s">
        <v>162</v>
      </c>
      <c r="D192" s="298"/>
      <c r="E192" s="376"/>
      <c r="F192" s="298"/>
      <c r="G192" s="298"/>
      <c r="H192" s="298"/>
      <c r="I192" s="298"/>
      <c r="J192" s="298"/>
      <c r="K192" s="299" t="str">
        <f t="shared" si="47"/>
        <v>n.é.</v>
      </c>
    </row>
    <row r="193" spans="1:11" ht="20.100000000000001" customHeight="1" x14ac:dyDescent="0.2">
      <c r="A193" s="285" t="s">
        <v>793</v>
      </c>
      <c r="B193" s="272" t="s">
        <v>419</v>
      </c>
      <c r="C193" s="268" t="s">
        <v>163</v>
      </c>
      <c r="D193" s="298"/>
      <c r="E193" s="376"/>
      <c r="F193" s="298"/>
      <c r="G193" s="298"/>
      <c r="H193" s="298"/>
      <c r="I193" s="298"/>
      <c r="J193" s="298"/>
      <c r="K193" s="299" t="str">
        <f t="shared" si="47"/>
        <v>n.é.</v>
      </c>
    </row>
    <row r="194" spans="1:11" ht="20.100000000000001" customHeight="1" x14ac:dyDescent="0.2">
      <c r="A194" s="285" t="s">
        <v>794</v>
      </c>
      <c r="B194" s="272" t="s">
        <v>420</v>
      </c>
      <c r="C194" s="268" t="s">
        <v>164</v>
      </c>
      <c r="D194" s="298"/>
      <c r="E194" s="376"/>
      <c r="F194" s="298"/>
      <c r="G194" s="298"/>
      <c r="H194" s="298"/>
      <c r="I194" s="298"/>
      <c r="J194" s="298"/>
      <c r="K194" s="299" t="str">
        <f t="shared" si="47"/>
        <v>n.é.</v>
      </c>
    </row>
    <row r="195" spans="1:11" ht="20.100000000000001" customHeight="1" x14ac:dyDescent="0.2">
      <c r="A195" s="285" t="s">
        <v>795</v>
      </c>
      <c r="B195" s="272" t="s">
        <v>172</v>
      </c>
      <c r="C195" s="268" t="s">
        <v>165</v>
      </c>
      <c r="D195" s="298"/>
      <c r="E195" s="376"/>
      <c r="F195" s="298"/>
      <c r="G195" s="298"/>
      <c r="H195" s="298"/>
      <c r="I195" s="298"/>
      <c r="J195" s="298"/>
      <c r="K195" s="299" t="str">
        <f t="shared" si="47"/>
        <v>n.é.</v>
      </c>
    </row>
    <row r="196" spans="1:11" ht="20.100000000000001" customHeight="1" x14ac:dyDescent="0.2">
      <c r="A196" s="285" t="s">
        <v>796</v>
      </c>
      <c r="B196" s="272" t="s">
        <v>741</v>
      </c>
      <c r="C196" s="268" t="s">
        <v>166</v>
      </c>
      <c r="D196" s="298"/>
      <c r="E196" s="376"/>
      <c r="F196" s="298"/>
      <c r="G196" s="298"/>
      <c r="H196" s="298"/>
      <c r="I196" s="298"/>
      <c r="J196" s="298"/>
      <c r="K196" s="299" t="str">
        <f t="shared" si="47"/>
        <v>n.é.</v>
      </c>
    </row>
    <row r="197" spans="1:11" ht="20.100000000000001" customHeight="1" x14ac:dyDescent="0.2">
      <c r="A197" s="285" t="s">
        <v>797</v>
      </c>
      <c r="B197" s="272" t="s">
        <v>173</v>
      </c>
      <c r="C197" s="268" t="s">
        <v>742</v>
      </c>
      <c r="D197" s="298"/>
      <c r="E197" s="376"/>
      <c r="F197" s="298"/>
      <c r="G197" s="298"/>
      <c r="H197" s="298"/>
      <c r="I197" s="298"/>
      <c r="J197" s="298"/>
      <c r="K197" s="299" t="str">
        <f t="shared" si="47"/>
        <v>n.é.</v>
      </c>
    </row>
    <row r="198" spans="1:11" ht="20.100000000000001" customHeight="1" x14ac:dyDescent="0.2">
      <c r="A198" s="289" t="s">
        <v>798</v>
      </c>
      <c r="B198" s="310" t="s">
        <v>832</v>
      </c>
      <c r="C198" s="314" t="s">
        <v>62</v>
      </c>
      <c r="D198" s="303">
        <f>SUM(D189:D197)</f>
        <v>0</v>
      </c>
      <c r="E198" s="378"/>
      <c r="F198" s="303"/>
      <c r="G198" s="303"/>
      <c r="H198" s="303"/>
      <c r="I198" s="303"/>
      <c r="J198" s="303"/>
      <c r="K198" s="286" t="str">
        <f t="shared" si="47"/>
        <v>n.é.</v>
      </c>
    </row>
    <row r="199" spans="1:11" s="3" customFormat="1" ht="20.100000000000001" customHeight="1" x14ac:dyDescent="0.2">
      <c r="A199" s="323" t="s">
        <v>799</v>
      </c>
      <c r="B199" s="324" t="s">
        <v>833</v>
      </c>
      <c r="C199" s="271" t="s">
        <v>174</v>
      </c>
      <c r="D199" s="326">
        <f t="shared" ref="D199:J199" si="50">D121+D122+D150+D159+D175+D183+D188+D198</f>
        <v>54798281</v>
      </c>
      <c r="E199" s="378">
        <f t="shared" si="50"/>
        <v>54798281</v>
      </c>
      <c r="F199" s="326">
        <f t="shared" si="50"/>
        <v>0</v>
      </c>
      <c r="G199" s="326">
        <f t="shared" si="50"/>
        <v>0</v>
      </c>
      <c r="H199" s="326">
        <f t="shared" si="50"/>
        <v>0</v>
      </c>
      <c r="I199" s="326">
        <f t="shared" si="50"/>
        <v>0</v>
      </c>
      <c r="J199" s="326">
        <f t="shared" si="50"/>
        <v>33084075</v>
      </c>
      <c r="K199" s="322">
        <f t="shared" si="47"/>
        <v>0.60374293492892595</v>
      </c>
    </row>
    <row r="200" spans="1:11" ht="20.100000000000001" customHeight="1" x14ac:dyDescent="0.2">
      <c r="A200" s="285" t="s">
        <v>800</v>
      </c>
      <c r="B200" s="272" t="s">
        <v>743</v>
      </c>
      <c r="C200" s="267" t="s">
        <v>381</v>
      </c>
      <c r="D200" s="284"/>
      <c r="E200" s="384"/>
      <c r="F200" s="284"/>
      <c r="G200" s="284"/>
      <c r="H200" s="284"/>
      <c r="I200" s="284"/>
      <c r="J200" s="284"/>
      <c r="K200" s="286" t="str">
        <f t="shared" si="47"/>
        <v>n.é.</v>
      </c>
    </row>
    <row r="201" spans="1:11" ht="20.100000000000001" customHeight="1" x14ac:dyDescent="0.2">
      <c r="A201" s="285" t="s">
        <v>801</v>
      </c>
      <c r="B201" s="272" t="s">
        <v>382</v>
      </c>
      <c r="C201" s="267" t="s">
        <v>383</v>
      </c>
      <c r="D201" s="284"/>
      <c r="E201" s="384"/>
      <c r="F201" s="284"/>
      <c r="G201" s="284"/>
      <c r="H201" s="284"/>
      <c r="I201" s="284"/>
      <c r="J201" s="284"/>
      <c r="K201" s="286" t="str">
        <f t="shared" si="47"/>
        <v>n.é.</v>
      </c>
    </row>
    <row r="202" spans="1:11" ht="20.100000000000001" customHeight="1" x14ac:dyDescent="0.2">
      <c r="A202" s="285" t="s">
        <v>802</v>
      </c>
      <c r="B202" s="272" t="s">
        <v>744</v>
      </c>
      <c r="C202" s="267" t="s">
        <v>384</v>
      </c>
      <c r="D202" s="284"/>
      <c r="E202" s="384"/>
      <c r="F202" s="284"/>
      <c r="G202" s="284"/>
      <c r="H202" s="284"/>
      <c r="I202" s="284"/>
      <c r="J202" s="284"/>
      <c r="K202" s="286" t="str">
        <f t="shared" si="47"/>
        <v>n.é.</v>
      </c>
    </row>
    <row r="203" spans="1:11" ht="20.100000000000001" customHeight="1" x14ac:dyDescent="0.2">
      <c r="A203" s="289" t="s">
        <v>803</v>
      </c>
      <c r="B203" s="310" t="s">
        <v>834</v>
      </c>
      <c r="C203" s="291" t="s">
        <v>385</v>
      </c>
      <c r="D203" s="287">
        <f t="shared" ref="D203:J203" si="51">SUM(D200:D202)</f>
        <v>0</v>
      </c>
      <c r="E203" s="385">
        <f t="shared" si="51"/>
        <v>0</v>
      </c>
      <c r="F203" s="287">
        <f t="shared" si="51"/>
        <v>0</v>
      </c>
      <c r="G203" s="287">
        <f t="shared" si="51"/>
        <v>0</v>
      </c>
      <c r="H203" s="287">
        <f t="shared" si="51"/>
        <v>0</v>
      </c>
      <c r="I203" s="287">
        <f t="shared" si="51"/>
        <v>0</v>
      </c>
      <c r="J203" s="287">
        <f t="shared" si="51"/>
        <v>0</v>
      </c>
      <c r="K203" s="286" t="str">
        <f t="shared" si="47"/>
        <v>n.é.</v>
      </c>
    </row>
    <row r="204" spans="1:11" ht="20.100000000000001" customHeight="1" x14ac:dyDescent="0.2">
      <c r="A204" s="285" t="s">
        <v>804</v>
      </c>
      <c r="B204" s="266" t="s">
        <v>386</v>
      </c>
      <c r="C204" s="267" t="s">
        <v>387</v>
      </c>
      <c r="D204" s="284"/>
      <c r="E204" s="384"/>
      <c r="F204" s="284"/>
      <c r="G204" s="284"/>
      <c r="H204" s="284"/>
      <c r="I204" s="284"/>
      <c r="J204" s="284"/>
      <c r="K204" s="286" t="str">
        <f t="shared" si="47"/>
        <v>n.é.</v>
      </c>
    </row>
    <row r="205" spans="1:11" ht="20.100000000000001" customHeight="1" x14ac:dyDescent="0.2">
      <c r="A205" s="285" t="s">
        <v>805</v>
      </c>
      <c r="B205" s="272" t="s">
        <v>389</v>
      </c>
      <c r="C205" s="267" t="s">
        <v>388</v>
      </c>
      <c r="D205" s="284"/>
      <c r="E205" s="384"/>
      <c r="F205" s="284"/>
      <c r="G205" s="284"/>
      <c r="H205" s="284"/>
      <c r="I205" s="284"/>
      <c r="J205" s="284"/>
      <c r="K205" s="286" t="str">
        <f t="shared" si="47"/>
        <v>n.é.</v>
      </c>
    </row>
    <row r="206" spans="1:11" ht="20.100000000000001" customHeight="1" x14ac:dyDescent="0.2">
      <c r="A206" s="285" t="s">
        <v>806</v>
      </c>
      <c r="B206" s="272" t="s">
        <v>745</v>
      </c>
      <c r="C206" s="267" t="s">
        <v>390</v>
      </c>
      <c r="D206" s="284"/>
      <c r="E206" s="384"/>
      <c r="F206" s="284"/>
      <c r="G206" s="284"/>
      <c r="H206" s="284"/>
      <c r="I206" s="284"/>
      <c r="J206" s="284"/>
      <c r="K206" s="286" t="str">
        <f t="shared" si="47"/>
        <v>n.é.</v>
      </c>
    </row>
    <row r="207" spans="1:11" ht="20.100000000000001" customHeight="1" x14ac:dyDescent="0.2">
      <c r="A207" s="285" t="s">
        <v>807</v>
      </c>
      <c r="B207" s="272" t="s">
        <v>746</v>
      </c>
      <c r="C207" s="267" t="s">
        <v>391</v>
      </c>
      <c r="D207" s="284"/>
      <c r="E207" s="384"/>
      <c r="F207" s="284"/>
      <c r="G207" s="284"/>
      <c r="H207" s="284"/>
      <c r="I207" s="284"/>
      <c r="J207" s="284"/>
      <c r="K207" s="286" t="str">
        <f t="shared" ref="K207:K229" si="52">IF(E207&gt;0,J207/E207,"n.é.")</f>
        <v>n.é.</v>
      </c>
    </row>
    <row r="208" spans="1:11" ht="20.100000000000001" customHeight="1" x14ac:dyDescent="0.2">
      <c r="A208" s="285" t="s">
        <v>808</v>
      </c>
      <c r="B208" s="272" t="s">
        <v>747</v>
      </c>
      <c r="C208" s="267" t="s">
        <v>748</v>
      </c>
      <c r="D208" s="284"/>
      <c r="E208" s="384"/>
      <c r="F208" s="284"/>
      <c r="G208" s="284"/>
      <c r="H208" s="284"/>
      <c r="I208" s="284"/>
      <c r="J208" s="284"/>
      <c r="K208" s="286" t="str">
        <f t="shared" si="52"/>
        <v>n.é.</v>
      </c>
    </row>
    <row r="209" spans="1:11" ht="20.100000000000001" customHeight="1" x14ac:dyDescent="0.2">
      <c r="A209" s="289" t="s">
        <v>809</v>
      </c>
      <c r="B209" s="290" t="s">
        <v>835</v>
      </c>
      <c r="C209" s="291" t="s">
        <v>392</v>
      </c>
      <c r="D209" s="287">
        <f t="shared" ref="D209:J209" si="53">SUM(D204:D208)</f>
        <v>0</v>
      </c>
      <c r="E209" s="385">
        <f t="shared" si="53"/>
        <v>0</v>
      </c>
      <c r="F209" s="287">
        <f t="shared" si="53"/>
        <v>0</v>
      </c>
      <c r="G209" s="287">
        <f t="shared" si="53"/>
        <v>0</v>
      </c>
      <c r="H209" s="287">
        <f t="shared" si="53"/>
        <v>0</v>
      </c>
      <c r="I209" s="287">
        <f t="shared" si="53"/>
        <v>0</v>
      </c>
      <c r="J209" s="287">
        <f t="shared" si="53"/>
        <v>0</v>
      </c>
      <c r="K209" s="286" t="str">
        <f t="shared" si="52"/>
        <v>n.é.</v>
      </c>
    </row>
    <row r="210" spans="1:11" ht="20.100000000000001" customHeight="1" x14ac:dyDescent="0.2">
      <c r="A210" s="285" t="s">
        <v>810</v>
      </c>
      <c r="B210" s="266" t="s">
        <v>393</v>
      </c>
      <c r="C210" s="267" t="s">
        <v>394</v>
      </c>
      <c r="D210" s="284"/>
      <c r="E210" s="384"/>
      <c r="F210" s="284"/>
      <c r="G210" s="284"/>
      <c r="H210" s="284"/>
      <c r="I210" s="284"/>
      <c r="J210" s="284"/>
      <c r="K210" s="288" t="str">
        <f t="shared" si="52"/>
        <v>n.é.</v>
      </c>
    </row>
    <row r="211" spans="1:11" ht="20.100000000000001" customHeight="1" x14ac:dyDescent="0.2">
      <c r="A211" s="285" t="s">
        <v>811</v>
      </c>
      <c r="B211" s="266" t="s">
        <v>395</v>
      </c>
      <c r="C211" s="267" t="s">
        <v>396</v>
      </c>
      <c r="D211" s="284"/>
      <c r="E211" s="384"/>
      <c r="F211" s="284"/>
      <c r="G211" s="284"/>
      <c r="H211" s="284"/>
      <c r="I211" s="284"/>
      <c r="J211" s="284"/>
      <c r="K211" s="288" t="str">
        <f t="shared" si="52"/>
        <v>n.é.</v>
      </c>
    </row>
    <row r="212" spans="1:11" ht="20.100000000000001" customHeight="1" x14ac:dyDescent="0.2">
      <c r="A212" s="285" t="s">
        <v>812</v>
      </c>
      <c r="B212" s="266" t="s">
        <v>397</v>
      </c>
      <c r="C212" s="267" t="s">
        <v>398</v>
      </c>
      <c r="D212" s="284"/>
      <c r="E212" s="384"/>
      <c r="F212" s="284"/>
      <c r="G212" s="284"/>
      <c r="H212" s="284"/>
      <c r="I212" s="284"/>
      <c r="J212" s="284"/>
      <c r="K212" s="288" t="str">
        <f t="shared" si="52"/>
        <v>n.é.</v>
      </c>
    </row>
    <row r="213" spans="1:11" ht="20.100000000000001" customHeight="1" x14ac:dyDescent="0.2">
      <c r="A213" s="285" t="s">
        <v>813</v>
      </c>
      <c r="B213" s="266" t="s">
        <v>749</v>
      </c>
      <c r="C213" s="267" t="s">
        <v>399</v>
      </c>
      <c r="D213" s="284"/>
      <c r="E213" s="384"/>
      <c r="F213" s="284"/>
      <c r="G213" s="284"/>
      <c r="H213" s="284"/>
      <c r="I213" s="284"/>
      <c r="J213" s="284"/>
      <c r="K213" s="288" t="str">
        <f t="shared" si="52"/>
        <v>n.é.</v>
      </c>
    </row>
    <row r="214" spans="1:11" ht="20.100000000000001" customHeight="1" x14ac:dyDescent="0.2">
      <c r="A214" s="285" t="s">
        <v>814</v>
      </c>
      <c r="B214" s="266" t="s">
        <v>400</v>
      </c>
      <c r="C214" s="267" t="s">
        <v>401</v>
      </c>
      <c r="D214" s="284"/>
      <c r="E214" s="384"/>
      <c r="F214" s="284"/>
      <c r="G214" s="284"/>
      <c r="H214" s="284"/>
      <c r="I214" s="284"/>
      <c r="J214" s="284"/>
      <c r="K214" s="288" t="str">
        <f t="shared" si="52"/>
        <v>n.é.</v>
      </c>
    </row>
    <row r="215" spans="1:11" ht="20.100000000000001" customHeight="1" x14ac:dyDescent="0.2">
      <c r="A215" s="285" t="s">
        <v>815</v>
      </c>
      <c r="B215" s="266" t="s">
        <v>402</v>
      </c>
      <c r="C215" s="267" t="s">
        <v>403</v>
      </c>
      <c r="D215" s="284"/>
      <c r="E215" s="384"/>
      <c r="F215" s="284"/>
      <c r="G215" s="284"/>
      <c r="H215" s="284"/>
      <c r="I215" s="284"/>
      <c r="J215" s="284"/>
      <c r="K215" s="288" t="str">
        <f t="shared" si="52"/>
        <v>n.é.</v>
      </c>
    </row>
    <row r="216" spans="1:11" ht="20.100000000000001" customHeight="1" x14ac:dyDescent="0.2">
      <c r="A216" s="285" t="s">
        <v>816</v>
      </c>
      <c r="B216" s="266" t="s">
        <v>752</v>
      </c>
      <c r="C216" s="267" t="s">
        <v>753</v>
      </c>
      <c r="D216" s="284"/>
      <c r="E216" s="384"/>
      <c r="F216" s="284"/>
      <c r="G216" s="284"/>
      <c r="H216" s="284"/>
      <c r="I216" s="284"/>
      <c r="J216" s="284"/>
      <c r="K216" s="288" t="str">
        <f t="shared" si="52"/>
        <v>n.é.</v>
      </c>
    </row>
    <row r="217" spans="1:11" ht="20.100000000000001" customHeight="1" x14ac:dyDescent="0.2">
      <c r="A217" s="285" t="s">
        <v>817</v>
      </c>
      <c r="B217" s="266" t="s">
        <v>751</v>
      </c>
      <c r="C217" s="267" t="s">
        <v>754</v>
      </c>
      <c r="D217" s="284"/>
      <c r="E217" s="384"/>
      <c r="F217" s="284"/>
      <c r="G217" s="284"/>
      <c r="H217" s="284"/>
      <c r="I217" s="284"/>
      <c r="J217" s="284"/>
      <c r="K217" s="288" t="str">
        <f t="shared" si="52"/>
        <v>n.é.</v>
      </c>
    </row>
    <row r="218" spans="1:11" s="3" customFormat="1" ht="20.100000000000001" customHeight="1" x14ac:dyDescent="0.2">
      <c r="A218" s="289" t="s">
        <v>818</v>
      </c>
      <c r="B218" s="290" t="s">
        <v>836</v>
      </c>
      <c r="C218" s="291" t="s">
        <v>750</v>
      </c>
      <c r="D218" s="292">
        <f t="shared" ref="D218:J218" si="54">SUM(D216:D217)</f>
        <v>0</v>
      </c>
      <c r="E218" s="386">
        <f t="shared" si="54"/>
        <v>0</v>
      </c>
      <c r="F218" s="292">
        <f t="shared" si="54"/>
        <v>0</v>
      </c>
      <c r="G218" s="292">
        <f t="shared" si="54"/>
        <v>0</v>
      </c>
      <c r="H218" s="292">
        <f t="shared" si="54"/>
        <v>0</v>
      </c>
      <c r="I218" s="292">
        <f t="shared" si="54"/>
        <v>0</v>
      </c>
      <c r="J218" s="292">
        <f t="shared" si="54"/>
        <v>0</v>
      </c>
      <c r="K218" s="286" t="str">
        <f t="shared" si="52"/>
        <v>n.é.</v>
      </c>
    </row>
    <row r="219" spans="1:11" ht="20.100000000000001" customHeight="1" x14ac:dyDescent="0.2">
      <c r="A219" s="289" t="s">
        <v>819</v>
      </c>
      <c r="B219" s="290" t="s">
        <v>837</v>
      </c>
      <c r="C219" s="291" t="s">
        <v>404</v>
      </c>
      <c r="D219" s="287">
        <f t="shared" ref="D219:J219" si="55">D203+SUM(D209:D215)+D218</f>
        <v>0</v>
      </c>
      <c r="E219" s="385">
        <f t="shared" si="55"/>
        <v>0</v>
      </c>
      <c r="F219" s="287">
        <f t="shared" si="55"/>
        <v>0</v>
      </c>
      <c r="G219" s="287">
        <f t="shared" si="55"/>
        <v>0</v>
      </c>
      <c r="H219" s="287">
        <f t="shared" si="55"/>
        <v>0</v>
      </c>
      <c r="I219" s="287">
        <f t="shared" si="55"/>
        <v>0</v>
      </c>
      <c r="J219" s="287">
        <f t="shared" si="55"/>
        <v>0</v>
      </c>
      <c r="K219" s="286" t="str">
        <f t="shared" si="52"/>
        <v>n.é.</v>
      </c>
    </row>
    <row r="220" spans="1:11" ht="20.100000000000001" customHeight="1" x14ac:dyDescent="0.2">
      <c r="A220" s="285" t="s">
        <v>820</v>
      </c>
      <c r="B220" s="266" t="s">
        <v>405</v>
      </c>
      <c r="C220" s="267" t="s">
        <v>406</v>
      </c>
      <c r="D220" s="284"/>
      <c r="E220" s="384"/>
      <c r="F220" s="284"/>
      <c r="G220" s="284"/>
      <c r="H220" s="284"/>
      <c r="I220" s="284"/>
      <c r="J220" s="284"/>
      <c r="K220" s="286" t="str">
        <f t="shared" si="52"/>
        <v>n.é.</v>
      </c>
    </row>
    <row r="221" spans="1:11" ht="20.100000000000001" customHeight="1" x14ac:dyDescent="0.2">
      <c r="A221" s="285" t="s">
        <v>821</v>
      </c>
      <c r="B221" s="272" t="s">
        <v>407</v>
      </c>
      <c r="C221" s="267" t="s">
        <v>408</v>
      </c>
      <c r="D221" s="284"/>
      <c r="E221" s="384"/>
      <c r="F221" s="284"/>
      <c r="G221" s="284"/>
      <c r="H221" s="284"/>
      <c r="I221" s="284"/>
      <c r="J221" s="284"/>
      <c r="K221" s="286" t="str">
        <f t="shared" si="52"/>
        <v>n.é.</v>
      </c>
    </row>
    <row r="222" spans="1:11" ht="20.100000000000001" customHeight="1" x14ac:dyDescent="0.2">
      <c r="A222" s="285" t="s">
        <v>822</v>
      </c>
      <c r="B222" s="266" t="s">
        <v>409</v>
      </c>
      <c r="C222" s="267" t="s">
        <v>410</v>
      </c>
      <c r="D222" s="284"/>
      <c r="E222" s="384"/>
      <c r="F222" s="284"/>
      <c r="G222" s="284"/>
      <c r="H222" s="284"/>
      <c r="I222" s="284"/>
      <c r="J222" s="284"/>
      <c r="K222" s="286" t="str">
        <f t="shared" si="52"/>
        <v>n.é.</v>
      </c>
    </row>
    <row r="223" spans="1:11" ht="20.100000000000001" customHeight="1" x14ac:dyDescent="0.2">
      <c r="A223" s="285" t="s">
        <v>823</v>
      </c>
      <c r="B223" s="266" t="s">
        <v>757</v>
      </c>
      <c r="C223" s="267" t="s">
        <v>411</v>
      </c>
      <c r="D223" s="284"/>
      <c r="E223" s="384"/>
      <c r="F223" s="284"/>
      <c r="G223" s="284"/>
      <c r="H223" s="284"/>
      <c r="I223" s="284"/>
      <c r="J223" s="284"/>
      <c r="K223" s="286" t="str">
        <f t="shared" si="52"/>
        <v>n.é.</v>
      </c>
    </row>
    <row r="224" spans="1:11" ht="20.100000000000001" customHeight="1" x14ac:dyDescent="0.2">
      <c r="A224" s="285" t="s">
        <v>824</v>
      </c>
      <c r="B224" s="266" t="s">
        <v>755</v>
      </c>
      <c r="C224" s="267" t="s">
        <v>756</v>
      </c>
      <c r="D224" s="284"/>
      <c r="E224" s="384"/>
      <c r="F224" s="284"/>
      <c r="G224" s="284"/>
      <c r="H224" s="284"/>
      <c r="I224" s="284"/>
      <c r="J224" s="284"/>
      <c r="K224" s="286" t="str">
        <f t="shared" si="52"/>
        <v>n.é.</v>
      </c>
    </row>
    <row r="225" spans="1:11" s="3" customFormat="1" ht="20.100000000000001" customHeight="1" x14ac:dyDescent="0.2">
      <c r="A225" s="289" t="s">
        <v>825</v>
      </c>
      <c r="B225" s="290" t="s">
        <v>838</v>
      </c>
      <c r="C225" s="291" t="s">
        <v>412</v>
      </c>
      <c r="D225" s="287">
        <f t="shared" ref="D225:J225" si="56">SUM(D220:D224)</f>
        <v>0</v>
      </c>
      <c r="E225" s="385">
        <f t="shared" si="56"/>
        <v>0</v>
      </c>
      <c r="F225" s="287">
        <f t="shared" si="56"/>
        <v>0</v>
      </c>
      <c r="G225" s="287">
        <f t="shared" si="56"/>
        <v>0</v>
      </c>
      <c r="H225" s="287">
        <f t="shared" si="56"/>
        <v>0</v>
      </c>
      <c r="I225" s="287">
        <f t="shared" si="56"/>
        <v>0</v>
      </c>
      <c r="J225" s="287">
        <f t="shared" si="56"/>
        <v>0</v>
      </c>
      <c r="K225" s="286" t="str">
        <f t="shared" si="52"/>
        <v>n.é.</v>
      </c>
    </row>
    <row r="226" spans="1:11" ht="20.100000000000001" customHeight="1" x14ac:dyDescent="0.2">
      <c r="A226" s="285" t="s">
        <v>826</v>
      </c>
      <c r="B226" s="272" t="s">
        <v>413</v>
      </c>
      <c r="C226" s="267" t="s">
        <v>414</v>
      </c>
      <c r="D226" s="284"/>
      <c r="E226" s="384"/>
      <c r="F226" s="284"/>
      <c r="G226" s="284"/>
      <c r="H226" s="284"/>
      <c r="I226" s="284"/>
      <c r="J226" s="284"/>
      <c r="K226" s="288" t="str">
        <f t="shared" si="52"/>
        <v>n.é.</v>
      </c>
    </row>
    <row r="227" spans="1:11" ht="20.100000000000001" customHeight="1" x14ac:dyDescent="0.2">
      <c r="A227" s="285" t="s">
        <v>827</v>
      </c>
      <c r="B227" s="272" t="s">
        <v>758</v>
      </c>
      <c r="C227" s="267" t="s">
        <v>759</v>
      </c>
      <c r="D227" s="284"/>
      <c r="E227" s="384"/>
      <c r="F227" s="284"/>
      <c r="G227" s="284"/>
      <c r="H227" s="284"/>
      <c r="I227" s="284"/>
      <c r="J227" s="284"/>
      <c r="K227" s="288" t="str">
        <f t="shared" si="52"/>
        <v>n.é.</v>
      </c>
    </row>
    <row r="228" spans="1:11" s="3" customFormat="1" ht="20.100000000000001" customHeight="1" x14ac:dyDescent="0.2">
      <c r="A228" s="323" t="s">
        <v>828</v>
      </c>
      <c r="B228" s="324" t="s">
        <v>839</v>
      </c>
      <c r="C228" s="325" t="s">
        <v>415</v>
      </c>
      <c r="D228" s="321">
        <f>D219+D225+D226+D227</f>
        <v>0</v>
      </c>
      <c r="E228" s="385">
        <f t="shared" ref="E228" si="57">E219+E225+E226+E227</f>
        <v>0</v>
      </c>
      <c r="F228" s="321">
        <f t="shared" ref="F228" si="58">F219+F225+F226+F227</f>
        <v>0</v>
      </c>
      <c r="G228" s="321">
        <f t="shared" ref="G228" si="59">G219+G225+G226+G227</f>
        <v>0</v>
      </c>
      <c r="H228" s="321">
        <f t="shared" ref="H228" si="60">H219+H225+H226+H227</f>
        <v>0</v>
      </c>
      <c r="I228" s="321">
        <f t="shared" ref="I228" si="61">I219+I225+I226+I227</f>
        <v>0</v>
      </c>
      <c r="J228" s="321">
        <f t="shared" ref="J228" si="62">J219+J225+J226+J227</f>
        <v>0</v>
      </c>
      <c r="K228" s="322" t="str">
        <f t="shared" si="52"/>
        <v>n.é.</v>
      </c>
    </row>
    <row r="229" spans="1:11" s="3" customFormat="1" ht="20.100000000000001" customHeight="1" x14ac:dyDescent="0.2">
      <c r="A229" s="261" t="s">
        <v>829</v>
      </c>
      <c r="B229" s="262" t="s">
        <v>840</v>
      </c>
      <c r="C229" s="263"/>
      <c r="D229" s="319">
        <f t="shared" ref="D229:J229" si="63">D199+D228</f>
        <v>54798281</v>
      </c>
      <c r="E229" s="388">
        <f t="shared" si="63"/>
        <v>54798281</v>
      </c>
      <c r="F229" s="319">
        <f t="shared" si="63"/>
        <v>0</v>
      </c>
      <c r="G229" s="319">
        <f t="shared" si="63"/>
        <v>0</v>
      </c>
      <c r="H229" s="319">
        <f t="shared" si="63"/>
        <v>0</v>
      </c>
      <c r="I229" s="319">
        <f t="shared" si="63"/>
        <v>0</v>
      </c>
      <c r="J229" s="319">
        <f t="shared" si="63"/>
        <v>33084075</v>
      </c>
      <c r="K229" s="320">
        <f t="shared" si="52"/>
        <v>0.60374293492892595</v>
      </c>
    </row>
    <row r="231" spans="1:11" x14ac:dyDescent="0.2">
      <c r="C231" s="187"/>
      <c r="D231" s="183">
        <f>D229-D102</f>
        <v>0</v>
      </c>
      <c r="E231" s="183">
        <f>E229-E102</f>
        <v>0</v>
      </c>
      <c r="F231" s="182"/>
      <c r="G231" s="182"/>
      <c r="H231" s="182"/>
      <c r="I231" s="182"/>
      <c r="J231" s="183">
        <f>J102-J229</f>
        <v>5561094</v>
      </c>
      <c r="K231" s="184"/>
    </row>
  </sheetData>
  <autoFilter ref="A7:K229" xr:uid="{00000000-0009-0000-0000-000005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1">
    <mergeCell ref="K5:K6"/>
    <mergeCell ref="A1:K1"/>
    <mergeCell ref="A2:K2"/>
    <mergeCell ref="A3:K3"/>
    <mergeCell ref="A4:K4"/>
    <mergeCell ref="A5:A6"/>
    <mergeCell ref="B5:B6"/>
    <mergeCell ref="C5:C6"/>
    <mergeCell ref="D5:E5"/>
    <mergeCell ref="F5:I5"/>
    <mergeCell ref="J5:J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23" fitToHeight="0" orientation="landscape" r:id="rId1"/>
  <headerFooter alignWithMargins="0">
    <oddFooter>&amp;P. oldal, összesen: &amp;N</oddFooter>
  </headerFooter>
  <rowBreaks count="2" manualBreakCount="2">
    <brk id="102" max="10" man="1"/>
    <brk id="13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theme="6" tint="0.59999389629810485"/>
  </sheetPr>
  <dimension ref="A1:L243"/>
  <sheetViews>
    <sheetView showGridLines="0" view="pageBreakPreview" zoomScale="90" zoomScaleNormal="100" zoomScaleSheetLayoutView="90" workbookViewId="0">
      <pane xSplit="2" ySplit="7" topLeftCell="C8" activePane="bottomRight" state="frozen"/>
      <selection sqref="A1:BK1"/>
      <selection pane="topRight" sqref="A1:BK1"/>
      <selection pane="bottomLeft" sqref="A1:BK1"/>
      <selection pane="bottomRight" sqref="A1:K1"/>
    </sheetView>
  </sheetViews>
  <sheetFormatPr defaultColWidth="9.140625" defaultRowHeight="12.75" x14ac:dyDescent="0.2"/>
  <cols>
    <col min="1" max="1" width="5.140625" style="4" customWidth="1"/>
    <col min="2" max="2" width="58.42578125" style="1" customWidth="1"/>
    <col min="3" max="3" width="6.140625" style="1" customWidth="1"/>
    <col min="4" max="4" width="12.28515625" style="1" customWidth="1"/>
    <col min="5" max="5" width="11.7109375" style="1" customWidth="1"/>
    <col min="6" max="6" width="14.85546875" style="1" customWidth="1"/>
    <col min="7" max="7" width="9.85546875" style="1" customWidth="1"/>
    <col min="8" max="8" width="13.140625" style="1" customWidth="1"/>
    <col min="9" max="9" width="10.42578125" style="1" customWidth="1"/>
    <col min="10" max="10" width="11.42578125" style="1" customWidth="1"/>
    <col min="11" max="11" width="8.42578125" style="1" customWidth="1"/>
    <col min="12" max="20" width="2.7109375" style="1" customWidth="1"/>
    <col min="21" max="16384" width="9.140625" style="1"/>
  </cols>
  <sheetData>
    <row r="1" spans="1:12" ht="28.5" customHeight="1" x14ac:dyDescent="0.2">
      <c r="A1" s="423" t="s">
        <v>942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2" ht="28.5" customHeight="1" x14ac:dyDescent="0.2">
      <c r="A2" s="412" t="s">
        <v>875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2" ht="15" customHeight="1" x14ac:dyDescent="0.2">
      <c r="A3" s="414" t="s">
        <v>474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2" ht="15.95" customHeight="1" x14ac:dyDescent="0.2">
      <c r="A4" s="416" t="s">
        <v>659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2"/>
    </row>
    <row r="5" spans="1:12" ht="15.95" customHeight="1" x14ac:dyDescent="0.2">
      <c r="A5" s="418" t="s">
        <v>441</v>
      </c>
      <c r="B5" s="419" t="s">
        <v>26</v>
      </c>
      <c r="C5" s="420" t="s">
        <v>442</v>
      </c>
      <c r="D5" s="421" t="s">
        <v>469</v>
      </c>
      <c r="E5" s="421"/>
      <c r="F5" s="426" t="s">
        <v>661</v>
      </c>
      <c r="G5" s="427"/>
      <c r="H5" s="427"/>
      <c r="I5" s="427"/>
      <c r="J5" s="422" t="s">
        <v>438</v>
      </c>
      <c r="K5" s="422" t="s">
        <v>439</v>
      </c>
      <c r="L5" s="2"/>
    </row>
    <row r="6" spans="1:12" ht="47.25" customHeight="1" x14ac:dyDescent="0.2">
      <c r="A6" s="418"/>
      <c r="B6" s="419"/>
      <c r="C6" s="420"/>
      <c r="D6" s="281" t="s">
        <v>467</v>
      </c>
      <c r="E6" s="281" t="s">
        <v>468</v>
      </c>
      <c r="F6" s="337" t="s">
        <v>470</v>
      </c>
      <c r="G6" s="337" t="s">
        <v>473</v>
      </c>
      <c r="H6" s="337" t="s">
        <v>471</v>
      </c>
      <c r="I6" s="337" t="s">
        <v>472</v>
      </c>
      <c r="J6" s="422"/>
      <c r="K6" s="422"/>
    </row>
    <row r="7" spans="1:12" x14ac:dyDescent="0.2">
      <c r="A7" s="279" t="s">
        <v>176</v>
      </c>
      <c r="B7" s="280" t="s">
        <v>177</v>
      </c>
      <c r="C7" s="280" t="s">
        <v>178</v>
      </c>
      <c r="D7" s="280" t="s">
        <v>175</v>
      </c>
      <c r="E7" s="280" t="s">
        <v>440</v>
      </c>
      <c r="F7" s="280" t="s">
        <v>552</v>
      </c>
      <c r="G7" s="280" t="s">
        <v>553</v>
      </c>
      <c r="H7" s="280" t="s">
        <v>567</v>
      </c>
      <c r="I7" s="280" t="s">
        <v>568</v>
      </c>
      <c r="J7" s="280" t="s">
        <v>569</v>
      </c>
      <c r="K7" s="280" t="s">
        <v>570</v>
      </c>
    </row>
    <row r="8" spans="1:12" ht="20.100000000000001" hidden="1" customHeight="1" x14ac:dyDescent="0.2">
      <c r="A8" s="265" t="s">
        <v>0</v>
      </c>
      <c r="B8" s="307" t="s">
        <v>242</v>
      </c>
      <c r="C8" s="276" t="s">
        <v>243</v>
      </c>
      <c r="D8" s="304"/>
      <c r="E8" s="304"/>
      <c r="F8" s="309"/>
      <c r="G8" s="297" t="s">
        <v>660</v>
      </c>
      <c r="H8" s="304"/>
      <c r="I8" s="297" t="s">
        <v>660</v>
      </c>
      <c r="J8" s="309"/>
      <c r="K8" s="234" t="str">
        <f t="shared" ref="K8:K42" si="0">IF(E8&gt;0,J8/E8,"n.é.")</f>
        <v>n.é.</v>
      </c>
    </row>
    <row r="9" spans="1:12" ht="20.100000000000001" hidden="1" customHeight="1" x14ac:dyDescent="0.2">
      <c r="A9" s="265" t="s">
        <v>1</v>
      </c>
      <c r="B9" s="272" t="s">
        <v>244</v>
      </c>
      <c r="C9" s="276" t="s">
        <v>245</v>
      </c>
      <c r="D9" s="304"/>
      <c r="E9" s="304"/>
      <c r="F9" s="309"/>
      <c r="G9" s="297" t="s">
        <v>660</v>
      </c>
      <c r="H9" s="304"/>
      <c r="I9" s="297" t="s">
        <v>660</v>
      </c>
      <c r="J9" s="309"/>
      <c r="K9" s="234" t="str">
        <f t="shared" si="0"/>
        <v>n.é.</v>
      </c>
    </row>
    <row r="10" spans="1:12" ht="20.100000000000001" hidden="1" customHeight="1" x14ac:dyDescent="0.2">
      <c r="A10" s="265" t="s">
        <v>2</v>
      </c>
      <c r="B10" s="272" t="s">
        <v>246</v>
      </c>
      <c r="C10" s="276" t="s">
        <v>247</v>
      </c>
      <c r="D10" s="304"/>
      <c r="E10" s="304"/>
      <c r="F10" s="309"/>
      <c r="G10" s="297" t="s">
        <v>660</v>
      </c>
      <c r="H10" s="304"/>
      <c r="I10" s="297" t="s">
        <v>660</v>
      </c>
      <c r="J10" s="309"/>
      <c r="K10" s="234" t="str">
        <f t="shared" si="0"/>
        <v>n.é.</v>
      </c>
    </row>
    <row r="11" spans="1:12" ht="20.100000000000001" hidden="1" customHeight="1" x14ac:dyDescent="0.2">
      <c r="A11" s="265" t="s">
        <v>3</v>
      </c>
      <c r="B11" s="272" t="s">
        <v>248</v>
      </c>
      <c r="C11" s="276" t="s">
        <v>249</v>
      </c>
      <c r="D11" s="304"/>
      <c r="E11" s="304"/>
      <c r="F11" s="309"/>
      <c r="G11" s="297" t="s">
        <v>660</v>
      </c>
      <c r="H11" s="304"/>
      <c r="I11" s="297" t="s">
        <v>660</v>
      </c>
      <c r="J11" s="309"/>
      <c r="K11" s="234" t="str">
        <f t="shared" si="0"/>
        <v>n.é.</v>
      </c>
    </row>
    <row r="12" spans="1:12" ht="20.100000000000001" hidden="1" customHeight="1" x14ac:dyDescent="0.2">
      <c r="A12" s="265" t="s">
        <v>4</v>
      </c>
      <c r="B12" s="272" t="s">
        <v>666</v>
      </c>
      <c r="C12" s="276" t="s">
        <v>250</v>
      </c>
      <c r="D12" s="304"/>
      <c r="E12" s="304"/>
      <c r="F12" s="309"/>
      <c r="G12" s="211" t="s">
        <v>660</v>
      </c>
      <c r="H12" s="304"/>
      <c r="I12" s="211" t="s">
        <v>660</v>
      </c>
      <c r="J12" s="309"/>
      <c r="K12" s="234" t="str">
        <f t="shared" si="0"/>
        <v>n.é.</v>
      </c>
    </row>
    <row r="13" spans="1:12" ht="20.100000000000001" hidden="1" customHeight="1" x14ac:dyDescent="0.2">
      <c r="A13" s="265" t="s">
        <v>5</v>
      </c>
      <c r="B13" s="272" t="s">
        <v>667</v>
      </c>
      <c r="C13" s="276" t="s">
        <v>251</v>
      </c>
      <c r="D13" s="304"/>
      <c r="E13" s="304"/>
      <c r="F13" s="309"/>
      <c r="G13" s="211" t="s">
        <v>660</v>
      </c>
      <c r="H13" s="309"/>
      <c r="I13" s="211" t="s">
        <v>660</v>
      </c>
      <c r="J13" s="309"/>
      <c r="K13" s="234" t="str">
        <f t="shared" si="0"/>
        <v>n.é.</v>
      </c>
    </row>
    <row r="14" spans="1:12" s="3" customFormat="1" ht="20.100000000000001" customHeight="1" x14ac:dyDescent="0.2">
      <c r="A14" s="306" t="s">
        <v>6</v>
      </c>
      <c r="B14" s="310" t="s">
        <v>252</v>
      </c>
      <c r="C14" s="317" t="s">
        <v>253</v>
      </c>
      <c r="D14" s="303">
        <f>D8+D9+D10+D11+D12+D13</f>
        <v>0</v>
      </c>
      <c r="E14" s="303">
        <f>E8+E9+E10+E11+E12+E13</f>
        <v>0</v>
      </c>
      <c r="F14" s="303">
        <f>F8+F9+F10+F11+F12+F13</f>
        <v>0</v>
      </c>
      <c r="G14" s="312" t="s">
        <v>660</v>
      </c>
      <c r="H14" s="303">
        <f>H8+H9+H10+H11+H12+H13</f>
        <v>0</v>
      </c>
      <c r="I14" s="312" t="s">
        <v>660</v>
      </c>
      <c r="J14" s="303">
        <f>J8+J9+J10+J11+J12+J13</f>
        <v>0</v>
      </c>
      <c r="K14" s="311" t="str">
        <f t="shared" si="0"/>
        <v>n.é.</v>
      </c>
    </row>
    <row r="15" spans="1:12" ht="20.100000000000001" hidden="1" customHeight="1" x14ac:dyDescent="0.2">
      <c r="A15" s="265" t="s">
        <v>7</v>
      </c>
      <c r="B15" s="272" t="s">
        <v>254</v>
      </c>
      <c r="C15" s="276" t="s">
        <v>255</v>
      </c>
      <c r="D15" s="304"/>
      <c r="E15" s="304"/>
      <c r="F15" s="304"/>
      <c r="G15" s="211" t="s">
        <v>660</v>
      </c>
      <c r="H15" s="304"/>
      <c r="I15" s="211" t="s">
        <v>660</v>
      </c>
      <c r="J15" s="304"/>
      <c r="K15" s="234" t="str">
        <f t="shared" si="0"/>
        <v>n.é.</v>
      </c>
    </row>
    <row r="16" spans="1:12" ht="20.100000000000001" hidden="1" customHeight="1" x14ac:dyDescent="0.2">
      <c r="A16" s="265" t="s">
        <v>8</v>
      </c>
      <c r="B16" s="272" t="s">
        <v>427</v>
      </c>
      <c r="C16" s="276" t="s">
        <v>256</v>
      </c>
      <c r="D16" s="304"/>
      <c r="E16" s="304"/>
      <c r="F16" s="304"/>
      <c r="G16" s="211" t="s">
        <v>660</v>
      </c>
      <c r="H16" s="304"/>
      <c r="I16" s="211" t="s">
        <v>660</v>
      </c>
      <c r="J16" s="304"/>
      <c r="K16" s="234" t="str">
        <f t="shared" si="0"/>
        <v>n.é.</v>
      </c>
    </row>
    <row r="17" spans="1:11" ht="20.100000000000001" hidden="1" customHeight="1" x14ac:dyDescent="0.2">
      <c r="A17" s="265" t="s">
        <v>9</v>
      </c>
      <c r="B17" s="272" t="s">
        <v>428</v>
      </c>
      <c r="C17" s="276" t="s">
        <v>257</v>
      </c>
      <c r="D17" s="304"/>
      <c r="E17" s="304"/>
      <c r="F17" s="304"/>
      <c r="G17" s="211" t="s">
        <v>660</v>
      </c>
      <c r="H17" s="304"/>
      <c r="I17" s="211" t="s">
        <v>660</v>
      </c>
      <c r="J17" s="304"/>
      <c r="K17" s="234" t="str">
        <f t="shared" si="0"/>
        <v>n.é.</v>
      </c>
    </row>
    <row r="18" spans="1:11" ht="20.100000000000001" hidden="1" customHeight="1" x14ac:dyDescent="0.2">
      <c r="A18" s="265" t="s">
        <v>10</v>
      </c>
      <c r="B18" s="272" t="s">
        <v>429</v>
      </c>
      <c r="C18" s="276" t="s">
        <v>258</v>
      </c>
      <c r="D18" s="304"/>
      <c r="E18" s="304"/>
      <c r="F18" s="304"/>
      <c r="G18" s="211" t="s">
        <v>660</v>
      </c>
      <c r="H18" s="304"/>
      <c r="I18" s="211" t="s">
        <v>660</v>
      </c>
      <c r="J18" s="304"/>
      <c r="K18" s="234" t="str">
        <f t="shared" si="0"/>
        <v>n.é.</v>
      </c>
    </row>
    <row r="19" spans="1:11" ht="20.100000000000001" hidden="1" customHeight="1" x14ac:dyDescent="0.2">
      <c r="A19" s="265" t="s">
        <v>11</v>
      </c>
      <c r="B19" s="272" t="s">
        <v>259</v>
      </c>
      <c r="C19" s="276" t="s">
        <v>260</v>
      </c>
      <c r="D19" s="304"/>
      <c r="E19" s="304"/>
      <c r="F19" s="309"/>
      <c r="G19" s="211" t="s">
        <v>660</v>
      </c>
      <c r="H19" s="304"/>
      <c r="I19" s="211" t="s">
        <v>660</v>
      </c>
      <c r="J19" s="309"/>
      <c r="K19" s="234" t="str">
        <f t="shared" si="0"/>
        <v>n.é.</v>
      </c>
    </row>
    <row r="20" spans="1:11" s="3" customFormat="1" ht="28.5" customHeight="1" x14ac:dyDescent="0.2">
      <c r="A20" s="306" t="s">
        <v>12</v>
      </c>
      <c r="B20" s="310" t="s">
        <v>261</v>
      </c>
      <c r="C20" s="317" t="s">
        <v>262</v>
      </c>
      <c r="D20" s="303">
        <f>SUM(D14:D19)</f>
        <v>0</v>
      </c>
      <c r="E20" s="303">
        <f>SUM(E14:E19)</f>
        <v>0</v>
      </c>
      <c r="F20" s="303">
        <f>SUM(F14:F19)</f>
        <v>0</v>
      </c>
      <c r="G20" s="312" t="s">
        <v>660</v>
      </c>
      <c r="H20" s="303">
        <f>SUM(H14:H19)</f>
        <v>0</v>
      </c>
      <c r="I20" s="312" t="s">
        <v>660</v>
      </c>
      <c r="J20" s="303">
        <f>SUM(J14:J19)</f>
        <v>0</v>
      </c>
      <c r="K20" s="311" t="str">
        <f t="shared" si="0"/>
        <v>n.é.</v>
      </c>
    </row>
    <row r="21" spans="1:11" ht="20.100000000000001" hidden="1" customHeight="1" x14ac:dyDescent="0.2">
      <c r="A21" s="265" t="s">
        <v>13</v>
      </c>
      <c r="B21" s="272" t="s">
        <v>263</v>
      </c>
      <c r="C21" s="276" t="s">
        <v>264</v>
      </c>
      <c r="D21" s="304"/>
      <c r="E21" s="304"/>
      <c r="F21" s="309"/>
      <c r="G21" s="211" t="s">
        <v>660</v>
      </c>
      <c r="H21" s="309"/>
      <c r="I21" s="211" t="s">
        <v>660</v>
      </c>
      <c r="J21" s="309"/>
      <c r="K21" s="234" t="str">
        <f t="shared" si="0"/>
        <v>n.é.</v>
      </c>
    </row>
    <row r="22" spans="1:11" ht="20.100000000000001" hidden="1" customHeight="1" x14ac:dyDescent="0.2">
      <c r="A22" s="265" t="s">
        <v>14</v>
      </c>
      <c r="B22" s="272" t="s">
        <v>430</v>
      </c>
      <c r="C22" s="276" t="s">
        <v>265</v>
      </c>
      <c r="D22" s="304"/>
      <c r="E22" s="304"/>
      <c r="F22" s="304"/>
      <c r="G22" s="211" t="s">
        <v>660</v>
      </c>
      <c r="H22" s="304"/>
      <c r="I22" s="211" t="s">
        <v>660</v>
      </c>
      <c r="J22" s="304"/>
      <c r="K22" s="234" t="str">
        <f t="shared" si="0"/>
        <v>n.é.</v>
      </c>
    </row>
    <row r="23" spans="1:11" ht="20.100000000000001" hidden="1" customHeight="1" x14ac:dyDescent="0.2">
      <c r="A23" s="265" t="s">
        <v>15</v>
      </c>
      <c r="B23" s="272" t="s">
        <v>431</v>
      </c>
      <c r="C23" s="276" t="s">
        <v>266</v>
      </c>
      <c r="D23" s="304"/>
      <c r="E23" s="304"/>
      <c r="F23" s="304"/>
      <c r="G23" s="211" t="s">
        <v>660</v>
      </c>
      <c r="H23" s="304"/>
      <c r="I23" s="211" t="s">
        <v>660</v>
      </c>
      <c r="J23" s="304"/>
      <c r="K23" s="234" t="str">
        <f t="shared" si="0"/>
        <v>n.é.</v>
      </c>
    </row>
    <row r="24" spans="1:11" ht="20.100000000000001" hidden="1" customHeight="1" x14ac:dyDescent="0.2">
      <c r="A24" s="265" t="s">
        <v>53</v>
      </c>
      <c r="B24" s="272" t="s">
        <v>432</v>
      </c>
      <c r="C24" s="276" t="s">
        <v>267</v>
      </c>
      <c r="D24" s="304"/>
      <c r="E24" s="304"/>
      <c r="F24" s="304"/>
      <c r="G24" s="211" t="s">
        <v>660</v>
      </c>
      <c r="H24" s="304"/>
      <c r="I24" s="211" t="s">
        <v>660</v>
      </c>
      <c r="J24" s="304"/>
      <c r="K24" s="234" t="str">
        <f t="shared" si="0"/>
        <v>n.é.</v>
      </c>
    </row>
    <row r="25" spans="1:11" ht="20.100000000000001" hidden="1" customHeight="1" x14ac:dyDescent="0.2">
      <c r="A25" s="265" t="s">
        <v>54</v>
      </c>
      <c r="B25" s="272" t="s">
        <v>268</v>
      </c>
      <c r="C25" s="276" t="s">
        <v>269</v>
      </c>
      <c r="D25" s="304"/>
      <c r="E25" s="304"/>
      <c r="F25" s="309"/>
      <c r="G25" s="211" t="s">
        <v>660</v>
      </c>
      <c r="H25" s="309"/>
      <c r="I25" s="211" t="s">
        <v>660</v>
      </c>
      <c r="J25" s="309"/>
      <c r="K25" s="234" t="str">
        <f t="shared" si="0"/>
        <v>n.é.</v>
      </c>
    </row>
    <row r="26" spans="1:11" s="3" customFormat="1" ht="24" customHeight="1" x14ac:dyDescent="0.2">
      <c r="A26" s="306" t="s">
        <v>55</v>
      </c>
      <c r="B26" s="310" t="s">
        <v>270</v>
      </c>
      <c r="C26" s="317" t="s">
        <v>271</v>
      </c>
      <c r="D26" s="303">
        <f>SUM(D21:D25)</f>
        <v>0</v>
      </c>
      <c r="E26" s="303">
        <f>SUM(E21:E25)</f>
        <v>0</v>
      </c>
      <c r="F26" s="303">
        <f>SUM(F21:F25)</f>
        <v>0</v>
      </c>
      <c r="G26" s="312" t="s">
        <v>660</v>
      </c>
      <c r="H26" s="303">
        <f>SUM(H21:H25)</f>
        <v>0</v>
      </c>
      <c r="I26" s="312" t="s">
        <v>660</v>
      </c>
      <c r="J26" s="303">
        <f>SUM(J21:J25)</f>
        <v>0</v>
      </c>
      <c r="K26" s="311" t="str">
        <f t="shared" si="0"/>
        <v>n.é.</v>
      </c>
    </row>
    <row r="27" spans="1:11" ht="20.100000000000001" hidden="1" customHeight="1" x14ac:dyDescent="0.2">
      <c r="A27" s="265" t="s">
        <v>56</v>
      </c>
      <c r="B27" s="272" t="s">
        <v>272</v>
      </c>
      <c r="C27" s="276" t="s">
        <v>273</v>
      </c>
      <c r="D27" s="304"/>
      <c r="E27" s="304"/>
      <c r="F27" s="304"/>
      <c r="G27" s="211" t="s">
        <v>660</v>
      </c>
      <c r="H27" s="304"/>
      <c r="I27" s="211" t="s">
        <v>660</v>
      </c>
      <c r="J27" s="304"/>
      <c r="K27" s="234" t="str">
        <f t="shared" si="0"/>
        <v>n.é.</v>
      </c>
    </row>
    <row r="28" spans="1:11" ht="20.100000000000001" hidden="1" customHeight="1" x14ac:dyDescent="0.2">
      <c r="A28" s="265" t="s">
        <v>106</v>
      </c>
      <c r="B28" s="272" t="s">
        <v>274</v>
      </c>
      <c r="C28" s="276" t="s">
        <v>275</v>
      </c>
      <c r="D28" s="304"/>
      <c r="E28" s="304"/>
      <c r="F28" s="304"/>
      <c r="G28" s="211" t="s">
        <v>660</v>
      </c>
      <c r="H28" s="304"/>
      <c r="I28" s="211" t="s">
        <v>660</v>
      </c>
      <c r="J28" s="304"/>
      <c r="K28" s="234" t="str">
        <f t="shared" si="0"/>
        <v>n.é.</v>
      </c>
    </row>
    <row r="29" spans="1:11" s="3" customFormat="1" ht="20.100000000000001" customHeight="1" x14ac:dyDescent="0.2">
      <c r="A29" s="306" t="s">
        <v>107</v>
      </c>
      <c r="B29" s="310" t="s">
        <v>276</v>
      </c>
      <c r="C29" s="317" t="s">
        <v>277</v>
      </c>
      <c r="D29" s="303">
        <f>SUM(D27:D28)</f>
        <v>0</v>
      </c>
      <c r="E29" s="303">
        <f>SUM(E27:E28)</f>
        <v>0</v>
      </c>
      <c r="F29" s="303">
        <f>SUM(F27:F28)</f>
        <v>0</v>
      </c>
      <c r="G29" s="312" t="s">
        <v>660</v>
      </c>
      <c r="H29" s="303">
        <f>SUM(H27:H28)</f>
        <v>0</v>
      </c>
      <c r="I29" s="312" t="s">
        <v>660</v>
      </c>
      <c r="J29" s="303">
        <f>SUM(J27:J28)</f>
        <v>0</v>
      </c>
      <c r="K29" s="311" t="str">
        <f t="shared" si="0"/>
        <v>n.é.</v>
      </c>
    </row>
    <row r="30" spans="1:11" ht="20.100000000000001" hidden="1" customHeight="1" x14ac:dyDescent="0.2">
      <c r="A30" s="265" t="s">
        <v>179</v>
      </c>
      <c r="B30" s="272" t="s">
        <v>278</v>
      </c>
      <c r="C30" s="276" t="s">
        <v>279</v>
      </c>
      <c r="D30" s="304"/>
      <c r="E30" s="304"/>
      <c r="F30" s="304"/>
      <c r="G30" s="211" t="s">
        <v>660</v>
      </c>
      <c r="H30" s="304"/>
      <c r="I30" s="211" t="s">
        <v>660</v>
      </c>
      <c r="J30" s="304"/>
      <c r="K30" s="234" t="str">
        <f t="shared" si="0"/>
        <v>n.é.</v>
      </c>
    </row>
    <row r="31" spans="1:11" ht="20.100000000000001" hidden="1" customHeight="1" x14ac:dyDescent="0.2">
      <c r="A31" s="265" t="s">
        <v>180</v>
      </c>
      <c r="B31" s="272" t="s">
        <v>280</v>
      </c>
      <c r="C31" s="276" t="s">
        <v>281</v>
      </c>
      <c r="D31" s="304"/>
      <c r="E31" s="304"/>
      <c r="F31" s="304"/>
      <c r="G31" s="211" t="s">
        <v>660</v>
      </c>
      <c r="H31" s="304"/>
      <c r="I31" s="211" t="s">
        <v>660</v>
      </c>
      <c r="J31" s="304"/>
      <c r="K31" s="234" t="str">
        <f t="shared" si="0"/>
        <v>n.é.</v>
      </c>
    </row>
    <row r="32" spans="1:11" ht="20.100000000000001" hidden="1" customHeight="1" x14ac:dyDescent="0.2">
      <c r="A32" s="265" t="s">
        <v>181</v>
      </c>
      <c r="B32" s="272" t="s">
        <v>282</v>
      </c>
      <c r="C32" s="276" t="s">
        <v>283</v>
      </c>
      <c r="D32" s="304"/>
      <c r="E32" s="304"/>
      <c r="F32" s="309"/>
      <c r="G32" s="211" t="s">
        <v>660</v>
      </c>
      <c r="H32" s="309"/>
      <c r="I32" s="211" t="s">
        <v>660</v>
      </c>
      <c r="J32" s="309"/>
      <c r="K32" s="234" t="str">
        <f t="shared" si="0"/>
        <v>n.é.</v>
      </c>
    </row>
    <row r="33" spans="1:11" ht="20.100000000000001" hidden="1" customHeight="1" x14ac:dyDescent="0.2">
      <c r="A33" s="265" t="s">
        <v>182</v>
      </c>
      <c r="B33" s="272" t="s">
        <v>284</v>
      </c>
      <c r="C33" s="276" t="s">
        <v>285</v>
      </c>
      <c r="D33" s="304"/>
      <c r="E33" s="304"/>
      <c r="F33" s="309"/>
      <c r="G33" s="211" t="s">
        <v>660</v>
      </c>
      <c r="H33" s="309"/>
      <c r="I33" s="211" t="s">
        <v>660</v>
      </c>
      <c r="J33" s="309"/>
      <c r="K33" s="234" t="str">
        <f t="shared" si="0"/>
        <v>n.é.</v>
      </c>
    </row>
    <row r="34" spans="1:11" ht="20.100000000000001" hidden="1" customHeight="1" x14ac:dyDescent="0.2">
      <c r="A34" s="265" t="s">
        <v>183</v>
      </c>
      <c r="B34" s="272" t="s">
        <v>286</v>
      </c>
      <c r="C34" s="276" t="s">
        <v>287</v>
      </c>
      <c r="D34" s="304"/>
      <c r="E34" s="304"/>
      <c r="F34" s="304"/>
      <c r="G34" s="211" t="s">
        <v>660</v>
      </c>
      <c r="H34" s="304"/>
      <c r="I34" s="211" t="s">
        <v>660</v>
      </c>
      <c r="J34" s="304"/>
      <c r="K34" s="234" t="str">
        <f t="shared" si="0"/>
        <v>n.é.</v>
      </c>
    </row>
    <row r="35" spans="1:11" ht="20.100000000000001" hidden="1" customHeight="1" x14ac:dyDescent="0.2">
      <c r="A35" s="265" t="s">
        <v>184</v>
      </c>
      <c r="B35" s="272" t="s">
        <v>288</v>
      </c>
      <c r="C35" s="276" t="s">
        <v>289</v>
      </c>
      <c r="D35" s="304"/>
      <c r="E35" s="304"/>
      <c r="F35" s="304"/>
      <c r="G35" s="211" t="s">
        <v>660</v>
      </c>
      <c r="H35" s="304"/>
      <c r="I35" s="211" t="s">
        <v>660</v>
      </c>
      <c r="J35" s="304"/>
      <c r="K35" s="234" t="str">
        <f t="shared" si="0"/>
        <v>n.é.</v>
      </c>
    </row>
    <row r="36" spans="1:11" ht="20.100000000000001" hidden="1" customHeight="1" x14ac:dyDescent="0.2">
      <c r="A36" s="265" t="s">
        <v>185</v>
      </c>
      <c r="B36" s="272" t="s">
        <v>290</v>
      </c>
      <c r="C36" s="276" t="s">
        <v>291</v>
      </c>
      <c r="D36" s="304"/>
      <c r="E36" s="304"/>
      <c r="F36" s="309"/>
      <c r="G36" s="211" t="s">
        <v>660</v>
      </c>
      <c r="H36" s="309"/>
      <c r="I36" s="211" t="s">
        <v>660</v>
      </c>
      <c r="J36" s="309"/>
      <c r="K36" s="234" t="str">
        <f t="shared" si="0"/>
        <v>n.é.</v>
      </c>
    </row>
    <row r="37" spans="1:11" ht="20.100000000000001" hidden="1" customHeight="1" x14ac:dyDescent="0.2">
      <c r="A37" s="265" t="s">
        <v>186</v>
      </c>
      <c r="B37" s="272" t="s">
        <v>292</v>
      </c>
      <c r="C37" s="276" t="s">
        <v>293</v>
      </c>
      <c r="D37" s="304"/>
      <c r="E37" s="304"/>
      <c r="F37" s="309"/>
      <c r="G37" s="211" t="s">
        <v>660</v>
      </c>
      <c r="H37" s="309"/>
      <c r="I37" s="211" t="s">
        <v>660</v>
      </c>
      <c r="J37" s="309"/>
      <c r="K37" s="234" t="str">
        <f t="shared" si="0"/>
        <v>n.é.</v>
      </c>
    </row>
    <row r="38" spans="1:11" s="3" customFormat="1" ht="20.100000000000001" customHeight="1" x14ac:dyDescent="0.2">
      <c r="A38" s="306" t="s">
        <v>187</v>
      </c>
      <c r="B38" s="310" t="s">
        <v>294</v>
      </c>
      <c r="C38" s="317" t="s">
        <v>295</v>
      </c>
      <c r="D38" s="303">
        <f>SUM(D33:D37)</f>
        <v>0</v>
      </c>
      <c r="E38" s="303">
        <f>SUM(E33:E37)</f>
        <v>0</v>
      </c>
      <c r="F38" s="303">
        <f>SUM(F33:F37)</f>
        <v>0</v>
      </c>
      <c r="G38" s="312" t="s">
        <v>660</v>
      </c>
      <c r="H38" s="303">
        <f>SUM(H33:H37)</f>
        <v>0</v>
      </c>
      <c r="I38" s="312" t="s">
        <v>660</v>
      </c>
      <c r="J38" s="303">
        <f>SUM(J33:J37)</f>
        <v>0</v>
      </c>
      <c r="K38" s="311" t="str">
        <f t="shared" si="0"/>
        <v>n.é.</v>
      </c>
    </row>
    <row r="39" spans="1:11" ht="20.100000000000001" hidden="1" customHeight="1" x14ac:dyDescent="0.2">
      <c r="A39" s="265" t="s">
        <v>188</v>
      </c>
      <c r="B39" s="272" t="s">
        <v>296</v>
      </c>
      <c r="C39" s="276" t="s">
        <v>297</v>
      </c>
      <c r="D39" s="304"/>
      <c r="E39" s="304"/>
      <c r="F39" s="309"/>
      <c r="G39" s="211" t="s">
        <v>660</v>
      </c>
      <c r="H39" s="309"/>
      <c r="I39" s="211" t="s">
        <v>660</v>
      </c>
      <c r="J39" s="309"/>
      <c r="K39" s="234" t="str">
        <f t="shared" si="0"/>
        <v>n.é.</v>
      </c>
    </row>
    <row r="40" spans="1:11" s="3" customFormat="1" ht="21" customHeight="1" x14ac:dyDescent="0.2">
      <c r="A40" s="306" t="s">
        <v>189</v>
      </c>
      <c r="B40" s="310" t="s">
        <v>298</v>
      </c>
      <c r="C40" s="317" t="s">
        <v>299</v>
      </c>
      <c r="D40" s="303">
        <f>D29+D30+D31+D32+D38+D39</f>
        <v>0</v>
      </c>
      <c r="E40" s="303">
        <f>E29+E30+E31+E32+E38+E39</f>
        <v>0</v>
      </c>
      <c r="F40" s="303">
        <f>F29+F30+F31+F32+F38+F39</f>
        <v>0</v>
      </c>
      <c r="G40" s="312" t="s">
        <v>660</v>
      </c>
      <c r="H40" s="303">
        <f>H29+H30+H31+H32+H38+H39</f>
        <v>0</v>
      </c>
      <c r="I40" s="312" t="s">
        <v>660</v>
      </c>
      <c r="J40" s="303">
        <f>J29+J30+J31+J32+J38+J39</f>
        <v>0</v>
      </c>
      <c r="K40" s="311" t="str">
        <f t="shared" si="0"/>
        <v>n.é.</v>
      </c>
    </row>
    <row r="41" spans="1:11" ht="23.25" customHeight="1" x14ac:dyDescent="0.2">
      <c r="A41" s="265" t="s">
        <v>190</v>
      </c>
      <c r="B41" s="272" t="s">
        <v>300</v>
      </c>
      <c r="C41" s="276" t="s">
        <v>301</v>
      </c>
      <c r="D41" s="304"/>
      <c r="E41" s="304"/>
      <c r="F41" s="309">
        <v>5650</v>
      </c>
      <c r="G41" s="211" t="s">
        <v>660</v>
      </c>
      <c r="H41" s="309"/>
      <c r="I41" s="211" t="s">
        <v>660</v>
      </c>
      <c r="J41" s="309">
        <v>5650</v>
      </c>
      <c r="K41" s="234" t="str">
        <f t="shared" si="0"/>
        <v>n.é.</v>
      </c>
    </row>
    <row r="42" spans="1:11" ht="20.100000000000001" customHeight="1" x14ac:dyDescent="0.2">
      <c r="A42" s="265" t="s">
        <v>191</v>
      </c>
      <c r="B42" s="272" t="s">
        <v>302</v>
      </c>
      <c r="C42" s="276" t="s">
        <v>303</v>
      </c>
      <c r="D42" s="304">
        <f>SUM(D43:D44)</f>
        <v>19840333</v>
      </c>
      <c r="E42" s="304">
        <f>SUM(E43:E44)</f>
        <v>19840333</v>
      </c>
      <c r="F42" s="309"/>
      <c r="G42" s="211" t="s">
        <v>660</v>
      </c>
      <c r="H42" s="309"/>
      <c r="I42" s="211" t="s">
        <v>660</v>
      </c>
      <c r="J42" s="309">
        <v>14692052</v>
      </c>
      <c r="K42" s="234">
        <f t="shared" si="0"/>
        <v>0.74051438551963822</v>
      </c>
    </row>
    <row r="43" spans="1:11" s="6" customFormat="1" ht="20.100000000000001" customHeight="1" x14ac:dyDescent="0.2">
      <c r="A43" s="293" t="s">
        <v>476</v>
      </c>
      <c r="B43" s="294" t="s">
        <v>891</v>
      </c>
      <c r="C43" s="295" t="s">
        <v>476</v>
      </c>
      <c r="D43" s="296">
        <v>19540333</v>
      </c>
      <c r="E43" s="296">
        <v>19540333</v>
      </c>
      <c r="F43" s="297" t="s">
        <v>660</v>
      </c>
      <c r="G43" s="297" t="s">
        <v>660</v>
      </c>
      <c r="H43" s="297" t="s">
        <v>660</v>
      </c>
      <c r="I43" s="297" t="s">
        <v>660</v>
      </c>
      <c r="J43" s="297" t="s">
        <v>660</v>
      </c>
      <c r="K43" s="308" t="s">
        <v>662</v>
      </c>
    </row>
    <row r="44" spans="1:11" s="6" customFormat="1" ht="20.100000000000001" customHeight="1" x14ac:dyDescent="0.2">
      <c r="A44" s="293" t="s">
        <v>476</v>
      </c>
      <c r="B44" s="294" t="s">
        <v>867</v>
      </c>
      <c r="C44" s="295" t="s">
        <v>476</v>
      </c>
      <c r="D44" s="296">
        <v>300000</v>
      </c>
      <c r="E44" s="296">
        <v>300000</v>
      </c>
      <c r="F44" s="297" t="s">
        <v>660</v>
      </c>
      <c r="G44" s="297" t="s">
        <v>660</v>
      </c>
      <c r="H44" s="297" t="s">
        <v>660</v>
      </c>
      <c r="I44" s="297" t="s">
        <v>660</v>
      </c>
      <c r="J44" s="297" t="s">
        <v>660</v>
      </c>
      <c r="K44" s="308" t="s">
        <v>662</v>
      </c>
    </row>
    <row r="45" spans="1:11" ht="20.100000000000001" hidden="1" customHeight="1" x14ac:dyDescent="0.2">
      <c r="A45" s="265" t="s">
        <v>192</v>
      </c>
      <c r="B45" s="272" t="s">
        <v>304</v>
      </c>
      <c r="C45" s="276" t="s">
        <v>305</v>
      </c>
      <c r="D45" s="304"/>
      <c r="E45" s="304"/>
      <c r="F45" s="304"/>
      <c r="G45" s="305" t="s">
        <v>660</v>
      </c>
      <c r="H45" s="304"/>
      <c r="I45" s="305" t="s">
        <v>660</v>
      </c>
      <c r="J45" s="304"/>
      <c r="K45" s="288" t="str">
        <f>IF(E45&gt;0,J45/E45,"n.é.")</f>
        <v>n.é.</v>
      </c>
    </row>
    <row r="46" spans="1:11" ht="20.100000000000001" hidden="1" customHeight="1" x14ac:dyDescent="0.2">
      <c r="A46" s="265" t="s">
        <v>193</v>
      </c>
      <c r="B46" s="272" t="s">
        <v>306</v>
      </c>
      <c r="C46" s="276" t="s">
        <v>307</v>
      </c>
      <c r="D46" s="304"/>
      <c r="E46" s="304"/>
      <c r="F46" s="304"/>
      <c r="G46" s="305" t="s">
        <v>660</v>
      </c>
      <c r="H46" s="304"/>
      <c r="I46" s="305" t="s">
        <v>660</v>
      </c>
      <c r="J46" s="304"/>
      <c r="K46" s="288" t="str">
        <f>IF(E46&gt;0,J46/E46,"n.é.")</f>
        <v>n.é.</v>
      </c>
    </row>
    <row r="47" spans="1:11" ht="20.100000000000001" customHeight="1" x14ac:dyDescent="0.2">
      <c r="A47" s="265" t="s">
        <v>194</v>
      </c>
      <c r="B47" s="272" t="s">
        <v>308</v>
      </c>
      <c r="C47" s="276" t="s">
        <v>309</v>
      </c>
      <c r="D47" s="304">
        <f>SUM(D48:D51)</f>
        <v>5220000</v>
      </c>
      <c r="E47" s="304">
        <f>SUM(E48:E51)</f>
        <v>5220000</v>
      </c>
      <c r="F47" s="304"/>
      <c r="G47" s="305" t="s">
        <v>660</v>
      </c>
      <c r="H47" s="304"/>
      <c r="I47" s="305" t="s">
        <v>660</v>
      </c>
      <c r="J47" s="304">
        <v>3752361</v>
      </c>
      <c r="K47" s="288">
        <f>IF(E47&gt;0,J47/E47,"n.é.")</f>
        <v>0.71884310344827584</v>
      </c>
    </row>
    <row r="48" spans="1:11" s="6" customFormat="1" ht="20.100000000000001" customHeight="1" x14ac:dyDescent="0.2">
      <c r="A48" s="293" t="s">
        <v>476</v>
      </c>
      <c r="B48" s="294" t="s">
        <v>868</v>
      </c>
      <c r="C48" s="295" t="s">
        <v>476</v>
      </c>
      <c r="D48" s="296">
        <v>180000</v>
      </c>
      <c r="E48" s="296">
        <v>180000</v>
      </c>
      <c r="F48" s="297" t="s">
        <v>660</v>
      </c>
      <c r="G48" s="297" t="s">
        <v>660</v>
      </c>
      <c r="H48" s="297" t="s">
        <v>660</v>
      </c>
      <c r="I48" s="297" t="s">
        <v>660</v>
      </c>
      <c r="J48" s="297" t="s">
        <v>660</v>
      </c>
      <c r="K48" s="308" t="s">
        <v>662</v>
      </c>
    </row>
    <row r="49" spans="1:11" s="6" customFormat="1" ht="20.100000000000001" customHeight="1" x14ac:dyDescent="0.2">
      <c r="A49" s="293" t="s">
        <v>476</v>
      </c>
      <c r="B49" s="294" t="s">
        <v>488</v>
      </c>
      <c r="C49" s="295" t="s">
        <v>476</v>
      </c>
      <c r="D49" s="296">
        <v>130000</v>
      </c>
      <c r="E49" s="296">
        <v>130000</v>
      </c>
      <c r="F49" s="297" t="s">
        <v>660</v>
      </c>
      <c r="G49" s="297" t="s">
        <v>660</v>
      </c>
      <c r="H49" s="297" t="s">
        <v>660</v>
      </c>
      <c r="I49" s="297" t="s">
        <v>660</v>
      </c>
      <c r="J49" s="297" t="s">
        <v>660</v>
      </c>
      <c r="K49" s="308" t="s">
        <v>662</v>
      </c>
    </row>
    <row r="50" spans="1:11" s="6" customFormat="1" ht="20.100000000000001" customHeight="1" x14ac:dyDescent="0.2">
      <c r="A50" s="293" t="s">
        <v>476</v>
      </c>
      <c r="B50" s="294" t="s">
        <v>489</v>
      </c>
      <c r="C50" s="295" t="s">
        <v>476</v>
      </c>
      <c r="D50" s="296">
        <v>3410000</v>
      </c>
      <c r="E50" s="296">
        <v>3410000</v>
      </c>
      <c r="F50" s="297" t="s">
        <v>660</v>
      </c>
      <c r="G50" s="297" t="s">
        <v>660</v>
      </c>
      <c r="H50" s="297" t="s">
        <v>660</v>
      </c>
      <c r="I50" s="297" t="s">
        <v>660</v>
      </c>
      <c r="J50" s="297" t="s">
        <v>660</v>
      </c>
      <c r="K50" s="308" t="s">
        <v>662</v>
      </c>
    </row>
    <row r="51" spans="1:11" s="6" customFormat="1" ht="20.100000000000001" customHeight="1" x14ac:dyDescent="0.2">
      <c r="A51" s="293" t="s">
        <v>476</v>
      </c>
      <c r="B51" s="294" t="s">
        <v>869</v>
      </c>
      <c r="C51" s="295" t="s">
        <v>476</v>
      </c>
      <c r="D51" s="296">
        <v>1500000</v>
      </c>
      <c r="E51" s="296">
        <v>1500000</v>
      </c>
      <c r="F51" s="297" t="s">
        <v>660</v>
      </c>
      <c r="G51" s="297" t="s">
        <v>660</v>
      </c>
      <c r="H51" s="297" t="s">
        <v>660</v>
      </c>
      <c r="I51" s="297" t="s">
        <v>660</v>
      </c>
      <c r="J51" s="297" t="s">
        <v>660</v>
      </c>
      <c r="K51" s="308" t="s">
        <v>662</v>
      </c>
    </row>
    <row r="52" spans="1:11" ht="20.100000000000001" customHeight="1" x14ac:dyDescent="0.2">
      <c r="A52" s="265" t="s">
        <v>195</v>
      </c>
      <c r="B52" s="272" t="s">
        <v>310</v>
      </c>
      <c r="C52" s="276" t="s">
        <v>311</v>
      </c>
      <c r="D52" s="304">
        <v>6766290</v>
      </c>
      <c r="E52" s="304">
        <v>6766290</v>
      </c>
      <c r="F52" s="304"/>
      <c r="G52" s="305" t="s">
        <v>660</v>
      </c>
      <c r="H52" s="304"/>
      <c r="I52" s="305" t="s">
        <v>660</v>
      </c>
      <c r="J52" s="304">
        <v>4983247</v>
      </c>
      <c r="K52" s="288">
        <f t="shared" ref="K52:K83" si="1">IF(E52&gt;0,J52/E52,"n.é.")</f>
        <v>0.73648143960722934</v>
      </c>
    </row>
    <row r="53" spans="1:11" ht="20.100000000000001" hidden="1" customHeight="1" x14ac:dyDescent="0.2">
      <c r="A53" s="265" t="s">
        <v>196</v>
      </c>
      <c r="B53" s="272" t="s">
        <v>312</v>
      </c>
      <c r="C53" s="276" t="s">
        <v>313</v>
      </c>
      <c r="D53" s="304"/>
      <c r="E53" s="304"/>
      <c r="F53" s="304"/>
      <c r="G53" s="305" t="s">
        <v>660</v>
      </c>
      <c r="H53" s="304"/>
      <c r="I53" s="305" t="s">
        <v>660</v>
      </c>
      <c r="J53" s="304"/>
      <c r="K53" s="288" t="str">
        <f t="shared" si="1"/>
        <v>n.é.</v>
      </c>
    </row>
    <row r="54" spans="1:11" ht="20.100000000000001" hidden="1" customHeight="1" x14ac:dyDescent="0.2">
      <c r="A54" s="265" t="s">
        <v>197</v>
      </c>
      <c r="B54" s="272" t="s">
        <v>314</v>
      </c>
      <c r="C54" s="276" t="s">
        <v>315</v>
      </c>
      <c r="D54" s="304"/>
      <c r="E54" s="304"/>
      <c r="F54" s="304"/>
      <c r="G54" s="305" t="s">
        <v>660</v>
      </c>
      <c r="H54" s="304"/>
      <c r="I54" s="305" t="s">
        <v>660</v>
      </c>
      <c r="J54" s="304"/>
      <c r="K54" s="288" t="str">
        <f t="shared" si="1"/>
        <v>n.é.</v>
      </c>
    </row>
    <row r="55" spans="1:11" ht="20.100000000000001" hidden="1" customHeight="1" x14ac:dyDescent="0.2">
      <c r="A55" s="265" t="s">
        <v>198</v>
      </c>
      <c r="B55" s="272" t="s">
        <v>316</v>
      </c>
      <c r="C55" s="276" t="s">
        <v>317</v>
      </c>
      <c r="D55" s="304"/>
      <c r="E55" s="304"/>
      <c r="F55" s="304"/>
      <c r="G55" s="305" t="s">
        <v>660</v>
      </c>
      <c r="H55" s="304"/>
      <c r="I55" s="305" t="s">
        <v>660</v>
      </c>
      <c r="J55" s="304"/>
      <c r="K55" s="288" t="str">
        <f t="shared" si="1"/>
        <v>n.é.</v>
      </c>
    </row>
    <row r="56" spans="1:11" ht="20.100000000000001" hidden="1" customHeight="1" x14ac:dyDescent="0.2">
      <c r="A56" s="265" t="s">
        <v>199</v>
      </c>
      <c r="B56" s="272" t="s">
        <v>670</v>
      </c>
      <c r="C56" s="276" t="s">
        <v>319</v>
      </c>
      <c r="D56" s="304"/>
      <c r="E56" s="304"/>
      <c r="F56" s="304"/>
      <c r="G56" s="305" t="s">
        <v>660</v>
      </c>
      <c r="H56" s="304"/>
      <c r="I56" s="305" t="s">
        <v>660</v>
      </c>
      <c r="J56" s="304"/>
      <c r="K56" s="288" t="str">
        <f t="shared" si="1"/>
        <v>n.é.</v>
      </c>
    </row>
    <row r="57" spans="1:11" ht="20.25" customHeight="1" x14ac:dyDescent="0.2">
      <c r="A57" s="265" t="s">
        <v>200</v>
      </c>
      <c r="B57" s="272" t="s">
        <v>318</v>
      </c>
      <c r="C57" s="276" t="s">
        <v>669</v>
      </c>
      <c r="D57" s="304"/>
      <c r="E57" s="304"/>
      <c r="F57" s="304">
        <v>3</v>
      </c>
      <c r="G57" s="305" t="s">
        <v>660</v>
      </c>
      <c r="H57" s="304"/>
      <c r="I57" s="305" t="s">
        <v>660</v>
      </c>
      <c r="J57" s="304">
        <v>3</v>
      </c>
      <c r="K57" s="288" t="str">
        <f t="shared" si="1"/>
        <v>n.é.</v>
      </c>
    </row>
    <row r="58" spans="1:11" s="3" customFormat="1" ht="19.5" customHeight="1" x14ac:dyDescent="0.2">
      <c r="A58" s="306" t="s">
        <v>201</v>
      </c>
      <c r="B58" s="310" t="s">
        <v>671</v>
      </c>
      <c r="C58" s="317" t="s">
        <v>320</v>
      </c>
      <c r="D58" s="303">
        <f>D41+D42+D45+D46+D47+D52+D53+D54+D55+D57</f>
        <v>31826623</v>
      </c>
      <c r="E58" s="303">
        <f>E41+E42+E45+E46+E47+E52+E53+E54+E55+E57</f>
        <v>31826623</v>
      </c>
      <c r="F58" s="303">
        <f>F41+F42+F45+F46+F47+F52+F53+F54+F55+F57</f>
        <v>5653</v>
      </c>
      <c r="G58" s="302" t="s">
        <v>660</v>
      </c>
      <c r="H58" s="303">
        <f>H41+H42+H45+H46+H47+H52+H53+H54+H55+H57</f>
        <v>0</v>
      </c>
      <c r="I58" s="302" t="s">
        <v>660</v>
      </c>
      <c r="J58" s="303">
        <f>J41+J42+J45+J46+J47+J52+J53+J54+J55+J57</f>
        <v>23433313</v>
      </c>
      <c r="K58" s="286">
        <f t="shared" si="1"/>
        <v>0.73628022049339004</v>
      </c>
    </row>
    <row r="59" spans="1:11" ht="20.100000000000001" hidden="1" customHeight="1" x14ac:dyDescent="0.2">
      <c r="A59" s="265" t="s">
        <v>202</v>
      </c>
      <c r="B59" s="272" t="s">
        <v>321</v>
      </c>
      <c r="C59" s="276" t="s">
        <v>322</v>
      </c>
      <c r="D59" s="304"/>
      <c r="E59" s="304"/>
      <c r="F59" s="304"/>
      <c r="G59" s="305" t="s">
        <v>660</v>
      </c>
      <c r="H59" s="304"/>
      <c r="I59" s="305" t="s">
        <v>660</v>
      </c>
      <c r="J59" s="304"/>
      <c r="K59" s="288" t="str">
        <f t="shared" si="1"/>
        <v>n.é.</v>
      </c>
    </row>
    <row r="60" spans="1:11" ht="20.100000000000001" hidden="1" customHeight="1" x14ac:dyDescent="0.2">
      <c r="A60" s="265" t="s">
        <v>203</v>
      </c>
      <c r="B60" s="272" t="s">
        <v>323</v>
      </c>
      <c r="C60" s="276" t="s">
        <v>324</v>
      </c>
      <c r="D60" s="304"/>
      <c r="E60" s="304"/>
      <c r="F60" s="304"/>
      <c r="G60" s="305" t="s">
        <v>660</v>
      </c>
      <c r="H60" s="304"/>
      <c r="I60" s="305" t="s">
        <v>660</v>
      </c>
      <c r="J60" s="304"/>
      <c r="K60" s="288" t="str">
        <f t="shared" si="1"/>
        <v>n.é.</v>
      </c>
    </row>
    <row r="61" spans="1:11" ht="20.100000000000001" hidden="1" customHeight="1" x14ac:dyDescent="0.2">
      <c r="A61" s="265" t="s">
        <v>204</v>
      </c>
      <c r="B61" s="272" t="s">
        <v>325</v>
      </c>
      <c r="C61" s="276" t="s">
        <v>326</v>
      </c>
      <c r="D61" s="304"/>
      <c r="E61" s="304"/>
      <c r="F61" s="304"/>
      <c r="G61" s="305" t="s">
        <v>660</v>
      </c>
      <c r="H61" s="304"/>
      <c r="I61" s="305" t="s">
        <v>660</v>
      </c>
      <c r="J61" s="304"/>
      <c r="K61" s="288" t="str">
        <f t="shared" si="1"/>
        <v>n.é.</v>
      </c>
    </row>
    <row r="62" spans="1:11" ht="20.100000000000001" hidden="1" customHeight="1" x14ac:dyDescent="0.2">
      <c r="A62" s="265" t="s">
        <v>205</v>
      </c>
      <c r="B62" s="272" t="s">
        <v>327</v>
      </c>
      <c r="C62" s="276" t="s">
        <v>328</v>
      </c>
      <c r="D62" s="304"/>
      <c r="E62" s="304"/>
      <c r="F62" s="304"/>
      <c r="G62" s="305" t="s">
        <v>660</v>
      </c>
      <c r="H62" s="304"/>
      <c r="I62" s="305" t="s">
        <v>660</v>
      </c>
      <c r="J62" s="304"/>
      <c r="K62" s="288" t="str">
        <f t="shared" si="1"/>
        <v>n.é.</v>
      </c>
    </row>
    <row r="63" spans="1:11" ht="0.75" customHeight="1" x14ac:dyDescent="0.2">
      <c r="A63" s="265" t="s">
        <v>206</v>
      </c>
      <c r="B63" s="272" t="s">
        <v>329</v>
      </c>
      <c r="C63" s="276" t="s">
        <v>330</v>
      </c>
      <c r="D63" s="304"/>
      <c r="E63" s="304"/>
      <c r="F63" s="304"/>
      <c r="G63" s="305" t="s">
        <v>660</v>
      </c>
      <c r="H63" s="304"/>
      <c r="I63" s="305" t="s">
        <v>660</v>
      </c>
      <c r="J63" s="304"/>
      <c r="K63" s="288" t="str">
        <f t="shared" si="1"/>
        <v>n.é.</v>
      </c>
    </row>
    <row r="64" spans="1:11" s="3" customFormat="1" ht="20.100000000000001" customHeight="1" x14ac:dyDescent="0.2">
      <c r="A64" s="306" t="s">
        <v>207</v>
      </c>
      <c r="B64" s="310" t="s">
        <v>672</v>
      </c>
      <c r="C64" s="317" t="s">
        <v>331</v>
      </c>
      <c r="D64" s="303">
        <f>SUM(D59:D63)</f>
        <v>0</v>
      </c>
      <c r="E64" s="303">
        <f>SUM(E59:E63)</f>
        <v>0</v>
      </c>
      <c r="F64" s="303">
        <f>SUM(F59:F63)</f>
        <v>0</v>
      </c>
      <c r="G64" s="302" t="s">
        <v>660</v>
      </c>
      <c r="H64" s="303">
        <f>SUM(H59:H63)</f>
        <v>0</v>
      </c>
      <c r="I64" s="302" t="s">
        <v>660</v>
      </c>
      <c r="J64" s="303">
        <f>SUM(J59:J63)</f>
        <v>0</v>
      </c>
      <c r="K64" s="286" t="str">
        <f t="shared" si="1"/>
        <v>n.é.</v>
      </c>
    </row>
    <row r="65" spans="1:11" ht="20.100000000000001" hidden="1" customHeight="1" x14ac:dyDescent="0.2">
      <c r="A65" s="265" t="s">
        <v>208</v>
      </c>
      <c r="B65" s="272" t="s">
        <v>433</v>
      </c>
      <c r="C65" s="276" t="s">
        <v>332</v>
      </c>
      <c r="D65" s="304"/>
      <c r="E65" s="304"/>
      <c r="F65" s="304"/>
      <c r="G65" s="305" t="s">
        <v>660</v>
      </c>
      <c r="H65" s="304"/>
      <c r="I65" s="305" t="s">
        <v>660</v>
      </c>
      <c r="J65" s="304"/>
      <c r="K65" s="288" t="str">
        <f t="shared" si="1"/>
        <v>n.é.</v>
      </c>
    </row>
    <row r="66" spans="1:11" ht="20.100000000000001" hidden="1" customHeight="1" x14ac:dyDescent="0.2">
      <c r="A66" s="265" t="s">
        <v>209</v>
      </c>
      <c r="B66" s="272" t="s">
        <v>673</v>
      </c>
      <c r="C66" s="276" t="s">
        <v>333</v>
      </c>
      <c r="D66" s="304"/>
      <c r="E66" s="304"/>
      <c r="F66" s="304"/>
      <c r="G66" s="305" t="s">
        <v>660</v>
      </c>
      <c r="H66" s="304"/>
      <c r="I66" s="305" t="s">
        <v>660</v>
      </c>
      <c r="J66" s="304"/>
      <c r="K66" s="288" t="str">
        <f t="shared" si="1"/>
        <v>n.é.</v>
      </c>
    </row>
    <row r="67" spans="1:11" ht="20.100000000000001" hidden="1" customHeight="1" x14ac:dyDescent="0.2">
      <c r="A67" s="265" t="s">
        <v>210</v>
      </c>
      <c r="B67" s="272" t="s">
        <v>676</v>
      </c>
      <c r="C67" s="276" t="s">
        <v>335</v>
      </c>
      <c r="D67" s="304"/>
      <c r="E67" s="304"/>
      <c r="F67" s="304"/>
      <c r="G67" s="305" t="s">
        <v>660</v>
      </c>
      <c r="H67" s="304"/>
      <c r="I67" s="305" t="s">
        <v>660</v>
      </c>
      <c r="J67" s="304"/>
      <c r="K67" s="288" t="str">
        <f t="shared" si="1"/>
        <v>n.é.</v>
      </c>
    </row>
    <row r="68" spans="1:11" ht="20.100000000000001" hidden="1" customHeight="1" x14ac:dyDescent="0.2">
      <c r="A68" s="265" t="s">
        <v>211</v>
      </c>
      <c r="B68" s="272" t="s">
        <v>434</v>
      </c>
      <c r="C68" s="276" t="s">
        <v>674</v>
      </c>
      <c r="D68" s="304"/>
      <c r="E68" s="304"/>
      <c r="F68" s="304"/>
      <c r="G68" s="305" t="s">
        <v>660</v>
      </c>
      <c r="H68" s="304"/>
      <c r="I68" s="305" t="s">
        <v>660</v>
      </c>
      <c r="J68" s="304"/>
      <c r="K68" s="288" t="str">
        <f t="shared" si="1"/>
        <v>n.é.</v>
      </c>
    </row>
    <row r="69" spans="1:11" ht="20.100000000000001" hidden="1" customHeight="1" x14ac:dyDescent="0.2">
      <c r="A69" s="265" t="s">
        <v>212</v>
      </c>
      <c r="B69" s="272" t="s">
        <v>334</v>
      </c>
      <c r="C69" s="276" t="s">
        <v>675</v>
      </c>
      <c r="D69" s="304"/>
      <c r="E69" s="304"/>
      <c r="F69" s="304"/>
      <c r="G69" s="305" t="s">
        <v>660</v>
      </c>
      <c r="H69" s="304"/>
      <c r="I69" s="305" t="s">
        <v>660</v>
      </c>
      <c r="J69" s="304"/>
      <c r="K69" s="288" t="str">
        <f t="shared" si="1"/>
        <v>n.é.</v>
      </c>
    </row>
    <row r="70" spans="1:11" s="3" customFormat="1" ht="20.100000000000001" customHeight="1" x14ac:dyDescent="0.2">
      <c r="A70" s="306" t="s">
        <v>213</v>
      </c>
      <c r="B70" s="310" t="s">
        <v>681</v>
      </c>
      <c r="C70" s="317" t="s">
        <v>336</v>
      </c>
      <c r="D70" s="303">
        <f>SUM(D65:D69)</f>
        <v>0</v>
      </c>
      <c r="E70" s="303">
        <f>SUM(E65:E69)</f>
        <v>0</v>
      </c>
      <c r="F70" s="303">
        <f>SUM(F65:F69)</f>
        <v>0</v>
      </c>
      <c r="G70" s="302" t="s">
        <v>660</v>
      </c>
      <c r="H70" s="303">
        <f>SUM(H65:H69)</f>
        <v>0</v>
      </c>
      <c r="I70" s="302" t="s">
        <v>660</v>
      </c>
      <c r="J70" s="303">
        <f>SUM(J65:J69)</f>
        <v>0</v>
      </c>
      <c r="K70" s="286" t="str">
        <f t="shared" si="1"/>
        <v>n.é.</v>
      </c>
    </row>
    <row r="71" spans="1:11" ht="20.100000000000001" hidden="1" customHeight="1" x14ac:dyDescent="0.2">
      <c r="A71" s="265" t="s">
        <v>214</v>
      </c>
      <c r="B71" s="272" t="s">
        <v>435</v>
      </c>
      <c r="C71" s="276" t="s">
        <v>337</v>
      </c>
      <c r="D71" s="304"/>
      <c r="E71" s="304"/>
      <c r="F71" s="304"/>
      <c r="G71" s="305" t="s">
        <v>660</v>
      </c>
      <c r="H71" s="304"/>
      <c r="I71" s="305" t="s">
        <v>660</v>
      </c>
      <c r="J71" s="304"/>
      <c r="K71" s="288" t="str">
        <f t="shared" si="1"/>
        <v>n.é.</v>
      </c>
    </row>
    <row r="72" spans="1:11" ht="20.100000000000001" hidden="1" customHeight="1" x14ac:dyDescent="0.2">
      <c r="A72" s="265" t="s">
        <v>215</v>
      </c>
      <c r="B72" s="272" t="s">
        <v>679</v>
      </c>
      <c r="C72" s="276" t="s">
        <v>338</v>
      </c>
      <c r="D72" s="304"/>
      <c r="E72" s="304"/>
      <c r="F72" s="304"/>
      <c r="G72" s="305" t="s">
        <v>660</v>
      </c>
      <c r="H72" s="304"/>
      <c r="I72" s="305" t="s">
        <v>660</v>
      </c>
      <c r="J72" s="304"/>
      <c r="K72" s="288" t="str">
        <f t="shared" si="1"/>
        <v>n.é.</v>
      </c>
    </row>
    <row r="73" spans="1:11" ht="20.100000000000001" hidden="1" customHeight="1" x14ac:dyDescent="0.2">
      <c r="A73" s="265" t="s">
        <v>216</v>
      </c>
      <c r="B73" s="272" t="s">
        <v>680</v>
      </c>
      <c r="C73" s="276" t="s">
        <v>340</v>
      </c>
      <c r="D73" s="304"/>
      <c r="E73" s="304"/>
      <c r="F73" s="304"/>
      <c r="G73" s="305" t="s">
        <v>660</v>
      </c>
      <c r="H73" s="304"/>
      <c r="I73" s="305" t="s">
        <v>660</v>
      </c>
      <c r="J73" s="304"/>
      <c r="K73" s="288" t="str">
        <f t="shared" si="1"/>
        <v>n.é.</v>
      </c>
    </row>
    <row r="74" spans="1:11" ht="20.100000000000001" hidden="1" customHeight="1" x14ac:dyDescent="0.2">
      <c r="A74" s="265" t="s">
        <v>217</v>
      </c>
      <c r="B74" s="272" t="s">
        <v>436</v>
      </c>
      <c r="C74" s="276" t="s">
        <v>677</v>
      </c>
      <c r="D74" s="304"/>
      <c r="E74" s="304"/>
      <c r="F74" s="304"/>
      <c r="G74" s="305" t="s">
        <v>660</v>
      </c>
      <c r="H74" s="304"/>
      <c r="I74" s="305" t="s">
        <v>660</v>
      </c>
      <c r="J74" s="304"/>
      <c r="K74" s="288" t="str">
        <f t="shared" si="1"/>
        <v>n.é.</v>
      </c>
    </row>
    <row r="75" spans="1:11" ht="20.100000000000001" hidden="1" customHeight="1" x14ac:dyDescent="0.2">
      <c r="A75" s="265" t="s">
        <v>218</v>
      </c>
      <c r="B75" s="272" t="s">
        <v>339</v>
      </c>
      <c r="C75" s="276" t="s">
        <v>678</v>
      </c>
      <c r="D75" s="304"/>
      <c r="E75" s="304"/>
      <c r="F75" s="304"/>
      <c r="G75" s="305" t="s">
        <v>660</v>
      </c>
      <c r="H75" s="304"/>
      <c r="I75" s="305" t="s">
        <v>660</v>
      </c>
      <c r="J75" s="304"/>
      <c r="K75" s="288" t="str">
        <f t="shared" si="1"/>
        <v>n.é.</v>
      </c>
    </row>
    <row r="76" spans="1:11" s="3" customFormat="1" ht="20.100000000000001" customHeight="1" x14ac:dyDescent="0.2">
      <c r="A76" s="306" t="s">
        <v>219</v>
      </c>
      <c r="B76" s="310" t="s">
        <v>682</v>
      </c>
      <c r="C76" s="317" t="s">
        <v>341</v>
      </c>
      <c r="D76" s="303">
        <f>SUM(D71:D75)</f>
        <v>0</v>
      </c>
      <c r="E76" s="303">
        <f>SUM(E71:E75)</f>
        <v>0</v>
      </c>
      <c r="F76" s="303">
        <f>SUM(F71:F75)</f>
        <v>0</v>
      </c>
      <c r="G76" s="302" t="s">
        <v>660</v>
      </c>
      <c r="H76" s="303">
        <f>SUM(H71:H75)</f>
        <v>0</v>
      </c>
      <c r="I76" s="302" t="s">
        <v>660</v>
      </c>
      <c r="J76" s="303">
        <f>SUM(J71:J75)</f>
        <v>0</v>
      </c>
      <c r="K76" s="286" t="str">
        <f t="shared" si="1"/>
        <v>n.é.</v>
      </c>
    </row>
    <row r="77" spans="1:11" s="3" customFormat="1" ht="19.5" customHeight="1" x14ac:dyDescent="0.2">
      <c r="A77" s="269" t="s">
        <v>220</v>
      </c>
      <c r="B77" s="277" t="s">
        <v>683</v>
      </c>
      <c r="C77" s="278" t="s">
        <v>342</v>
      </c>
      <c r="D77" s="326">
        <f>D20+D26+D40+D58+D64+D70+D76</f>
        <v>31826623</v>
      </c>
      <c r="E77" s="326">
        <f>E20+E26+E40+E58+E64+E70+E76</f>
        <v>31826623</v>
      </c>
      <c r="F77" s="326">
        <f>F20+F26+F40+F58+F64+F70+F76</f>
        <v>5653</v>
      </c>
      <c r="G77" s="332" t="s">
        <v>660</v>
      </c>
      <c r="H77" s="326">
        <f>H20+H26+H40+H58+H64+H70+H76</f>
        <v>0</v>
      </c>
      <c r="I77" s="332" t="s">
        <v>660</v>
      </c>
      <c r="J77" s="326">
        <f>J20+J26+J40+J58+J64+J70+J76</f>
        <v>23433313</v>
      </c>
      <c r="K77" s="322">
        <f t="shared" si="1"/>
        <v>0.73628022049339004</v>
      </c>
    </row>
    <row r="78" spans="1:11" ht="20.100000000000001" hidden="1" customHeight="1" x14ac:dyDescent="0.2">
      <c r="A78" s="265" t="s">
        <v>221</v>
      </c>
      <c r="B78" s="266" t="s">
        <v>684</v>
      </c>
      <c r="C78" s="267" t="s">
        <v>343</v>
      </c>
      <c r="D78" s="304"/>
      <c r="E78" s="304"/>
      <c r="F78" s="304"/>
      <c r="G78" s="305" t="s">
        <v>660</v>
      </c>
      <c r="H78" s="304"/>
      <c r="I78" s="305" t="s">
        <v>660</v>
      </c>
      <c r="J78" s="304"/>
      <c r="K78" s="288" t="str">
        <f t="shared" si="1"/>
        <v>n.é.</v>
      </c>
    </row>
    <row r="79" spans="1:11" ht="20.100000000000001" hidden="1" customHeight="1" x14ac:dyDescent="0.2">
      <c r="A79" s="265" t="s">
        <v>222</v>
      </c>
      <c r="B79" s="272" t="s">
        <v>344</v>
      </c>
      <c r="C79" s="267" t="s">
        <v>345</v>
      </c>
      <c r="D79" s="304"/>
      <c r="E79" s="304"/>
      <c r="F79" s="304"/>
      <c r="G79" s="305" t="s">
        <v>660</v>
      </c>
      <c r="H79" s="304"/>
      <c r="I79" s="305" t="s">
        <v>660</v>
      </c>
      <c r="J79" s="304"/>
      <c r="K79" s="288" t="str">
        <f t="shared" si="1"/>
        <v>n.é.</v>
      </c>
    </row>
    <row r="80" spans="1:11" ht="16.5" customHeight="1" x14ac:dyDescent="0.2">
      <c r="A80" s="265" t="s">
        <v>223</v>
      </c>
      <c r="B80" s="266" t="s">
        <v>685</v>
      </c>
      <c r="C80" s="267" t="s">
        <v>346</v>
      </c>
      <c r="D80" s="304"/>
      <c r="E80" s="304"/>
      <c r="F80" s="304"/>
      <c r="G80" s="305" t="s">
        <v>660</v>
      </c>
      <c r="H80" s="304"/>
      <c r="I80" s="305" t="s">
        <v>660</v>
      </c>
      <c r="J80" s="304"/>
      <c r="K80" s="288" t="str">
        <f t="shared" si="1"/>
        <v>n.é.</v>
      </c>
    </row>
    <row r="81" spans="1:11" s="3" customFormat="1" ht="20.25" customHeight="1" x14ac:dyDescent="0.2">
      <c r="A81" s="306" t="s">
        <v>224</v>
      </c>
      <c r="B81" s="310" t="s">
        <v>688</v>
      </c>
      <c r="C81" s="291" t="s">
        <v>347</v>
      </c>
      <c r="D81" s="303">
        <f>SUM(D78:D80)</f>
        <v>0</v>
      </c>
      <c r="E81" s="303">
        <f>SUM(E78:E80)</f>
        <v>0</v>
      </c>
      <c r="F81" s="303">
        <f>SUM(F78:F80)</f>
        <v>0</v>
      </c>
      <c r="G81" s="302" t="s">
        <v>660</v>
      </c>
      <c r="H81" s="303">
        <f>SUM(H78:H80)</f>
        <v>0</v>
      </c>
      <c r="I81" s="302" t="s">
        <v>660</v>
      </c>
      <c r="J81" s="303">
        <f>SUM(J78:J80)</f>
        <v>0</v>
      </c>
      <c r="K81" s="286" t="str">
        <f t="shared" si="1"/>
        <v>n.é.</v>
      </c>
    </row>
    <row r="82" spans="1:11" ht="20.100000000000001" hidden="1" customHeight="1" x14ac:dyDescent="0.2">
      <c r="A82" s="265" t="s">
        <v>225</v>
      </c>
      <c r="B82" s="272" t="s">
        <v>348</v>
      </c>
      <c r="C82" s="267" t="s">
        <v>349</v>
      </c>
      <c r="D82" s="304"/>
      <c r="E82" s="304"/>
      <c r="F82" s="304"/>
      <c r="G82" s="305" t="s">
        <v>660</v>
      </c>
      <c r="H82" s="304"/>
      <c r="I82" s="305" t="s">
        <v>660</v>
      </c>
      <c r="J82" s="304"/>
      <c r="K82" s="288" t="str">
        <f t="shared" si="1"/>
        <v>n.é.</v>
      </c>
    </row>
    <row r="83" spans="1:11" ht="20.100000000000001" hidden="1" customHeight="1" x14ac:dyDescent="0.2">
      <c r="A83" s="265" t="s">
        <v>226</v>
      </c>
      <c r="B83" s="266" t="s">
        <v>686</v>
      </c>
      <c r="C83" s="267" t="s">
        <v>350</v>
      </c>
      <c r="D83" s="304"/>
      <c r="E83" s="304"/>
      <c r="F83" s="304"/>
      <c r="G83" s="305" t="s">
        <v>660</v>
      </c>
      <c r="H83" s="304"/>
      <c r="I83" s="305" t="s">
        <v>660</v>
      </c>
      <c r="J83" s="304"/>
      <c r="K83" s="288" t="str">
        <f t="shared" si="1"/>
        <v>n.é.</v>
      </c>
    </row>
    <row r="84" spans="1:11" ht="20.100000000000001" hidden="1" customHeight="1" x14ac:dyDescent="0.2">
      <c r="A84" s="265" t="s">
        <v>227</v>
      </c>
      <c r="B84" s="272" t="s">
        <v>351</v>
      </c>
      <c r="C84" s="267" t="s">
        <v>352</v>
      </c>
      <c r="D84" s="304"/>
      <c r="E84" s="304"/>
      <c r="F84" s="304"/>
      <c r="G84" s="305" t="s">
        <v>660</v>
      </c>
      <c r="H84" s="304"/>
      <c r="I84" s="305" t="s">
        <v>660</v>
      </c>
      <c r="J84" s="304"/>
      <c r="K84" s="288" t="str">
        <f t="shared" ref="K84:K115" si="2">IF(E84&gt;0,J84/E84,"n.é.")</f>
        <v>n.é.</v>
      </c>
    </row>
    <row r="85" spans="1:11" ht="20.100000000000001" hidden="1" customHeight="1" x14ac:dyDescent="0.2">
      <c r="A85" s="265" t="s">
        <v>228</v>
      </c>
      <c r="B85" s="266" t="s">
        <v>687</v>
      </c>
      <c r="C85" s="267" t="s">
        <v>353</v>
      </c>
      <c r="D85" s="304"/>
      <c r="E85" s="304"/>
      <c r="F85" s="304"/>
      <c r="G85" s="305" t="s">
        <v>660</v>
      </c>
      <c r="H85" s="304"/>
      <c r="I85" s="305" t="s">
        <v>660</v>
      </c>
      <c r="J85" s="304"/>
      <c r="K85" s="288" t="str">
        <f t="shared" si="2"/>
        <v>n.é.</v>
      </c>
    </row>
    <row r="86" spans="1:11" s="3" customFormat="1" ht="18" customHeight="1" x14ac:dyDescent="0.2">
      <c r="A86" s="306" t="s">
        <v>229</v>
      </c>
      <c r="B86" s="290" t="s">
        <v>689</v>
      </c>
      <c r="C86" s="291" t="s">
        <v>354</v>
      </c>
      <c r="D86" s="303">
        <f>SUM(D82:D85)</f>
        <v>0</v>
      </c>
      <c r="E86" s="303"/>
      <c r="F86" s="303"/>
      <c r="G86" s="302" t="s">
        <v>660</v>
      </c>
      <c r="H86" s="303"/>
      <c r="I86" s="302" t="s">
        <v>660</v>
      </c>
      <c r="J86" s="303"/>
      <c r="K86" s="286" t="str">
        <f t="shared" si="2"/>
        <v>n.é.</v>
      </c>
    </row>
    <row r="87" spans="1:11" ht="22.5" customHeight="1" x14ac:dyDescent="0.2">
      <c r="A87" s="265" t="s">
        <v>230</v>
      </c>
      <c r="B87" s="272" t="s">
        <v>355</v>
      </c>
      <c r="C87" s="267" t="s">
        <v>356</v>
      </c>
      <c r="D87" s="304"/>
      <c r="E87" s="304">
        <v>201960</v>
      </c>
      <c r="F87" s="304"/>
      <c r="G87" s="305" t="s">
        <v>660</v>
      </c>
      <c r="H87" s="304"/>
      <c r="I87" s="305" t="s">
        <v>660</v>
      </c>
      <c r="J87" s="304">
        <v>124249</v>
      </c>
      <c r="K87" s="288">
        <f t="shared" si="2"/>
        <v>0.61521588433353136</v>
      </c>
    </row>
    <row r="88" spans="1:11" ht="10.5" hidden="1" customHeight="1" x14ac:dyDescent="0.2">
      <c r="A88" s="265" t="s">
        <v>231</v>
      </c>
      <c r="B88" s="272" t="s">
        <v>357</v>
      </c>
      <c r="C88" s="267" t="s">
        <v>358</v>
      </c>
      <c r="D88" s="304"/>
      <c r="E88" s="304"/>
      <c r="F88" s="304"/>
      <c r="G88" s="305" t="s">
        <v>660</v>
      </c>
      <c r="H88" s="304"/>
      <c r="I88" s="305" t="s">
        <v>660</v>
      </c>
      <c r="J88" s="304"/>
      <c r="K88" s="288" t="str">
        <f t="shared" si="2"/>
        <v>n.é.</v>
      </c>
    </row>
    <row r="89" spans="1:11" s="3" customFormat="1" ht="20.100000000000001" customHeight="1" x14ac:dyDescent="0.2">
      <c r="A89" s="306" t="s">
        <v>232</v>
      </c>
      <c r="B89" s="310" t="s">
        <v>691</v>
      </c>
      <c r="C89" s="291" t="s">
        <v>359</v>
      </c>
      <c r="D89" s="197">
        <f>SUM(D87:D88)</f>
        <v>0</v>
      </c>
      <c r="E89" s="197">
        <f>SUM(E87:E88)</f>
        <v>201960</v>
      </c>
      <c r="F89" s="197">
        <f>SUM(F87:F88)</f>
        <v>0</v>
      </c>
      <c r="G89" s="206" t="s">
        <v>660</v>
      </c>
      <c r="H89" s="197">
        <f>SUM(H87:H88)</f>
        <v>0</v>
      </c>
      <c r="I89" s="206" t="s">
        <v>660</v>
      </c>
      <c r="J89" s="197">
        <f>SUM(J87:J88)</f>
        <v>124249</v>
      </c>
      <c r="K89" s="286">
        <f t="shared" si="2"/>
        <v>0.61521588433353136</v>
      </c>
    </row>
    <row r="90" spans="1:11" ht="20.100000000000001" hidden="1" customHeight="1" x14ac:dyDescent="0.2">
      <c r="A90" s="265" t="s">
        <v>233</v>
      </c>
      <c r="B90" s="266" t="s">
        <v>360</v>
      </c>
      <c r="C90" s="267" t="s">
        <v>361</v>
      </c>
      <c r="D90" s="304"/>
      <c r="E90" s="304"/>
      <c r="F90" s="304"/>
      <c r="G90" s="305" t="s">
        <v>660</v>
      </c>
      <c r="H90" s="304"/>
      <c r="I90" s="305" t="s">
        <v>660</v>
      </c>
      <c r="J90" s="304"/>
      <c r="K90" s="288" t="str">
        <f t="shared" si="2"/>
        <v>n.é.</v>
      </c>
    </row>
    <row r="91" spans="1:11" ht="20.100000000000001" hidden="1" customHeight="1" x14ac:dyDescent="0.2">
      <c r="A91" s="265" t="s">
        <v>234</v>
      </c>
      <c r="B91" s="266" t="s">
        <v>362</v>
      </c>
      <c r="C91" s="267" t="s">
        <v>363</v>
      </c>
      <c r="D91" s="304"/>
      <c r="E91" s="304"/>
      <c r="F91" s="304"/>
      <c r="G91" s="305" t="s">
        <v>660</v>
      </c>
      <c r="H91" s="304"/>
      <c r="I91" s="305" t="s">
        <v>660</v>
      </c>
      <c r="J91" s="304"/>
      <c r="K91" s="288" t="str">
        <f t="shared" si="2"/>
        <v>n.é.</v>
      </c>
    </row>
    <row r="92" spans="1:11" ht="20.100000000000001" customHeight="1" x14ac:dyDescent="0.2">
      <c r="A92" s="265" t="s">
        <v>235</v>
      </c>
      <c r="B92" s="266" t="s">
        <v>364</v>
      </c>
      <c r="C92" s="267" t="s">
        <v>365</v>
      </c>
      <c r="D92" s="304">
        <v>35798446</v>
      </c>
      <c r="E92" s="304">
        <f>35798446-201960</f>
        <v>35596486</v>
      </c>
      <c r="F92" s="304"/>
      <c r="G92" s="305" t="s">
        <v>660</v>
      </c>
      <c r="H92" s="304"/>
      <c r="I92" s="305" t="s">
        <v>660</v>
      </c>
      <c r="J92" s="304">
        <v>23364402</v>
      </c>
      <c r="K92" s="288">
        <f t="shared" si="2"/>
        <v>0.65636821567162551</v>
      </c>
    </row>
    <row r="93" spans="1:11" ht="20.100000000000001" hidden="1" customHeight="1" x14ac:dyDescent="0.2">
      <c r="A93" s="265" t="s">
        <v>236</v>
      </c>
      <c r="B93" s="266" t="s">
        <v>690</v>
      </c>
      <c r="C93" s="267" t="s">
        <v>366</v>
      </c>
      <c r="D93" s="304"/>
      <c r="E93" s="304"/>
      <c r="F93" s="304"/>
      <c r="G93" s="305" t="s">
        <v>660</v>
      </c>
      <c r="H93" s="304"/>
      <c r="I93" s="305" t="s">
        <v>660</v>
      </c>
      <c r="J93" s="304"/>
      <c r="K93" s="288" t="str">
        <f t="shared" si="2"/>
        <v>n.é.</v>
      </c>
    </row>
    <row r="94" spans="1:11" ht="20.100000000000001" hidden="1" customHeight="1" x14ac:dyDescent="0.2">
      <c r="A94" s="265" t="s">
        <v>237</v>
      </c>
      <c r="B94" s="272" t="s">
        <v>367</v>
      </c>
      <c r="C94" s="267" t="s">
        <v>368</v>
      </c>
      <c r="D94" s="304"/>
      <c r="E94" s="304"/>
      <c r="F94" s="304"/>
      <c r="G94" s="305" t="s">
        <v>660</v>
      </c>
      <c r="H94" s="304"/>
      <c r="I94" s="305" t="s">
        <v>660</v>
      </c>
      <c r="J94" s="304"/>
      <c r="K94" s="288" t="str">
        <f t="shared" si="2"/>
        <v>n.é.</v>
      </c>
    </row>
    <row r="95" spans="1:11" ht="20.100000000000001" hidden="1" customHeight="1" x14ac:dyDescent="0.2">
      <c r="A95" s="265" t="s">
        <v>238</v>
      </c>
      <c r="B95" s="272" t="s">
        <v>695</v>
      </c>
      <c r="C95" s="267" t="s">
        <v>693</v>
      </c>
      <c r="D95" s="304"/>
      <c r="E95" s="304"/>
      <c r="F95" s="304"/>
      <c r="G95" s="305" t="s">
        <v>660</v>
      </c>
      <c r="H95" s="304"/>
      <c r="I95" s="305" t="s">
        <v>660</v>
      </c>
      <c r="J95" s="304"/>
      <c r="K95" s="288" t="str">
        <f t="shared" si="2"/>
        <v>n.é.</v>
      </c>
    </row>
    <row r="96" spans="1:11" ht="20.100000000000001" hidden="1" customHeight="1" x14ac:dyDescent="0.2">
      <c r="A96" s="265" t="s">
        <v>239</v>
      </c>
      <c r="B96" s="272" t="s">
        <v>696</v>
      </c>
      <c r="C96" s="267" t="s">
        <v>694</v>
      </c>
      <c r="D96" s="304"/>
      <c r="E96" s="304"/>
      <c r="F96" s="304"/>
      <c r="G96" s="305" t="s">
        <v>660</v>
      </c>
      <c r="H96" s="304"/>
      <c r="I96" s="305" t="s">
        <v>660</v>
      </c>
      <c r="J96" s="304"/>
      <c r="K96" s="288" t="str">
        <f t="shared" si="2"/>
        <v>n.é.</v>
      </c>
    </row>
    <row r="97" spans="1:11" s="3" customFormat="1" ht="20.100000000000001" customHeight="1" x14ac:dyDescent="0.2">
      <c r="A97" s="306" t="s">
        <v>240</v>
      </c>
      <c r="B97" s="310" t="s">
        <v>698</v>
      </c>
      <c r="C97" s="291" t="s">
        <v>692</v>
      </c>
      <c r="D97" s="334">
        <f>SUM(D95:D96)</f>
        <v>0</v>
      </c>
      <c r="E97" s="334">
        <f>SUM(E95:E96)</f>
        <v>0</v>
      </c>
      <c r="F97" s="334">
        <f>SUM(F95:F96)</f>
        <v>0</v>
      </c>
      <c r="G97" s="333" t="s">
        <v>660</v>
      </c>
      <c r="H97" s="334">
        <f>SUM(H95:H96)</f>
        <v>0</v>
      </c>
      <c r="I97" s="333" t="s">
        <v>660</v>
      </c>
      <c r="J97" s="334">
        <f>SUM(J95:J96)</f>
        <v>0</v>
      </c>
      <c r="K97" s="286" t="str">
        <f t="shared" si="2"/>
        <v>n.é.</v>
      </c>
    </row>
    <row r="98" spans="1:11" s="3" customFormat="1" ht="20.100000000000001" customHeight="1" x14ac:dyDescent="0.2">
      <c r="A98" s="306" t="s">
        <v>500</v>
      </c>
      <c r="B98" s="310" t="s">
        <v>697</v>
      </c>
      <c r="C98" s="291" t="s">
        <v>369</v>
      </c>
      <c r="D98" s="303">
        <f>D81+D86+SUM(D89:D94)</f>
        <v>35798446</v>
      </c>
      <c r="E98" s="303">
        <f>E81+E86+SUM(E89:E94)</f>
        <v>35798446</v>
      </c>
      <c r="F98" s="303">
        <f>F81+F86+SUM(F89:F94)</f>
        <v>0</v>
      </c>
      <c r="G98" s="302" t="s">
        <v>660</v>
      </c>
      <c r="H98" s="303">
        <f>H81+H86+SUM(H89:H94)</f>
        <v>0</v>
      </c>
      <c r="I98" s="302" t="s">
        <v>660</v>
      </c>
      <c r="J98" s="303">
        <f>J81+J86+SUM(J89:J94)</f>
        <v>23488651</v>
      </c>
      <c r="K98" s="286">
        <f t="shared" si="2"/>
        <v>0.65613605126881769</v>
      </c>
    </row>
    <row r="99" spans="1:11" ht="20.100000000000001" hidden="1" customHeight="1" x14ac:dyDescent="0.2">
      <c r="A99" s="265" t="s">
        <v>501</v>
      </c>
      <c r="B99" s="272" t="s">
        <v>370</v>
      </c>
      <c r="C99" s="267" t="s">
        <v>371</v>
      </c>
      <c r="D99" s="304"/>
      <c r="E99" s="304"/>
      <c r="F99" s="304"/>
      <c r="G99" s="305" t="s">
        <v>660</v>
      </c>
      <c r="H99" s="304"/>
      <c r="I99" s="305" t="s">
        <v>660</v>
      </c>
      <c r="J99" s="304"/>
      <c r="K99" s="288" t="str">
        <f t="shared" si="2"/>
        <v>n.é.</v>
      </c>
    </row>
    <row r="100" spans="1:11" ht="20.100000000000001" hidden="1" customHeight="1" x14ac:dyDescent="0.2">
      <c r="A100" s="265" t="s">
        <v>502</v>
      </c>
      <c r="B100" s="272" t="s">
        <v>372</v>
      </c>
      <c r="C100" s="267" t="s">
        <v>373</v>
      </c>
      <c r="D100" s="304"/>
      <c r="E100" s="304"/>
      <c r="F100" s="304"/>
      <c r="G100" s="305" t="s">
        <v>660</v>
      </c>
      <c r="H100" s="304"/>
      <c r="I100" s="305" t="s">
        <v>660</v>
      </c>
      <c r="J100" s="304"/>
      <c r="K100" s="288" t="str">
        <f t="shared" si="2"/>
        <v>n.é.</v>
      </c>
    </row>
    <row r="101" spans="1:11" ht="20.100000000000001" hidden="1" customHeight="1" x14ac:dyDescent="0.2">
      <c r="A101" s="265" t="s">
        <v>503</v>
      </c>
      <c r="B101" s="266" t="s">
        <v>374</v>
      </c>
      <c r="C101" s="267" t="s">
        <v>375</v>
      </c>
      <c r="D101" s="304"/>
      <c r="E101" s="304"/>
      <c r="F101" s="304"/>
      <c r="G101" s="305" t="s">
        <v>660</v>
      </c>
      <c r="H101" s="304"/>
      <c r="I101" s="305" t="s">
        <v>660</v>
      </c>
      <c r="J101" s="304"/>
      <c r="K101" s="288" t="str">
        <f t="shared" si="2"/>
        <v>n.é.</v>
      </c>
    </row>
    <row r="102" spans="1:11" ht="20.100000000000001" hidden="1" customHeight="1" x14ac:dyDescent="0.2">
      <c r="A102" s="265" t="s">
        <v>504</v>
      </c>
      <c r="B102" s="266" t="s">
        <v>701</v>
      </c>
      <c r="C102" s="267" t="s">
        <v>376</v>
      </c>
      <c r="D102" s="304"/>
      <c r="E102" s="304"/>
      <c r="F102" s="304"/>
      <c r="G102" s="305" t="s">
        <v>660</v>
      </c>
      <c r="H102" s="304"/>
      <c r="I102" s="305" t="s">
        <v>660</v>
      </c>
      <c r="J102" s="304"/>
      <c r="K102" s="288" t="str">
        <f t="shared" si="2"/>
        <v>n.é.</v>
      </c>
    </row>
    <row r="103" spans="1:11" ht="20.100000000000001" hidden="1" customHeight="1" x14ac:dyDescent="0.2">
      <c r="A103" s="265" t="s">
        <v>505</v>
      </c>
      <c r="B103" s="266" t="s">
        <v>700</v>
      </c>
      <c r="C103" s="267" t="s">
        <v>702</v>
      </c>
      <c r="D103" s="304"/>
      <c r="E103" s="304"/>
      <c r="F103" s="304"/>
      <c r="G103" s="305" t="s">
        <v>660</v>
      </c>
      <c r="H103" s="304"/>
      <c r="I103" s="305" t="s">
        <v>660</v>
      </c>
      <c r="J103" s="304"/>
      <c r="K103" s="288" t="str">
        <f t="shared" si="2"/>
        <v>n.é.</v>
      </c>
    </row>
    <row r="104" spans="1:11" s="3" customFormat="1" ht="20.100000000000001" customHeight="1" x14ac:dyDescent="0.2">
      <c r="A104" s="306" t="s">
        <v>506</v>
      </c>
      <c r="B104" s="290" t="s">
        <v>699</v>
      </c>
      <c r="C104" s="291" t="s">
        <v>377</v>
      </c>
      <c r="D104" s="303">
        <f>SUM(D99:D103)</f>
        <v>0</v>
      </c>
      <c r="E104" s="303">
        <f>SUM(E99:E102)</f>
        <v>0</v>
      </c>
      <c r="F104" s="303">
        <f>SUM(F99:F102)</f>
        <v>0</v>
      </c>
      <c r="G104" s="302" t="s">
        <v>660</v>
      </c>
      <c r="H104" s="303">
        <f>SUM(H99:H102)</f>
        <v>0</v>
      </c>
      <c r="I104" s="302" t="s">
        <v>660</v>
      </c>
      <c r="J104" s="303">
        <f>SUM(J99:J102)</f>
        <v>0</v>
      </c>
      <c r="K104" s="286" t="str">
        <f t="shared" si="2"/>
        <v>n.é.</v>
      </c>
    </row>
    <row r="105" spans="1:11" s="3" customFormat="1" ht="20.100000000000001" hidden="1" customHeight="1" x14ac:dyDescent="0.2">
      <c r="A105" s="265" t="s">
        <v>507</v>
      </c>
      <c r="B105" s="272" t="s">
        <v>378</v>
      </c>
      <c r="C105" s="267" t="s">
        <v>379</v>
      </c>
      <c r="D105" s="304"/>
      <c r="E105" s="304"/>
      <c r="F105" s="304"/>
      <c r="G105" s="305" t="s">
        <v>660</v>
      </c>
      <c r="H105" s="304"/>
      <c r="I105" s="305" t="s">
        <v>660</v>
      </c>
      <c r="J105" s="304"/>
      <c r="K105" s="288" t="str">
        <f t="shared" si="2"/>
        <v>n.é.</v>
      </c>
    </row>
    <row r="106" spans="1:11" ht="20.100000000000001" hidden="1" customHeight="1" x14ac:dyDescent="0.2">
      <c r="A106" s="265" t="s">
        <v>508</v>
      </c>
      <c r="B106" s="272" t="s">
        <v>706</v>
      </c>
      <c r="C106" s="267" t="s">
        <v>704</v>
      </c>
      <c r="D106" s="304"/>
      <c r="E106" s="304"/>
      <c r="F106" s="304"/>
      <c r="G106" s="305" t="s">
        <v>660</v>
      </c>
      <c r="H106" s="304"/>
      <c r="I106" s="305" t="s">
        <v>660</v>
      </c>
      <c r="J106" s="304"/>
      <c r="K106" s="288" t="str">
        <f t="shared" si="2"/>
        <v>n.é.</v>
      </c>
    </row>
    <row r="107" spans="1:11" s="3" customFormat="1" ht="20.100000000000001" customHeight="1" x14ac:dyDescent="0.2">
      <c r="A107" s="269" t="s">
        <v>509</v>
      </c>
      <c r="B107" s="324" t="s">
        <v>705</v>
      </c>
      <c r="C107" s="325" t="s">
        <v>380</v>
      </c>
      <c r="D107" s="326">
        <f>D98+D104+D106</f>
        <v>35798446</v>
      </c>
      <c r="E107" s="326">
        <f t="shared" ref="E107" si="3">E98+E104+E106</f>
        <v>35798446</v>
      </c>
      <c r="F107" s="326">
        <f t="shared" ref="F107" si="4">F98+F104+F106</f>
        <v>0</v>
      </c>
      <c r="G107" s="332" t="s">
        <v>660</v>
      </c>
      <c r="H107" s="326">
        <f t="shared" ref="H107" si="5">H98+H104+H106</f>
        <v>0</v>
      </c>
      <c r="I107" s="332" t="s">
        <v>660</v>
      </c>
      <c r="J107" s="326">
        <f t="shared" ref="J107" si="6">J98+J104+J106</f>
        <v>23488651</v>
      </c>
      <c r="K107" s="322">
        <f t="shared" si="2"/>
        <v>0.65613605126881769</v>
      </c>
    </row>
    <row r="108" spans="1:11" s="3" customFormat="1" ht="20.100000000000001" customHeight="1" x14ac:dyDescent="0.2">
      <c r="A108" s="261" t="s">
        <v>510</v>
      </c>
      <c r="B108" s="103" t="s">
        <v>703</v>
      </c>
      <c r="C108" s="5"/>
      <c r="D108" s="329">
        <f>D77+D107</f>
        <v>67625069</v>
      </c>
      <c r="E108" s="329">
        <f t="shared" ref="E108" si="7">E77+E107</f>
        <v>67625069</v>
      </c>
      <c r="F108" s="329">
        <f t="shared" ref="F108" si="8">F77+F107</f>
        <v>5653</v>
      </c>
      <c r="G108" s="330" t="s">
        <v>660</v>
      </c>
      <c r="H108" s="329">
        <f t="shared" ref="H108" si="9">H77+H107</f>
        <v>0</v>
      </c>
      <c r="I108" s="330" t="s">
        <v>660</v>
      </c>
      <c r="J108" s="329">
        <f t="shared" ref="J108" si="10">J77+J107</f>
        <v>46921964</v>
      </c>
      <c r="K108" s="331">
        <f t="shared" si="2"/>
        <v>0.69385458224079599</v>
      </c>
    </row>
    <row r="109" spans="1:11" ht="18" customHeight="1" x14ac:dyDescent="0.2">
      <c r="A109" s="265" t="s">
        <v>511</v>
      </c>
      <c r="B109" s="316" t="s">
        <v>20</v>
      </c>
      <c r="C109" s="328" t="s">
        <v>51</v>
      </c>
      <c r="D109" s="304">
        <v>19032000</v>
      </c>
      <c r="E109" s="298">
        <v>18348479</v>
      </c>
      <c r="F109" s="298"/>
      <c r="G109" s="298"/>
      <c r="H109" s="298"/>
      <c r="I109" s="298"/>
      <c r="J109" s="298">
        <v>14304928</v>
      </c>
      <c r="K109" s="299">
        <f t="shared" si="2"/>
        <v>0.77962473074743688</v>
      </c>
    </row>
    <row r="110" spans="1:11" hidden="1" x14ac:dyDescent="0.2">
      <c r="A110" s="265" t="s">
        <v>512</v>
      </c>
      <c r="B110" s="316" t="s">
        <v>47</v>
      </c>
      <c r="C110" s="268" t="s">
        <v>50</v>
      </c>
      <c r="D110" s="298"/>
      <c r="E110" s="298"/>
      <c r="F110" s="298"/>
      <c r="G110" s="298"/>
      <c r="H110" s="298"/>
      <c r="I110" s="298"/>
      <c r="J110" s="298"/>
      <c r="K110" s="299" t="str">
        <f t="shared" si="2"/>
        <v>n.é.</v>
      </c>
    </row>
    <row r="111" spans="1:11" ht="17.25" customHeight="1" x14ac:dyDescent="0.2">
      <c r="A111" s="265" t="s">
        <v>513</v>
      </c>
      <c r="B111" s="316" t="s">
        <v>46</v>
      </c>
      <c r="C111" s="268" t="s">
        <v>49</v>
      </c>
      <c r="D111" s="298">
        <v>1586000</v>
      </c>
      <c r="E111" s="298">
        <v>1586000</v>
      </c>
      <c r="F111" s="298"/>
      <c r="G111" s="298"/>
      <c r="H111" s="298"/>
      <c r="I111" s="298"/>
      <c r="J111" s="298"/>
      <c r="K111" s="299">
        <f t="shared" si="2"/>
        <v>0</v>
      </c>
    </row>
    <row r="112" spans="1:11" ht="32.25" hidden="1" customHeight="1" x14ac:dyDescent="0.2">
      <c r="A112" s="265" t="s">
        <v>515</v>
      </c>
      <c r="B112" s="307" t="s">
        <v>19</v>
      </c>
      <c r="C112" s="268" t="s">
        <v>48</v>
      </c>
      <c r="D112" s="298"/>
      <c r="E112" s="298"/>
      <c r="F112" s="298"/>
      <c r="G112" s="298"/>
      <c r="H112" s="298"/>
      <c r="I112" s="298"/>
      <c r="J112" s="298"/>
      <c r="K112" s="299" t="str">
        <f t="shared" si="2"/>
        <v>n.é.</v>
      </c>
    </row>
    <row r="113" spans="1:11" ht="30" hidden="1" customHeight="1" x14ac:dyDescent="0.2">
      <c r="A113" s="265" t="s">
        <v>516</v>
      </c>
      <c r="B113" s="307" t="s">
        <v>16</v>
      </c>
      <c r="C113" s="268" t="s">
        <v>45</v>
      </c>
      <c r="D113" s="298"/>
      <c r="E113" s="298"/>
      <c r="F113" s="298"/>
      <c r="G113" s="298"/>
      <c r="H113" s="298"/>
      <c r="I113" s="298"/>
      <c r="J113" s="298"/>
      <c r="K113" s="299" t="str">
        <f t="shared" si="2"/>
        <v>n.é.</v>
      </c>
    </row>
    <row r="114" spans="1:11" ht="36" hidden="1" customHeight="1" x14ac:dyDescent="0.2">
      <c r="A114" s="265" t="s">
        <v>517</v>
      </c>
      <c r="B114" s="307" t="s">
        <v>17</v>
      </c>
      <c r="C114" s="268" t="s">
        <v>44</v>
      </c>
      <c r="D114" s="298"/>
      <c r="E114" s="298"/>
      <c r="F114" s="298"/>
      <c r="G114" s="298"/>
      <c r="H114" s="298"/>
      <c r="I114" s="298"/>
      <c r="J114" s="298"/>
      <c r="K114" s="299" t="str">
        <f t="shared" si="2"/>
        <v>n.é.</v>
      </c>
    </row>
    <row r="115" spans="1:11" ht="21" customHeight="1" x14ac:dyDescent="0.2">
      <c r="A115" s="265" t="s">
        <v>518</v>
      </c>
      <c r="B115" s="307" t="s">
        <v>21</v>
      </c>
      <c r="C115" s="268" t="s">
        <v>43</v>
      </c>
      <c r="D115" s="304">
        <v>1546000</v>
      </c>
      <c r="E115" s="298">
        <v>1546000</v>
      </c>
      <c r="F115" s="298"/>
      <c r="G115" s="298"/>
      <c r="H115" s="298"/>
      <c r="I115" s="298"/>
      <c r="J115" s="298">
        <v>1146243</v>
      </c>
      <c r="K115" s="299">
        <f t="shared" si="2"/>
        <v>0.74142496765847343</v>
      </c>
    </row>
    <row r="116" spans="1:11" ht="20.100000000000001" hidden="1" customHeight="1" x14ac:dyDescent="0.2">
      <c r="A116" s="265" t="s">
        <v>519</v>
      </c>
      <c r="B116" s="307" t="s">
        <v>41</v>
      </c>
      <c r="C116" s="268" t="s">
        <v>42</v>
      </c>
      <c r="D116" s="298"/>
      <c r="E116" s="298"/>
      <c r="F116" s="298"/>
      <c r="G116" s="298"/>
      <c r="H116" s="298"/>
      <c r="I116" s="298"/>
      <c r="J116" s="298"/>
      <c r="K116" s="299" t="str">
        <f t="shared" ref="K116:K130" si="11">IF(E116&gt;0,J116/E116,"n.é.")</f>
        <v>n.é.</v>
      </c>
    </row>
    <row r="117" spans="1:11" ht="19.5" customHeight="1" x14ac:dyDescent="0.2">
      <c r="A117" s="265" t="s">
        <v>520</v>
      </c>
      <c r="B117" s="272" t="s">
        <v>18</v>
      </c>
      <c r="C117" s="268" t="s">
        <v>40</v>
      </c>
      <c r="D117" s="298"/>
      <c r="E117" s="298">
        <v>53940</v>
      </c>
      <c r="F117" s="298"/>
      <c r="G117" s="298"/>
      <c r="H117" s="298"/>
      <c r="I117" s="298"/>
      <c r="J117" s="298">
        <v>53940</v>
      </c>
      <c r="K117" s="299">
        <f t="shared" si="11"/>
        <v>1</v>
      </c>
    </row>
    <row r="118" spans="1:11" ht="21.75" hidden="1" customHeight="1" x14ac:dyDescent="0.2">
      <c r="A118" s="265" t="s">
        <v>521</v>
      </c>
      <c r="B118" s="272" t="s">
        <v>37</v>
      </c>
      <c r="C118" s="268" t="s">
        <v>39</v>
      </c>
      <c r="D118" s="298"/>
      <c r="E118" s="298"/>
      <c r="F118" s="298"/>
      <c r="G118" s="298"/>
      <c r="H118" s="298"/>
      <c r="I118" s="298"/>
      <c r="J118" s="298"/>
      <c r="K118" s="299" t="str">
        <f t="shared" si="11"/>
        <v>n.é.</v>
      </c>
    </row>
    <row r="119" spans="1:11" ht="26.25" hidden="1" customHeight="1" x14ac:dyDescent="0.2">
      <c r="A119" s="265" t="s">
        <v>522</v>
      </c>
      <c r="B119" s="272" t="s">
        <v>36</v>
      </c>
      <c r="C119" s="268" t="s">
        <v>38</v>
      </c>
      <c r="D119" s="298"/>
      <c r="E119" s="298"/>
      <c r="F119" s="298"/>
      <c r="G119" s="298"/>
      <c r="H119" s="298"/>
      <c r="I119" s="298"/>
      <c r="J119" s="298"/>
      <c r="K119" s="299" t="str">
        <f t="shared" si="11"/>
        <v>n.é.</v>
      </c>
    </row>
    <row r="120" spans="1:11" s="2" customFormat="1" ht="30" hidden="1" customHeight="1" x14ac:dyDescent="0.2">
      <c r="A120" s="265" t="s">
        <v>523</v>
      </c>
      <c r="B120" s="272" t="s">
        <v>35</v>
      </c>
      <c r="C120" s="268" t="s">
        <v>34</v>
      </c>
      <c r="D120" s="298"/>
      <c r="E120" s="298"/>
      <c r="F120" s="298"/>
      <c r="G120" s="298"/>
      <c r="H120" s="298"/>
      <c r="I120" s="298"/>
      <c r="J120" s="298"/>
      <c r="K120" s="299" t="str">
        <f t="shared" si="11"/>
        <v>n.é.</v>
      </c>
    </row>
    <row r="121" spans="1:11" s="2" customFormat="1" ht="16.5" customHeight="1" x14ac:dyDescent="0.2">
      <c r="A121" s="265" t="s">
        <v>524</v>
      </c>
      <c r="B121" s="272" t="s">
        <v>25</v>
      </c>
      <c r="C121" s="268" t="s">
        <v>33</v>
      </c>
      <c r="D121" s="298"/>
      <c r="E121" s="298">
        <v>651830</v>
      </c>
      <c r="F121" s="298"/>
      <c r="G121" s="298"/>
      <c r="H121" s="298"/>
      <c r="I121" s="298"/>
      <c r="J121" s="298">
        <v>651830</v>
      </c>
      <c r="K121" s="299">
        <f t="shared" si="11"/>
        <v>1</v>
      </c>
    </row>
    <row r="122" spans="1:11" s="2" customFormat="1" ht="25.5" customHeight="1" x14ac:dyDescent="0.2">
      <c r="A122" s="306" t="s">
        <v>525</v>
      </c>
      <c r="B122" s="318" t="s">
        <v>842</v>
      </c>
      <c r="C122" s="314" t="s">
        <v>27</v>
      </c>
      <c r="D122" s="303">
        <f t="shared" ref="D122:J122" si="12">SUM(D109:D121)</f>
        <v>22164000</v>
      </c>
      <c r="E122" s="303">
        <f t="shared" si="12"/>
        <v>22186249</v>
      </c>
      <c r="F122" s="303">
        <f t="shared" si="12"/>
        <v>0</v>
      </c>
      <c r="G122" s="303">
        <f t="shared" si="12"/>
        <v>0</v>
      </c>
      <c r="H122" s="303">
        <f t="shared" si="12"/>
        <v>0</v>
      </c>
      <c r="I122" s="303">
        <f t="shared" si="12"/>
        <v>0</v>
      </c>
      <c r="J122" s="303">
        <f t="shared" si="12"/>
        <v>16156941</v>
      </c>
      <c r="K122" s="286">
        <f t="shared" si="11"/>
        <v>0.72824121824288546</v>
      </c>
    </row>
    <row r="123" spans="1:11" ht="20.100000000000001" hidden="1" customHeight="1" x14ac:dyDescent="0.2">
      <c r="A123" s="265" t="s">
        <v>526</v>
      </c>
      <c r="B123" s="272" t="s">
        <v>22</v>
      </c>
      <c r="C123" s="268" t="s">
        <v>28</v>
      </c>
      <c r="D123" s="304"/>
      <c r="E123" s="298"/>
      <c r="F123" s="298"/>
      <c r="G123" s="298"/>
      <c r="H123" s="298"/>
      <c r="I123" s="298"/>
      <c r="J123" s="298"/>
      <c r="K123" s="299" t="str">
        <f t="shared" si="11"/>
        <v>n.é.</v>
      </c>
    </row>
    <row r="124" spans="1:11" ht="20.100000000000001" hidden="1" customHeight="1" x14ac:dyDescent="0.2">
      <c r="A124" s="265" t="s">
        <v>527</v>
      </c>
      <c r="B124" s="272" t="s">
        <v>426</v>
      </c>
      <c r="C124" s="268" t="s">
        <v>29</v>
      </c>
      <c r="D124" s="298"/>
      <c r="E124" s="298"/>
      <c r="F124" s="298"/>
      <c r="G124" s="298"/>
      <c r="H124" s="298"/>
      <c r="I124" s="298"/>
      <c r="J124" s="298"/>
      <c r="K124" s="299" t="str">
        <f t="shared" si="11"/>
        <v>n.é.</v>
      </c>
    </row>
    <row r="125" spans="1:11" ht="20.100000000000001" hidden="1" customHeight="1" x14ac:dyDescent="0.2">
      <c r="A125" s="265" t="s">
        <v>528</v>
      </c>
      <c r="B125" s="266" t="s">
        <v>23</v>
      </c>
      <c r="C125" s="268" t="s">
        <v>30</v>
      </c>
      <c r="D125" s="304"/>
      <c r="E125" s="298"/>
      <c r="F125" s="298"/>
      <c r="G125" s="298"/>
      <c r="H125" s="298"/>
      <c r="I125" s="298"/>
      <c r="J125" s="298"/>
      <c r="K125" s="299" t="str">
        <f t="shared" si="11"/>
        <v>n.é.</v>
      </c>
    </row>
    <row r="126" spans="1:11" ht="20.100000000000001" customHeight="1" x14ac:dyDescent="0.2">
      <c r="A126" s="306" t="s">
        <v>529</v>
      </c>
      <c r="B126" s="310" t="s">
        <v>843</v>
      </c>
      <c r="C126" s="314" t="s">
        <v>31</v>
      </c>
      <c r="D126" s="303">
        <f t="shared" ref="D126:J126" si="13">SUM(D123:D125)</f>
        <v>0</v>
      </c>
      <c r="E126" s="303">
        <f t="shared" si="13"/>
        <v>0</v>
      </c>
      <c r="F126" s="303">
        <f t="shared" si="13"/>
        <v>0</v>
      </c>
      <c r="G126" s="303">
        <f t="shared" si="13"/>
        <v>0</v>
      </c>
      <c r="H126" s="303">
        <f t="shared" si="13"/>
        <v>0</v>
      </c>
      <c r="I126" s="303">
        <f t="shared" si="13"/>
        <v>0</v>
      </c>
      <c r="J126" s="303">
        <f t="shared" si="13"/>
        <v>0</v>
      </c>
      <c r="K126" s="286" t="str">
        <f t="shared" si="11"/>
        <v>n.é.</v>
      </c>
    </row>
    <row r="127" spans="1:11" ht="20.100000000000001" customHeight="1" x14ac:dyDescent="0.2">
      <c r="A127" s="306" t="s">
        <v>530</v>
      </c>
      <c r="B127" s="318" t="s">
        <v>844</v>
      </c>
      <c r="C127" s="314" t="s">
        <v>32</v>
      </c>
      <c r="D127" s="303">
        <f>D122+D126</f>
        <v>22164000</v>
      </c>
      <c r="E127" s="303">
        <f t="shared" ref="E127" si="14">E122+E126</f>
        <v>22186249</v>
      </c>
      <c r="F127" s="303">
        <f t="shared" ref="F127" si="15">F122+F126</f>
        <v>0</v>
      </c>
      <c r="G127" s="303">
        <f t="shared" ref="G127" si="16">G122+G126</f>
        <v>0</v>
      </c>
      <c r="H127" s="303">
        <f t="shared" ref="H127" si="17">H122+H126</f>
        <v>0</v>
      </c>
      <c r="I127" s="303">
        <f t="shared" ref="I127" si="18">I122+I126</f>
        <v>0</v>
      </c>
      <c r="J127" s="303">
        <f t="shared" ref="J127" si="19">J122+J126</f>
        <v>16156941</v>
      </c>
      <c r="K127" s="286">
        <f t="shared" si="11"/>
        <v>0.72824121824288546</v>
      </c>
    </row>
    <row r="128" spans="1:11" s="3" customFormat="1" ht="20.100000000000001" customHeight="1" x14ac:dyDescent="0.2">
      <c r="A128" s="306" t="s">
        <v>531</v>
      </c>
      <c r="B128" s="310" t="s">
        <v>24</v>
      </c>
      <c r="C128" s="314" t="s">
        <v>52</v>
      </c>
      <c r="D128" s="303">
        <v>4110600</v>
      </c>
      <c r="E128" s="303">
        <v>4110600</v>
      </c>
      <c r="F128" s="303">
        <v>0</v>
      </c>
      <c r="G128" s="303">
        <v>0</v>
      </c>
      <c r="H128" s="303">
        <v>0</v>
      </c>
      <c r="I128" s="303">
        <v>0</v>
      </c>
      <c r="J128" s="303">
        <v>0</v>
      </c>
      <c r="K128" s="286">
        <f t="shared" si="11"/>
        <v>0</v>
      </c>
    </row>
    <row r="129" spans="1:11" ht="20.100000000000001" customHeight="1" x14ac:dyDescent="0.2">
      <c r="A129" s="265" t="s">
        <v>532</v>
      </c>
      <c r="B129" s="272" t="s">
        <v>63</v>
      </c>
      <c r="C129" s="268" t="s">
        <v>82</v>
      </c>
      <c r="D129" s="298">
        <v>10000</v>
      </c>
      <c r="E129" s="298">
        <v>10000</v>
      </c>
      <c r="F129" s="298"/>
      <c r="G129" s="298"/>
      <c r="H129" s="298"/>
      <c r="I129" s="298"/>
      <c r="J129" s="298">
        <v>5619</v>
      </c>
      <c r="K129" s="299">
        <f t="shared" si="11"/>
        <v>0.56189999999999996</v>
      </c>
    </row>
    <row r="130" spans="1:11" ht="20.100000000000001" customHeight="1" x14ac:dyDescent="0.2">
      <c r="A130" s="265" t="s">
        <v>533</v>
      </c>
      <c r="B130" s="272" t="s">
        <v>64</v>
      </c>
      <c r="C130" s="268" t="s">
        <v>83</v>
      </c>
      <c r="D130" s="298">
        <v>26900000</v>
      </c>
      <c r="E130" s="298">
        <v>26839243</v>
      </c>
      <c r="F130" s="298"/>
      <c r="G130" s="298"/>
      <c r="H130" s="298"/>
      <c r="I130" s="298"/>
      <c r="J130" s="298">
        <v>19405166</v>
      </c>
      <c r="K130" s="299">
        <f t="shared" si="11"/>
        <v>0.7230146543253847</v>
      </c>
    </row>
    <row r="131" spans="1:11" s="6" customFormat="1" ht="20.100000000000001" customHeight="1" x14ac:dyDescent="0.2">
      <c r="A131" s="293" t="s">
        <v>476</v>
      </c>
      <c r="B131" s="294" t="s">
        <v>492</v>
      </c>
      <c r="C131" s="295" t="s">
        <v>476</v>
      </c>
      <c r="D131" s="296">
        <v>25230000</v>
      </c>
      <c r="E131" s="296">
        <v>25230000</v>
      </c>
      <c r="F131" s="297" t="s">
        <v>660</v>
      </c>
      <c r="G131" s="297" t="s">
        <v>660</v>
      </c>
      <c r="H131" s="297" t="s">
        <v>660</v>
      </c>
      <c r="I131" s="297" t="s">
        <v>660</v>
      </c>
      <c r="J131" s="297" t="s">
        <v>660</v>
      </c>
      <c r="K131" s="308" t="s">
        <v>662</v>
      </c>
    </row>
    <row r="132" spans="1:11" s="6" customFormat="1" ht="20.100000000000001" customHeight="1" x14ac:dyDescent="0.2">
      <c r="A132" s="293" t="s">
        <v>476</v>
      </c>
      <c r="B132" s="294" t="s">
        <v>493</v>
      </c>
      <c r="C132" s="295" t="s">
        <v>476</v>
      </c>
      <c r="D132" s="296">
        <v>90000</v>
      </c>
      <c r="E132" s="296">
        <v>90000</v>
      </c>
      <c r="F132" s="297" t="s">
        <v>660</v>
      </c>
      <c r="G132" s="297" t="s">
        <v>660</v>
      </c>
      <c r="H132" s="297" t="s">
        <v>660</v>
      </c>
      <c r="I132" s="297" t="s">
        <v>660</v>
      </c>
      <c r="J132" s="297" t="s">
        <v>660</v>
      </c>
      <c r="K132" s="308" t="s">
        <v>662</v>
      </c>
    </row>
    <row r="133" spans="1:11" s="6" customFormat="1" ht="20.100000000000001" customHeight="1" x14ac:dyDescent="0.2">
      <c r="A133" s="293" t="s">
        <v>476</v>
      </c>
      <c r="B133" s="294" t="s">
        <v>494</v>
      </c>
      <c r="C133" s="295" t="s">
        <v>476</v>
      </c>
      <c r="D133" s="296">
        <v>295000</v>
      </c>
      <c r="E133" s="296">
        <v>295000</v>
      </c>
      <c r="F133" s="297" t="s">
        <v>660</v>
      </c>
      <c r="G133" s="297" t="s">
        <v>660</v>
      </c>
      <c r="H133" s="297" t="s">
        <v>660</v>
      </c>
      <c r="I133" s="297" t="s">
        <v>660</v>
      </c>
      <c r="J133" s="297" t="s">
        <v>660</v>
      </c>
      <c r="K133" s="308" t="s">
        <v>662</v>
      </c>
    </row>
    <row r="134" spans="1:11" s="6" customFormat="1" ht="20.100000000000001" customHeight="1" x14ac:dyDescent="0.2">
      <c r="A134" s="293" t="s">
        <v>476</v>
      </c>
      <c r="B134" s="294" t="s">
        <v>870</v>
      </c>
      <c r="C134" s="295" t="s">
        <v>476</v>
      </c>
      <c r="D134" s="296">
        <v>150000</v>
      </c>
      <c r="E134" s="296">
        <v>150000</v>
      </c>
      <c r="F134" s="297" t="s">
        <v>660</v>
      </c>
      <c r="G134" s="297" t="s">
        <v>660</v>
      </c>
      <c r="H134" s="297" t="s">
        <v>660</v>
      </c>
      <c r="I134" s="297" t="s">
        <v>660</v>
      </c>
      <c r="J134" s="297" t="s">
        <v>660</v>
      </c>
      <c r="K134" s="308" t="s">
        <v>662</v>
      </c>
    </row>
    <row r="135" spans="1:11" s="6" customFormat="1" ht="20.100000000000001" customHeight="1" x14ac:dyDescent="0.2">
      <c r="A135" s="293" t="s">
        <v>476</v>
      </c>
      <c r="B135" s="294" t="s">
        <v>871</v>
      </c>
      <c r="C135" s="295" t="s">
        <v>476</v>
      </c>
      <c r="D135" s="296">
        <v>850000</v>
      </c>
      <c r="E135" s="296">
        <v>850000</v>
      </c>
      <c r="F135" s="297" t="s">
        <v>660</v>
      </c>
      <c r="G135" s="297" t="s">
        <v>660</v>
      </c>
      <c r="H135" s="297" t="s">
        <v>660</v>
      </c>
      <c r="I135" s="297" t="s">
        <v>660</v>
      </c>
      <c r="J135" s="297" t="s">
        <v>660</v>
      </c>
      <c r="K135" s="308" t="s">
        <v>662</v>
      </c>
    </row>
    <row r="136" spans="1:11" s="6" customFormat="1" ht="20.100000000000001" customHeight="1" x14ac:dyDescent="0.2">
      <c r="A136" s="293" t="s">
        <v>476</v>
      </c>
      <c r="B136" s="294" t="s">
        <v>872</v>
      </c>
      <c r="C136" s="295" t="s">
        <v>476</v>
      </c>
      <c r="D136" s="296">
        <v>285000</v>
      </c>
      <c r="E136" s="296">
        <v>224243</v>
      </c>
      <c r="F136" s="297" t="s">
        <v>660</v>
      </c>
      <c r="G136" s="297" t="s">
        <v>660</v>
      </c>
      <c r="H136" s="297" t="s">
        <v>660</v>
      </c>
      <c r="I136" s="297" t="s">
        <v>660</v>
      </c>
      <c r="J136" s="297" t="s">
        <v>660</v>
      </c>
      <c r="K136" s="308" t="s">
        <v>662</v>
      </c>
    </row>
    <row r="137" spans="1:11" ht="20.100000000000001" hidden="1" customHeight="1" x14ac:dyDescent="0.2">
      <c r="A137" s="265" t="s">
        <v>534</v>
      </c>
      <c r="B137" s="272" t="s">
        <v>65</v>
      </c>
      <c r="C137" s="268" t="s">
        <v>84</v>
      </c>
      <c r="D137" s="298"/>
      <c r="E137" s="298"/>
      <c r="F137" s="298"/>
      <c r="G137" s="298"/>
      <c r="H137" s="298"/>
      <c r="I137" s="298"/>
      <c r="J137" s="298"/>
      <c r="K137" s="299" t="str">
        <f t="shared" ref="K137:K142" si="20">IF(E137&gt;0,J137/E137,"n.é.")</f>
        <v>n.é.</v>
      </c>
    </row>
    <row r="138" spans="1:11" ht="20.100000000000001" customHeight="1" x14ac:dyDescent="0.2">
      <c r="A138" s="306" t="s">
        <v>535</v>
      </c>
      <c r="B138" s="310" t="s">
        <v>845</v>
      </c>
      <c r="C138" s="314" t="s">
        <v>92</v>
      </c>
      <c r="D138" s="303">
        <f t="shared" ref="D138:J138" si="21">SUM(D129:D137)-SUM(D131:D136)</f>
        <v>26910000</v>
      </c>
      <c r="E138" s="303">
        <f t="shared" si="21"/>
        <v>26849243</v>
      </c>
      <c r="F138" s="303">
        <f t="shared" si="21"/>
        <v>0</v>
      </c>
      <c r="G138" s="303">
        <f t="shared" si="21"/>
        <v>0</v>
      </c>
      <c r="H138" s="303">
        <f t="shared" si="21"/>
        <v>0</v>
      </c>
      <c r="I138" s="303">
        <f t="shared" si="21"/>
        <v>0</v>
      </c>
      <c r="J138" s="303">
        <f t="shared" si="21"/>
        <v>19410785</v>
      </c>
      <c r="K138" s="286">
        <f t="shared" si="20"/>
        <v>0.72295464717571367</v>
      </c>
    </row>
    <row r="139" spans="1:11" ht="20.100000000000001" customHeight="1" x14ac:dyDescent="0.2">
      <c r="A139" s="265" t="s">
        <v>536</v>
      </c>
      <c r="B139" s="272" t="s">
        <v>66</v>
      </c>
      <c r="C139" s="268" t="s">
        <v>85</v>
      </c>
      <c r="D139" s="298">
        <v>150000</v>
      </c>
      <c r="E139" s="298">
        <v>135000</v>
      </c>
      <c r="F139" s="298"/>
      <c r="G139" s="298"/>
      <c r="H139" s="298"/>
      <c r="I139" s="298"/>
      <c r="J139" s="298">
        <v>99110</v>
      </c>
      <c r="K139" s="299">
        <f t="shared" si="20"/>
        <v>0.73414814814814811</v>
      </c>
    </row>
    <row r="140" spans="1:11" ht="20.100000000000001" customHeight="1" x14ac:dyDescent="0.2">
      <c r="A140" s="265" t="s">
        <v>537</v>
      </c>
      <c r="B140" s="272" t="s">
        <v>67</v>
      </c>
      <c r="C140" s="268" t="s">
        <v>86</v>
      </c>
      <c r="D140" s="298">
        <v>140000</v>
      </c>
      <c r="E140" s="298">
        <f>140000+5000</f>
        <v>145000</v>
      </c>
      <c r="F140" s="298"/>
      <c r="G140" s="298"/>
      <c r="H140" s="298"/>
      <c r="I140" s="298"/>
      <c r="J140" s="298">
        <v>106371</v>
      </c>
      <c r="K140" s="299">
        <f t="shared" si="20"/>
        <v>0.73359310344827589</v>
      </c>
    </row>
    <row r="141" spans="1:11" ht="20.100000000000001" customHeight="1" x14ac:dyDescent="0.2">
      <c r="A141" s="306" t="s">
        <v>538</v>
      </c>
      <c r="B141" s="310" t="s">
        <v>846</v>
      </c>
      <c r="C141" s="314" t="s">
        <v>93</v>
      </c>
      <c r="D141" s="303">
        <f t="shared" ref="D141:J141" si="22">SUM(D139:D140)</f>
        <v>290000</v>
      </c>
      <c r="E141" s="303">
        <f t="shared" si="22"/>
        <v>280000</v>
      </c>
      <c r="F141" s="303">
        <f t="shared" si="22"/>
        <v>0</v>
      </c>
      <c r="G141" s="303">
        <f t="shared" si="22"/>
        <v>0</v>
      </c>
      <c r="H141" s="303">
        <f t="shared" si="22"/>
        <v>0</v>
      </c>
      <c r="I141" s="303">
        <f t="shared" si="22"/>
        <v>0</v>
      </c>
      <c r="J141" s="303">
        <f t="shared" si="22"/>
        <v>205481</v>
      </c>
      <c r="K141" s="286">
        <f t="shared" si="20"/>
        <v>0.73386071428571431</v>
      </c>
    </row>
    <row r="142" spans="1:11" ht="20.100000000000001" customHeight="1" x14ac:dyDescent="0.2">
      <c r="A142" s="265" t="s">
        <v>539</v>
      </c>
      <c r="B142" s="272" t="s">
        <v>68</v>
      </c>
      <c r="C142" s="268" t="s">
        <v>87</v>
      </c>
      <c r="D142" s="298">
        <f>SUM(D143:D145)</f>
        <v>3205000</v>
      </c>
      <c r="E142" s="298">
        <v>3813601</v>
      </c>
      <c r="F142" s="298"/>
      <c r="G142" s="298"/>
      <c r="H142" s="298"/>
      <c r="I142" s="298"/>
      <c r="J142" s="298">
        <v>2813396</v>
      </c>
      <c r="K142" s="299">
        <f t="shared" si="20"/>
        <v>0.73772688857591551</v>
      </c>
    </row>
    <row r="143" spans="1:11" s="6" customFormat="1" ht="20.100000000000001" customHeight="1" x14ac:dyDescent="0.2">
      <c r="A143" s="293" t="s">
        <v>476</v>
      </c>
      <c r="B143" s="294" t="s">
        <v>495</v>
      </c>
      <c r="C143" s="295" t="s">
        <v>476</v>
      </c>
      <c r="D143" s="296">
        <v>2800000</v>
      </c>
      <c r="E143" s="296">
        <v>3408601</v>
      </c>
      <c r="F143" s="297" t="s">
        <v>660</v>
      </c>
      <c r="G143" s="297" t="s">
        <v>660</v>
      </c>
      <c r="H143" s="297" t="s">
        <v>660</v>
      </c>
      <c r="I143" s="297" t="s">
        <v>660</v>
      </c>
      <c r="J143" s="297" t="s">
        <v>660</v>
      </c>
      <c r="K143" s="308" t="s">
        <v>662</v>
      </c>
    </row>
    <row r="144" spans="1:11" s="6" customFormat="1" ht="20.100000000000001" customHeight="1" x14ac:dyDescent="0.2">
      <c r="A144" s="293" t="s">
        <v>476</v>
      </c>
      <c r="B144" s="294" t="s">
        <v>496</v>
      </c>
      <c r="C144" s="295" t="s">
        <v>476</v>
      </c>
      <c r="D144" s="296">
        <v>10000</v>
      </c>
      <c r="E144" s="296">
        <v>10000</v>
      </c>
      <c r="F144" s="297" t="s">
        <v>660</v>
      </c>
      <c r="G144" s="297" t="s">
        <v>660</v>
      </c>
      <c r="H144" s="297" t="s">
        <v>660</v>
      </c>
      <c r="I144" s="297" t="s">
        <v>660</v>
      </c>
      <c r="J144" s="297" t="s">
        <v>660</v>
      </c>
      <c r="K144" s="308" t="s">
        <v>662</v>
      </c>
    </row>
    <row r="145" spans="1:11" s="6" customFormat="1" ht="20.100000000000001" customHeight="1" x14ac:dyDescent="0.2">
      <c r="A145" s="293" t="s">
        <v>476</v>
      </c>
      <c r="B145" s="294" t="s">
        <v>497</v>
      </c>
      <c r="C145" s="295" t="s">
        <v>476</v>
      </c>
      <c r="D145" s="296">
        <v>395000</v>
      </c>
      <c r="E145" s="296">
        <v>395000</v>
      </c>
      <c r="F145" s="297"/>
      <c r="G145" s="297" t="s">
        <v>660</v>
      </c>
      <c r="H145" s="297" t="s">
        <v>660</v>
      </c>
      <c r="I145" s="297" t="s">
        <v>660</v>
      </c>
      <c r="J145" s="297" t="s">
        <v>660</v>
      </c>
      <c r="K145" s="308" t="s">
        <v>662</v>
      </c>
    </row>
    <row r="146" spans="1:11" ht="20.100000000000001" customHeight="1" x14ac:dyDescent="0.2">
      <c r="A146" s="265" t="s">
        <v>707</v>
      </c>
      <c r="B146" s="272" t="s">
        <v>69</v>
      </c>
      <c r="C146" s="268" t="s">
        <v>88</v>
      </c>
      <c r="D146" s="298">
        <v>900000</v>
      </c>
      <c r="E146" s="298">
        <v>638910</v>
      </c>
      <c r="F146" s="298"/>
      <c r="G146" s="298"/>
      <c r="H146" s="298"/>
      <c r="I146" s="298"/>
      <c r="J146" s="298">
        <v>329321</v>
      </c>
      <c r="K146" s="299">
        <f t="shared" ref="K146:K185" si="23">IF(E146&gt;0,J146/E146,"n.é.")</f>
        <v>0.5154419245277112</v>
      </c>
    </row>
    <row r="147" spans="1:11" ht="20.100000000000001" hidden="1" customHeight="1" x14ac:dyDescent="0.2">
      <c r="A147" s="265" t="s">
        <v>708</v>
      </c>
      <c r="B147" s="272" t="s">
        <v>70</v>
      </c>
      <c r="C147" s="268" t="s">
        <v>89</v>
      </c>
      <c r="D147" s="298"/>
      <c r="E147" s="298"/>
      <c r="F147" s="298"/>
      <c r="G147" s="298"/>
      <c r="H147" s="298"/>
      <c r="I147" s="298"/>
      <c r="J147" s="298"/>
      <c r="K147" s="299" t="str">
        <f t="shared" si="23"/>
        <v>n.é.</v>
      </c>
    </row>
    <row r="148" spans="1:11" ht="20.100000000000001" customHeight="1" x14ac:dyDescent="0.2">
      <c r="A148" s="265" t="s">
        <v>709</v>
      </c>
      <c r="B148" s="272" t="s">
        <v>71</v>
      </c>
      <c r="C148" s="268" t="s">
        <v>90</v>
      </c>
      <c r="D148" s="298">
        <v>800000</v>
      </c>
      <c r="E148" s="298">
        <v>312751</v>
      </c>
      <c r="F148" s="298"/>
      <c r="G148" s="298"/>
      <c r="H148" s="298"/>
      <c r="I148" s="298"/>
      <c r="J148" s="298">
        <v>50840</v>
      </c>
      <c r="K148" s="299">
        <f t="shared" si="23"/>
        <v>0.16255743386911634</v>
      </c>
    </row>
    <row r="149" spans="1:11" ht="20.100000000000001" hidden="1" customHeight="1" x14ac:dyDescent="0.2">
      <c r="A149" s="265" t="s">
        <v>710</v>
      </c>
      <c r="B149" s="313" t="s">
        <v>72</v>
      </c>
      <c r="C149" s="268" t="s">
        <v>91</v>
      </c>
      <c r="D149" s="298"/>
      <c r="E149" s="298"/>
      <c r="F149" s="298"/>
      <c r="G149" s="298"/>
      <c r="H149" s="298"/>
      <c r="I149" s="298"/>
      <c r="J149" s="298"/>
      <c r="K149" s="299" t="str">
        <f t="shared" si="23"/>
        <v>n.é.</v>
      </c>
    </row>
    <row r="150" spans="1:11" ht="20.100000000000001" customHeight="1" x14ac:dyDescent="0.2">
      <c r="A150" s="265" t="s">
        <v>711</v>
      </c>
      <c r="B150" s="266" t="s">
        <v>73</v>
      </c>
      <c r="C150" s="268" t="s">
        <v>94</v>
      </c>
      <c r="D150" s="298">
        <v>110000</v>
      </c>
      <c r="E150" s="298">
        <v>110000</v>
      </c>
      <c r="F150" s="298"/>
      <c r="G150" s="298"/>
      <c r="H150" s="298"/>
      <c r="I150" s="298"/>
      <c r="J150" s="298">
        <v>84800</v>
      </c>
      <c r="K150" s="299">
        <f t="shared" si="23"/>
        <v>0.77090909090909088</v>
      </c>
    </row>
    <row r="151" spans="1:11" ht="20.100000000000001" customHeight="1" x14ac:dyDescent="0.2">
      <c r="A151" s="265" t="s">
        <v>712</v>
      </c>
      <c r="B151" s="272" t="s">
        <v>74</v>
      </c>
      <c r="C151" s="268" t="s">
        <v>95</v>
      </c>
      <c r="D151" s="298">
        <v>800000</v>
      </c>
      <c r="E151" s="298">
        <v>988246</v>
      </c>
      <c r="F151" s="298"/>
      <c r="G151" s="298"/>
      <c r="H151" s="298"/>
      <c r="I151" s="298"/>
      <c r="J151" s="298">
        <v>690027</v>
      </c>
      <c r="K151" s="299">
        <f t="shared" si="23"/>
        <v>0.69823404294072533</v>
      </c>
    </row>
    <row r="152" spans="1:11" ht="20.100000000000001" customHeight="1" x14ac:dyDescent="0.2">
      <c r="A152" s="306" t="s">
        <v>713</v>
      </c>
      <c r="B152" s="310" t="s">
        <v>847</v>
      </c>
      <c r="C152" s="314" t="s">
        <v>96</v>
      </c>
      <c r="D152" s="303">
        <f t="shared" ref="D152:J152" si="24">SUM(D142:D151)-SUM(D143:D145)</f>
        <v>5815000</v>
      </c>
      <c r="E152" s="303">
        <f t="shared" si="24"/>
        <v>5863508</v>
      </c>
      <c r="F152" s="303">
        <f t="shared" si="24"/>
        <v>0</v>
      </c>
      <c r="G152" s="303">
        <f t="shared" si="24"/>
        <v>0</v>
      </c>
      <c r="H152" s="303">
        <f t="shared" si="24"/>
        <v>0</v>
      </c>
      <c r="I152" s="303">
        <f t="shared" si="24"/>
        <v>0</v>
      </c>
      <c r="J152" s="303">
        <f t="shared" si="24"/>
        <v>3968384</v>
      </c>
      <c r="K152" s="286">
        <f t="shared" si="23"/>
        <v>0.67679348267283002</v>
      </c>
    </row>
    <row r="153" spans="1:11" ht="20.100000000000001" hidden="1" customHeight="1" x14ac:dyDescent="0.2">
      <c r="A153" s="265" t="s">
        <v>714</v>
      </c>
      <c r="B153" s="272" t="s">
        <v>75</v>
      </c>
      <c r="C153" s="268" t="s">
        <v>97</v>
      </c>
      <c r="D153" s="298"/>
      <c r="E153" s="298"/>
      <c r="F153" s="298"/>
      <c r="G153" s="298"/>
      <c r="H153" s="298"/>
      <c r="I153" s="298"/>
      <c r="J153" s="298"/>
      <c r="K153" s="299" t="str">
        <f t="shared" si="23"/>
        <v>n.é.</v>
      </c>
    </row>
    <row r="154" spans="1:11" ht="20.100000000000001" hidden="1" customHeight="1" x14ac:dyDescent="0.2">
      <c r="A154" s="265" t="s">
        <v>715</v>
      </c>
      <c r="B154" s="272" t="s">
        <v>76</v>
      </c>
      <c r="C154" s="268" t="s">
        <v>98</v>
      </c>
      <c r="D154" s="298"/>
      <c r="E154" s="298"/>
      <c r="F154" s="298"/>
      <c r="G154" s="298"/>
      <c r="H154" s="298"/>
      <c r="I154" s="298"/>
      <c r="J154" s="298"/>
      <c r="K154" s="299" t="str">
        <f t="shared" si="23"/>
        <v>n.é.</v>
      </c>
    </row>
    <row r="155" spans="1:11" ht="20.100000000000001" customHeight="1" x14ac:dyDescent="0.2">
      <c r="A155" s="306" t="s">
        <v>716</v>
      </c>
      <c r="B155" s="310" t="s">
        <v>848</v>
      </c>
      <c r="C155" s="314" t="s">
        <v>99</v>
      </c>
      <c r="D155" s="303">
        <f t="shared" ref="D155:J155" si="25">SUM(D153:D154)</f>
        <v>0</v>
      </c>
      <c r="E155" s="303">
        <f t="shared" si="25"/>
        <v>0</v>
      </c>
      <c r="F155" s="303">
        <f t="shared" si="25"/>
        <v>0</v>
      </c>
      <c r="G155" s="303">
        <f t="shared" si="25"/>
        <v>0</v>
      </c>
      <c r="H155" s="303">
        <f t="shared" si="25"/>
        <v>0</v>
      </c>
      <c r="I155" s="303">
        <f t="shared" si="25"/>
        <v>0</v>
      </c>
      <c r="J155" s="303">
        <f t="shared" si="25"/>
        <v>0</v>
      </c>
      <c r="K155" s="286" t="str">
        <f t="shared" si="23"/>
        <v>n.é.</v>
      </c>
    </row>
    <row r="156" spans="1:11" ht="20.100000000000001" customHeight="1" x14ac:dyDescent="0.2">
      <c r="A156" s="285" t="s">
        <v>717</v>
      </c>
      <c r="B156" s="272" t="s">
        <v>77</v>
      </c>
      <c r="C156" s="268" t="s">
        <v>100</v>
      </c>
      <c r="D156" s="298">
        <f>5900000-84531</f>
        <v>5815469</v>
      </c>
      <c r="E156" s="298">
        <v>5815469</v>
      </c>
      <c r="F156" s="298"/>
      <c r="G156" s="298"/>
      <c r="H156" s="298"/>
      <c r="I156" s="298"/>
      <c r="J156" s="298">
        <v>4055117</v>
      </c>
      <c r="K156" s="299">
        <f t="shared" si="23"/>
        <v>0.69729836063093109</v>
      </c>
    </row>
    <row r="157" spans="1:11" ht="20.100000000000001" customHeight="1" x14ac:dyDescent="0.2">
      <c r="A157" s="285" t="s">
        <v>718</v>
      </c>
      <c r="B157" s="272" t="s">
        <v>78</v>
      </c>
      <c r="C157" s="268" t="s">
        <v>101</v>
      </c>
      <c r="D157" s="298">
        <v>2500000</v>
      </c>
      <c r="E157" s="298">
        <v>2500000</v>
      </c>
      <c r="F157" s="298"/>
      <c r="G157" s="298"/>
      <c r="H157" s="298"/>
      <c r="I157" s="298"/>
      <c r="J157" s="298">
        <v>2260000</v>
      </c>
      <c r="K157" s="299">
        <f t="shared" si="23"/>
        <v>0.90400000000000003</v>
      </c>
    </row>
    <row r="158" spans="1:11" ht="20.100000000000001" hidden="1" customHeight="1" x14ac:dyDescent="0.2">
      <c r="A158" s="285" t="s">
        <v>719</v>
      </c>
      <c r="B158" s="272" t="s">
        <v>79</v>
      </c>
      <c r="C158" s="268" t="s">
        <v>102</v>
      </c>
      <c r="D158" s="298"/>
      <c r="E158" s="298"/>
      <c r="F158" s="298"/>
      <c r="G158" s="298"/>
      <c r="H158" s="298"/>
      <c r="I158" s="298"/>
      <c r="J158" s="298"/>
      <c r="K158" s="299" t="str">
        <f t="shared" si="23"/>
        <v>n.é.</v>
      </c>
    </row>
    <row r="159" spans="1:11" ht="20.100000000000001" hidden="1" customHeight="1" x14ac:dyDescent="0.2">
      <c r="A159" s="285" t="s">
        <v>720</v>
      </c>
      <c r="B159" s="272" t="s">
        <v>80</v>
      </c>
      <c r="C159" s="268" t="s">
        <v>103</v>
      </c>
      <c r="D159" s="298"/>
      <c r="E159" s="298"/>
      <c r="F159" s="298"/>
      <c r="G159" s="298"/>
      <c r="H159" s="298"/>
      <c r="I159" s="298"/>
      <c r="J159" s="298"/>
      <c r="K159" s="299" t="str">
        <f t="shared" si="23"/>
        <v>n.é.</v>
      </c>
    </row>
    <row r="160" spans="1:11" ht="20.100000000000001" customHeight="1" x14ac:dyDescent="0.2">
      <c r="A160" s="285" t="s">
        <v>721</v>
      </c>
      <c r="B160" s="272" t="s">
        <v>81</v>
      </c>
      <c r="C160" s="268" t="s">
        <v>104</v>
      </c>
      <c r="D160" s="298">
        <v>20000</v>
      </c>
      <c r="E160" s="298">
        <v>20000</v>
      </c>
      <c r="F160" s="298"/>
      <c r="G160" s="298"/>
      <c r="H160" s="298"/>
      <c r="I160" s="298"/>
      <c r="J160" s="298">
        <v>2</v>
      </c>
      <c r="K160" s="299">
        <f t="shared" si="23"/>
        <v>1E-4</v>
      </c>
    </row>
    <row r="161" spans="1:11" ht="20.100000000000001" customHeight="1" x14ac:dyDescent="0.2">
      <c r="A161" s="289" t="s">
        <v>722</v>
      </c>
      <c r="B161" s="310" t="s">
        <v>849</v>
      </c>
      <c r="C161" s="314" t="s">
        <v>105</v>
      </c>
      <c r="D161" s="303">
        <f t="shared" ref="D161:J161" si="26">SUM(D156:D160)</f>
        <v>8335469</v>
      </c>
      <c r="E161" s="303">
        <f t="shared" si="26"/>
        <v>8335469</v>
      </c>
      <c r="F161" s="303">
        <f t="shared" si="26"/>
        <v>0</v>
      </c>
      <c r="G161" s="303">
        <f t="shared" si="26"/>
        <v>0</v>
      </c>
      <c r="H161" s="303">
        <f t="shared" si="26"/>
        <v>0</v>
      </c>
      <c r="I161" s="303">
        <f t="shared" si="26"/>
        <v>0</v>
      </c>
      <c r="J161" s="303">
        <f t="shared" si="26"/>
        <v>6315119</v>
      </c>
      <c r="K161" s="286">
        <f t="shared" si="23"/>
        <v>0.75762011711638544</v>
      </c>
    </row>
    <row r="162" spans="1:11" ht="20.100000000000001" customHeight="1" x14ac:dyDescent="0.2">
      <c r="A162" s="289" t="s">
        <v>723</v>
      </c>
      <c r="B162" s="310" t="s">
        <v>850</v>
      </c>
      <c r="C162" s="314" t="s">
        <v>57</v>
      </c>
      <c r="D162" s="303">
        <f>D138+D141+D152+D155+D161</f>
        <v>41350469</v>
      </c>
      <c r="E162" s="303">
        <f t="shared" ref="E162" si="27">E138+E141+E152+E155+E161</f>
        <v>41328220</v>
      </c>
      <c r="F162" s="303">
        <f t="shared" ref="F162" si="28">F138+F141+F152+F155+F161</f>
        <v>0</v>
      </c>
      <c r="G162" s="303">
        <f t="shared" ref="G162" si="29">G138+G141+G152+G155+G161</f>
        <v>0</v>
      </c>
      <c r="H162" s="303">
        <f t="shared" ref="H162" si="30">H138+H141+H152+H155+H161</f>
        <v>0</v>
      </c>
      <c r="I162" s="303">
        <f t="shared" ref="I162" si="31">I138+I141+I152+I155+I161</f>
        <v>0</v>
      </c>
      <c r="J162" s="303">
        <f t="shared" ref="J162" si="32">J138+J141+J152+J155+J161</f>
        <v>29899769</v>
      </c>
      <c r="K162" s="286">
        <f t="shared" si="23"/>
        <v>0.72347100842959122</v>
      </c>
    </row>
    <row r="163" spans="1:11" ht="20.100000000000001" hidden="1" customHeight="1" x14ac:dyDescent="0.2">
      <c r="A163" s="285" t="s">
        <v>724</v>
      </c>
      <c r="B163" s="272" t="s">
        <v>108</v>
      </c>
      <c r="C163" s="268" t="s">
        <v>116</v>
      </c>
      <c r="D163" s="298"/>
      <c r="E163" s="298"/>
      <c r="F163" s="298"/>
      <c r="G163" s="298"/>
      <c r="H163" s="298"/>
      <c r="I163" s="298"/>
      <c r="J163" s="298"/>
      <c r="K163" s="299" t="str">
        <f t="shared" si="23"/>
        <v>n.é.</v>
      </c>
    </row>
    <row r="164" spans="1:11" ht="20.100000000000001" hidden="1" customHeight="1" x14ac:dyDescent="0.2">
      <c r="A164" s="285" t="s">
        <v>725</v>
      </c>
      <c r="B164" s="272" t="s">
        <v>109</v>
      </c>
      <c r="C164" s="268" t="s">
        <v>117</v>
      </c>
      <c r="D164" s="298"/>
      <c r="E164" s="298"/>
      <c r="F164" s="298"/>
      <c r="G164" s="298"/>
      <c r="H164" s="298"/>
      <c r="I164" s="298"/>
      <c r="J164" s="298"/>
      <c r="K164" s="299" t="str">
        <f t="shared" si="23"/>
        <v>n.é.</v>
      </c>
    </row>
    <row r="165" spans="1:11" ht="20.100000000000001" hidden="1" customHeight="1" x14ac:dyDescent="0.2">
      <c r="A165" s="285" t="s">
        <v>726</v>
      </c>
      <c r="B165" s="313" t="s">
        <v>110</v>
      </c>
      <c r="C165" s="268" t="s">
        <v>118</v>
      </c>
      <c r="D165" s="298"/>
      <c r="E165" s="298"/>
      <c r="F165" s="298"/>
      <c r="G165" s="298"/>
      <c r="H165" s="298"/>
      <c r="I165" s="298"/>
      <c r="J165" s="298"/>
      <c r="K165" s="299" t="str">
        <f t="shared" si="23"/>
        <v>n.é.</v>
      </c>
    </row>
    <row r="166" spans="1:11" ht="20.100000000000001" hidden="1" customHeight="1" x14ac:dyDescent="0.2">
      <c r="A166" s="285" t="s">
        <v>727</v>
      </c>
      <c r="B166" s="313" t="s">
        <v>111</v>
      </c>
      <c r="C166" s="268" t="s">
        <v>119</v>
      </c>
      <c r="D166" s="298"/>
      <c r="E166" s="298"/>
      <c r="F166" s="298"/>
      <c r="G166" s="298"/>
      <c r="H166" s="298"/>
      <c r="I166" s="298"/>
      <c r="J166" s="298"/>
      <c r="K166" s="299" t="str">
        <f t="shared" si="23"/>
        <v>n.é.</v>
      </c>
    </row>
    <row r="167" spans="1:11" ht="20.100000000000001" hidden="1" customHeight="1" x14ac:dyDescent="0.2">
      <c r="A167" s="285" t="s">
        <v>728</v>
      </c>
      <c r="B167" s="313" t="s">
        <v>112</v>
      </c>
      <c r="C167" s="268" t="s">
        <v>120</v>
      </c>
      <c r="D167" s="298"/>
      <c r="E167" s="298"/>
      <c r="F167" s="298"/>
      <c r="G167" s="298"/>
      <c r="H167" s="298"/>
      <c r="I167" s="298"/>
      <c r="J167" s="298"/>
      <c r="K167" s="299" t="str">
        <f t="shared" si="23"/>
        <v>n.é.</v>
      </c>
    </row>
    <row r="168" spans="1:11" ht="20.100000000000001" hidden="1" customHeight="1" x14ac:dyDescent="0.2">
      <c r="A168" s="285" t="s">
        <v>729</v>
      </c>
      <c r="B168" s="272" t="s">
        <v>113</v>
      </c>
      <c r="C168" s="268" t="s">
        <v>121</v>
      </c>
      <c r="D168" s="298"/>
      <c r="E168" s="298"/>
      <c r="F168" s="298"/>
      <c r="G168" s="298"/>
      <c r="H168" s="298"/>
      <c r="I168" s="298"/>
      <c r="J168" s="298"/>
      <c r="K168" s="299" t="str">
        <f t="shared" si="23"/>
        <v>n.é.</v>
      </c>
    </row>
    <row r="169" spans="1:11" ht="20.100000000000001" hidden="1" customHeight="1" x14ac:dyDescent="0.2">
      <c r="A169" s="285" t="s">
        <v>730</v>
      </c>
      <c r="B169" s="272" t="s">
        <v>114</v>
      </c>
      <c r="C169" s="268" t="s">
        <v>122</v>
      </c>
      <c r="D169" s="298"/>
      <c r="E169" s="298"/>
      <c r="F169" s="298"/>
      <c r="G169" s="298"/>
      <c r="H169" s="298"/>
      <c r="I169" s="298"/>
      <c r="J169" s="298"/>
      <c r="K169" s="299" t="str">
        <f t="shared" si="23"/>
        <v>n.é.</v>
      </c>
    </row>
    <row r="170" spans="1:11" ht="20.100000000000001" hidden="1" customHeight="1" x14ac:dyDescent="0.2">
      <c r="A170" s="285" t="s">
        <v>731</v>
      </c>
      <c r="B170" s="272" t="s">
        <v>115</v>
      </c>
      <c r="C170" s="268" t="s">
        <v>123</v>
      </c>
      <c r="D170" s="298"/>
      <c r="E170" s="298"/>
      <c r="F170" s="298"/>
      <c r="G170" s="298"/>
      <c r="H170" s="298"/>
      <c r="I170" s="298"/>
      <c r="J170" s="298"/>
      <c r="K170" s="299" t="str">
        <f t="shared" si="23"/>
        <v>n.é.</v>
      </c>
    </row>
    <row r="171" spans="1:11" ht="20.100000000000001" customHeight="1" x14ac:dyDescent="0.2">
      <c r="A171" s="289" t="s">
        <v>732</v>
      </c>
      <c r="B171" s="310" t="s">
        <v>851</v>
      </c>
      <c r="C171" s="314" t="s">
        <v>58</v>
      </c>
      <c r="D171" s="303">
        <f t="shared" ref="D171:J171" si="33">D163+D164+D165+D166+D167+D168+D169+D170</f>
        <v>0</v>
      </c>
      <c r="E171" s="303">
        <f t="shared" si="33"/>
        <v>0</v>
      </c>
      <c r="F171" s="303">
        <f t="shared" si="33"/>
        <v>0</v>
      </c>
      <c r="G171" s="303">
        <f t="shared" si="33"/>
        <v>0</v>
      </c>
      <c r="H171" s="303">
        <f t="shared" si="33"/>
        <v>0</v>
      </c>
      <c r="I171" s="303">
        <f t="shared" si="33"/>
        <v>0</v>
      </c>
      <c r="J171" s="303">
        <f t="shared" si="33"/>
        <v>0</v>
      </c>
      <c r="K171" s="286" t="str">
        <f t="shared" si="23"/>
        <v>n.é.</v>
      </c>
    </row>
    <row r="172" spans="1:11" ht="20.100000000000001" hidden="1" customHeight="1" x14ac:dyDescent="0.2">
      <c r="A172" s="285" t="s">
        <v>760</v>
      </c>
      <c r="B172" s="307" t="s">
        <v>142</v>
      </c>
      <c r="C172" s="268" t="s">
        <v>131</v>
      </c>
      <c r="D172" s="298"/>
      <c r="E172" s="298"/>
      <c r="F172" s="298"/>
      <c r="G172" s="298"/>
      <c r="H172" s="298"/>
      <c r="I172" s="298"/>
      <c r="J172" s="298"/>
      <c r="K172" s="299" t="str">
        <f t="shared" si="23"/>
        <v>n.é.</v>
      </c>
    </row>
    <row r="173" spans="1:11" ht="20.100000000000001" hidden="1" customHeight="1" x14ac:dyDescent="0.2">
      <c r="A173" s="285" t="s">
        <v>761</v>
      </c>
      <c r="B173" s="307" t="s">
        <v>734</v>
      </c>
      <c r="C173" s="268" t="s">
        <v>733</v>
      </c>
      <c r="D173" s="298"/>
      <c r="E173" s="298"/>
      <c r="F173" s="298"/>
      <c r="G173" s="298"/>
      <c r="H173" s="298"/>
      <c r="I173" s="298"/>
      <c r="J173" s="298"/>
      <c r="K173" s="299" t="str">
        <f t="shared" si="23"/>
        <v>n.é.</v>
      </c>
    </row>
    <row r="174" spans="1:11" ht="20.100000000000001" hidden="1" customHeight="1" x14ac:dyDescent="0.2">
      <c r="A174" s="285" t="s">
        <v>762</v>
      </c>
      <c r="B174" s="307" t="s">
        <v>735</v>
      </c>
      <c r="C174" s="268" t="s">
        <v>736</v>
      </c>
      <c r="D174" s="298"/>
      <c r="E174" s="298"/>
      <c r="F174" s="298"/>
      <c r="G174" s="298"/>
      <c r="H174" s="298"/>
      <c r="I174" s="298"/>
      <c r="J174" s="298"/>
      <c r="K174" s="299" t="str">
        <f t="shared" si="23"/>
        <v>n.é.</v>
      </c>
    </row>
    <row r="175" spans="1:11" ht="20.100000000000001" hidden="1" customHeight="1" x14ac:dyDescent="0.2">
      <c r="A175" s="285" t="s">
        <v>763</v>
      </c>
      <c r="B175" s="307" t="s">
        <v>737</v>
      </c>
      <c r="C175" s="268" t="s">
        <v>738</v>
      </c>
      <c r="D175" s="298"/>
      <c r="E175" s="298"/>
      <c r="F175" s="298"/>
      <c r="G175" s="298"/>
      <c r="H175" s="298"/>
      <c r="I175" s="298"/>
      <c r="J175" s="298"/>
      <c r="K175" s="299" t="str">
        <f t="shared" si="23"/>
        <v>n.é.</v>
      </c>
    </row>
    <row r="176" spans="1:11" ht="20.100000000000001" hidden="1" customHeight="1" x14ac:dyDescent="0.2">
      <c r="A176" s="285" t="s">
        <v>764</v>
      </c>
      <c r="B176" s="307" t="s">
        <v>425</v>
      </c>
      <c r="C176" s="268" t="s">
        <v>132</v>
      </c>
      <c r="D176" s="298"/>
      <c r="E176" s="298"/>
      <c r="F176" s="298"/>
      <c r="G176" s="298"/>
      <c r="H176" s="298"/>
      <c r="I176" s="298"/>
      <c r="J176" s="298"/>
      <c r="K176" s="299" t="str">
        <f t="shared" si="23"/>
        <v>n.é.</v>
      </c>
    </row>
    <row r="177" spans="1:11" ht="20.100000000000001" hidden="1" customHeight="1" x14ac:dyDescent="0.2">
      <c r="A177" s="285" t="s">
        <v>765</v>
      </c>
      <c r="B177" s="307" t="s">
        <v>424</v>
      </c>
      <c r="C177" s="268" t="s">
        <v>133</v>
      </c>
      <c r="D177" s="298"/>
      <c r="E177" s="298"/>
      <c r="F177" s="298"/>
      <c r="G177" s="298"/>
      <c r="H177" s="298"/>
      <c r="I177" s="298"/>
      <c r="J177" s="298"/>
      <c r="K177" s="299" t="str">
        <f t="shared" si="23"/>
        <v>n.é.</v>
      </c>
    </row>
    <row r="178" spans="1:11" ht="20.100000000000001" hidden="1" customHeight="1" x14ac:dyDescent="0.2">
      <c r="A178" s="285" t="s">
        <v>766</v>
      </c>
      <c r="B178" s="307" t="s">
        <v>423</v>
      </c>
      <c r="C178" s="268" t="s">
        <v>134</v>
      </c>
      <c r="D178" s="298"/>
      <c r="E178" s="298"/>
      <c r="F178" s="298"/>
      <c r="G178" s="298"/>
      <c r="H178" s="298"/>
      <c r="I178" s="298"/>
      <c r="J178" s="298"/>
      <c r="K178" s="299" t="str">
        <f t="shared" si="23"/>
        <v>n.é.</v>
      </c>
    </row>
    <row r="179" spans="1:11" ht="20.100000000000001" hidden="1" customHeight="1" x14ac:dyDescent="0.2">
      <c r="A179" s="285" t="s">
        <v>767</v>
      </c>
      <c r="B179" s="307" t="s">
        <v>143</v>
      </c>
      <c r="C179" s="268" t="s">
        <v>135</v>
      </c>
      <c r="D179" s="298"/>
      <c r="E179" s="298"/>
      <c r="F179" s="298"/>
      <c r="G179" s="298"/>
      <c r="H179" s="298"/>
      <c r="I179" s="298"/>
      <c r="J179" s="298"/>
      <c r="K179" s="299" t="str">
        <f t="shared" si="23"/>
        <v>n.é.</v>
      </c>
    </row>
    <row r="180" spans="1:11" ht="20.100000000000001" hidden="1" customHeight="1" x14ac:dyDescent="0.2">
      <c r="A180" s="285" t="s">
        <v>768</v>
      </c>
      <c r="B180" s="307" t="s">
        <v>422</v>
      </c>
      <c r="C180" s="268" t="s">
        <v>136</v>
      </c>
      <c r="D180" s="298"/>
      <c r="E180" s="298"/>
      <c r="F180" s="298"/>
      <c r="G180" s="298"/>
      <c r="H180" s="298"/>
      <c r="I180" s="298"/>
      <c r="J180" s="298"/>
      <c r="K180" s="299" t="str">
        <f t="shared" si="23"/>
        <v>n.é.</v>
      </c>
    </row>
    <row r="181" spans="1:11" ht="20.100000000000001" hidden="1" customHeight="1" x14ac:dyDescent="0.2">
      <c r="A181" s="285" t="s">
        <v>769</v>
      </c>
      <c r="B181" s="307" t="s">
        <v>421</v>
      </c>
      <c r="C181" s="268" t="s">
        <v>137</v>
      </c>
      <c r="D181" s="298"/>
      <c r="E181" s="298"/>
      <c r="F181" s="298"/>
      <c r="G181" s="298"/>
      <c r="H181" s="298"/>
      <c r="I181" s="298"/>
      <c r="J181" s="298"/>
      <c r="K181" s="299" t="str">
        <f t="shared" si="23"/>
        <v>n.é.</v>
      </c>
    </row>
    <row r="182" spans="1:11" ht="20.100000000000001" hidden="1" customHeight="1" x14ac:dyDescent="0.2">
      <c r="A182" s="285" t="s">
        <v>770</v>
      </c>
      <c r="B182" s="307" t="s">
        <v>144</v>
      </c>
      <c r="C182" s="268" t="s">
        <v>138</v>
      </c>
      <c r="D182" s="298"/>
      <c r="E182" s="298"/>
      <c r="F182" s="298"/>
      <c r="G182" s="298"/>
      <c r="H182" s="298"/>
      <c r="I182" s="298"/>
      <c r="J182" s="298"/>
      <c r="K182" s="299" t="str">
        <f t="shared" si="23"/>
        <v>n.é.</v>
      </c>
    </row>
    <row r="183" spans="1:11" ht="20.100000000000001" hidden="1" customHeight="1" x14ac:dyDescent="0.2">
      <c r="A183" s="285" t="s">
        <v>771</v>
      </c>
      <c r="B183" s="316" t="s">
        <v>145</v>
      </c>
      <c r="C183" s="268" t="s">
        <v>139</v>
      </c>
      <c r="D183" s="298"/>
      <c r="E183" s="298"/>
      <c r="F183" s="298"/>
      <c r="G183" s="298"/>
      <c r="H183" s="298"/>
      <c r="I183" s="298"/>
      <c r="J183" s="298"/>
      <c r="K183" s="299" t="str">
        <f t="shared" si="23"/>
        <v>n.é.</v>
      </c>
    </row>
    <row r="184" spans="1:11" ht="20.100000000000001" hidden="1" customHeight="1" x14ac:dyDescent="0.2">
      <c r="A184" s="285" t="s">
        <v>772</v>
      </c>
      <c r="B184" s="307" t="s">
        <v>739</v>
      </c>
      <c r="C184" s="268" t="s">
        <v>140</v>
      </c>
      <c r="D184" s="298"/>
      <c r="E184" s="298"/>
      <c r="F184" s="298"/>
      <c r="G184" s="298"/>
      <c r="H184" s="298"/>
      <c r="I184" s="298"/>
      <c r="J184" s="298"/>
      <c r="K184" s="299" t="str">
        <f t="shared" si="23"/>
        <v>n.é.</v>
      </c>
    </row>
    <row r="185" spans="1:11" ht="20.100000000000001" hidden="1" customHeight="1" x14ac:dyDescent="0.2">
      <c r="A185" s="285" t="s">
        <v>773</v>
      </c>
      <c r="B185" s="307" t="s">
        <v>146</v>
      </c>
      <c r="C185" s="268" t="s">
        <v>141</v>
      </c>
      <c r="D185" s="298"/>
      <c r="E185" s="298"/>
      <c r="F185" s="298"/>
      <c r="G185" s="298"/>
      <c r="H185" s="298"/>
      <c r="I185" s="298"/>
      <c r="J185" s="298"/>
      <c r="K185" s="299" t="str">
        <f t="shared" si="23"/>
        <v>n.é.</v>
      </c>
    </row>
    <row r="186" spans="1:11" ht="20.100000000000001" hidden="1" customHeight="1" x14ac:dyDescent="0.2">
      <c r="A186" s="285" t="s">
        <v>774</v>
      </c>
      <c r="B186" s="316" t="s">
        <v>147</v>
      </c>
      <c r="C186" s="268" t="s">
        <v>740</v>
      </c>
      <c r="D186" s="298"/>
      <c r="E186" s="298"/>
      <c r="F186" s="297" t="s">
        <v>660</v>
      </c>
      <c r="G186" s="297" t="s">
        <v>660</v>
      </c>
      <c r="H186" s="297" t="s">
        <v>660</v>
      </c>
      <c r="I186" s="297" t="s">
        <v>660</v>
      </c>
      <c r="J186" s="297" t="s">
        <v>660</v>
      </c>
      <c r="K186" s="308" t="s">
        <v>662</v>
      </c>
    </row>
    <row r="187" spans="1:11" ht="20.100000000000001" customHeight="1" x14ac:dyDescent="0.2">
      <c r="A187" s="289" t="s">
        <v>775</v>
      </c>
      <c r="B187" s="310" t="s">
        <v>852</v>
      </c>
      <c r="C187" s="314" t="s">
        <v>59</v>
      </c>
      <c r="D187" s="303">
        <f t="shared" ref="D187:J187" si="34">SUM(D172:D186)</f>
        <v>0</v>
      </c>
      <c r="E187" s="303">
        <f t="shared" si="34"/>
        <v>0</v>
      </c>
      <c r="F187" s="303">
        <f t="shared" si="34"/>
        <v>0</v>
      </c>
      <c r="G187" s="303">
        <f t="shared" si="34"/>
        <v>0</v>
      </c>
      <c r="H187" s="303">
        <f t="shared" si="34"/>
        <v>0</v>
      </c>
      <c r="I187" s="303">
        <f t="shared" si="34"/>
        <v>0</v>
      </c>
      <c r="J187" s="303">
        <f t="shared" si="34"/>
        <v>0</v>
      </c>
      <c r="K187" s="286" t="str">
        <f t="shared" ref="K187:K218" si="35">IF(E187&gt;0,J187/E187,"n.é.")</f>
        <v>n.é.</v>
      </c>
    </row>
    <row r="188" spans="1:11" ht="20.100000000000001" hidden="1" customHeight="1" x14ac:dyDescent="0.2">
      <c r="A188" s="285" t="s">
        <v>776</v>
      </c>
      <c r="B188" s="327" t="s">
        <v>148</v>
      </c>
      <c r="C188" s="268" t="s">
        <v>124</v>
      </c>
      <c r="D188" s="298"/>
      <c r="E188" s="298"/>
      <c r="F188" s="298"/>
      <c r="G188" s="298"/>
      <c r="H188" s="298"/>
      <c r="I188" s="298"/>
      <c r="J188" s="298"/>
      <c r="K188" s="299" t="str">
        <f t="shared" si="35"/>
        <v>n.é.</v>
      </c>
    </row>
    <row r="189" spans="1:11" ht="20.100000000000001" hidden="1" customHeight="1" x14ac:dyDescent="0.2">
      <c r="A189" s="285" t="s">
        <v>777</v>
      </c>
      <c r="B189" s="327" t="s">
        <v>149</v>
      </c>
      <c r="C189" s="268" t="s">
        <v>125</v>
      </c>
      <c r="D189" s="298"/>
      <c r="E189" s="298"/>
      <c r="F189" s="298"/>
      <c r="G189" s="298"/>
      <c r="H189" s="298"/>
      <c r="I189" s="298"/>
      <c r="J189" s="298"/>
      <c r="K189" s="299" t="str">
        <f t="shared" si="35"/>
        <v>n.é.</v>
      </c>
    </row>
    <row r="190" spans="1:11" ht="20.100000000000001" hidden="1" customHeight="1" x14ac:dyDescent="0.2">
      <c r="A190" s="285" t="s">
        <v>778</v>
      </c>
      <c r="B190" s="327" t="s">
        <v>150</v>
      </c>
      <c r="C190" s="268" t="s">
        <v>126</v>
      </c>
      <c r="D190" s="298"/>
      <c r="E190" s="298"/>
      <c r="F190" s="298"/>
      <c r="G190" s="298"/>
      <c r="H190" s="298"/>
      <c r="I190" s="298"/>
      <c r="J190" s="298"/>
      <c r="K190" s="299" t="str">
        <f t="shared" si="35"/>
        <v>n.é.</v>
      </c>
    </row>
    <row r="191" spans="1:11" ht="20.100000000000001" hidden="1" customHeight="1" x14ac:dyDescent="0.2">
      <c r="A191" s="285" t="s">
        <v>779</v>
      </c>
      <c r="B191" s="327" t="s">
        <v>151</v>
      </c>
      <c r="C191" s="268" t="s">
        <v>127</v>
      </c>
      <c r="D191" s="298"/>
      <c r="E191" s="298"/>
      <c r="F191" s="298"/>
      <c r="G191" s="298"/>
      <c r="H191" s="298"/>
      <c r="I191" s="298"/>
      <c r="J191" s="298"/>
      <c r="K191" s="299" t="str">
        <f t="shared" si="35"/>
        <v>n.é.</v>
      </c>
    </row>
    <row r="192" spans="1:11" ht="20.100000000000001" hidden="1" customHeight="1" x14ac:dyDescent="0.2">
      <c r="A192" s="285" t="s">
        <v>780</v>
      </c>
      <c r="B192" s="266" t="s">
        <v>152</v>
      </c>
      <c r="C192" s="268" t="s">
        <v>128</v>
      </c>
      <c r="D192" s="298"/>
      <c r="E192" s="298"/>
      <c r="F192" s="298"/>
      <c r="G192" s="298"/>
      <c r="H192" s="298"/>
      <c r="I192" s="298"/>
      <c r="J192" s="298"/>
      <c r="K192" s="299" t="str">
        <f t="shared" si="35"/>
        <v>n.é.</v>
      </c>
    </row>
    <row r="193" spans="1:11" ht="20.100000000000001" hidden="1" customHeight="1" x14ac:dyDescent="0.2">
      <c r="A193" s="285" t="s">
        <v>781</v>
      </c>
      <c r="B193" s="266" t="s">
        <v>153</v>
      </c>
      <c r="C193" s="268" t="s">
        <v>129</v>
      </c>
      <c r="D193" s="298"/>
      <c r="E193" s="298"/>
      <c r="F193" s="298"/>
      <c r="G193" s="298"/>
      <c r="H193" s="298"/>
      <c r="I193" s="298"/>
      <c r="J193" s="298"/>
      <c r="K193" s="299" t="str">
        <f t="shared" si="35"/>
        <v>n.é.</v>
      </c>
    </row>
    <row r="194" spans="1:11" ht="20.100000000000001" hidden="1" customHeight="1" x14ac:dyDescent="0.2">
      <c r="A194" s="285" t="s">
        <v>782</v>
      </c>
      <c r="B194" s="266" t="s">
        <v>154</v>
      </c>
      <c r="C194" s="268" t="s">
        <v>130</v>
      </c>
      <c r="D194" s="298"/>
      <c r="E194" s="298"/>
      <c r="F194" s="298"/>
      <c r="G194" s="298"/>
      <c r="H194" s="298"/>
      <c r="I194" s="298"/>
      <c r="J194" s="298"/>
      <c r="K194" s="299" t="str">
        <f t="shared" si="35"/>
        <v>n.é.</v>
      </c>
    </row>
    <row r="195" spans="1:11" s="3" customFormat="1" ht="20.100000000000001" customHeight="1" x14ac:dyDescent="0.2">
      <c r="A195" s="289" t="s">
        <v>783</v>
      </c>
      <c r="B195" s="290" t="s">
        <v>830</v>
      </c>
      <c r="C195" s="314" t="s">
        <v>60</v>
      </c>
      <c r="D195" s="303">
        <f t="shared" ref="D195:J195" si="36">SUM(D188:D194)</f>
        <v>0</v>
      </c>
      <c r="E195" s="303">
        <f t="shared" si="36"/>
        <v>0</v>
      </c>
      <c r="F195" s="303">
        <f t="shared" si="36"/>
        <v>0</v>
      </c>
      <c r="G195" s="303">
        <f t="shared" si="36"/>
        <v>0</v>
      </c>
      <c r="H195" s="303">
        <f t="shared" si="36"/>
        <v>0</v>
      </c>
      <c r="I195" s="303">
        <f t="shared" si="36"/>
        <v>0</v>
      </c>
      <c r="J195" s="303">
        <f t="shared" si="36"/>
        <v>0</v>
      </c>
      <c r="K195" s="286" t="str">
        <f t="shared" si="35"/>
        <v>n.é.</v>
      </c>
    </row>
    <row r="196" spans="1:11" ht="20.100000000000001" hidden="1" customHeight="1" x14ac:dyDescent="0.2">
      <c r="A196" s="285" t="s">
        <v>784</v>
      </c>
      <c r="B196" s="272" t="s">
        <v>167</v>
      </c>
      <c r="C196" s="268" t="s">
        <v>155</v>
      </c>
      <c r="D196" s="298"/>
      <c r="E196" s="298"/>
      <c r="F196" s="298"/>
      <c r="G196" s="298"/>
      <c r="H196" s="298"/>
      <c r="I196" s="298"/>
      <c r="J196" s="298"/>
      <c r="K196" s="299" t="str">
        <f t="shared" si="35"/>
        <v>n.é.</v>
      </c>
    </row>
    <row r="197" spans="1:11" ht="20.100000000000001" hidden="1" customHeight="1" x14ac:dyDescent="0.2">
      <c r="A197" s="285" t="s">
        <v>785</v>
      </c>
      <c r="B197" s="272" t="s">
        <v>168</v>
      </c>
      <c r="C197" s="268" t="s">
        <v>156</v>
      </c>
      <c r="D197" s="298"/>
      <c r="E197" s="298"/>
      <c r="F197" s="298"/>
      <c r="G197" s="298"/>
      <c r="H197" s="298"/>
      <c r="I197" s="298"/>
      <c r="J197" s="298"/>
      <c r="K197" s="299" t="str">
        <f t="shared" si="35"/>
        <v>n.é.</v>
      </c>
    </row>
    <row r="198" spans="1:11" ht="20.100000000000001" hidden="1" customHeight="1" x14ac:dyDescent="0.2">
      <c r="A198" s="285" t="s">
        <v>786</v>
      </c>
      <c r="B198" s="272" t="s">
        <v>169</v>
      </c>
      <c r="C198" s="268" t="s">
        <v>157</v>
      </c>
      <c r="D198" s="298"/>
      <c r="E198" s="298"/>
      <c r="F198" s="298"/>
      <c r="G198" s="298"/>
      <c r="H198" s="298"/>
      <c r="I198" s="298"/>
      <c r="J198" s="298"/>
      <c r="K198" s="299" t="str">
        <f t="shared" si="35"/>
        <v>n.é.</v>
      </c>
    </row>
    <row r="199" spans="1:11" ht="20.100000000000001" hidden="1" customHeight="1" x14ac:dyDescent="0.2">
      <c r="A199" s="285" t="s">
        <v>787</v>
      </c>
      <c r="B199" s="272" t="s">
        <v>170</v>
      </c>
      <c r="C199" s="268" t="s">
        <v>158</v>
      </c>
      <c r="D199" s="298"/>
      <c r="E199" s="298"/>
      <c r="F199" s="298"/>
      <c r="G199" s="298"/>
      <c r="H199" s="298"/>
      <c r="I199" s="298"/>
      <c r="J199" s="298"/>
      <c r="K199" s="299" t="str">
        <f t="shared" si="35"/>
        <v>n.é.</v>
      </c>
    </row>
    <row r="200" spans="1:11" s="3" customFormat="1" ht="20.100000000000001" customHeight="1" x14ac:dyDescent="0.2">
      <c r="A200" s="289" t="s">
        <v>788</v>
      </c>
      <c r="B200" s="310" t="s">
        <v>831</v>
      </c>
      <c r="C200" s="314" t="s">
        <v>61</v>
      </c>
      <c r="D200" s="303">
        <f t="shared" ref="D200:J200" si="37">SUM(D196:D199)</f>
        <v>0</v>
      </c>
      <c r="E200" s="303">
        <f t="shared" si="37"/>
        <v>0</v>
      </c>
      <c r="F200" s="303">
        <f t="shared" si="37"/>
        <v>0</v>
      </c>
      <c r="G200" s="303">
        <f t="shared" si="37"/>
        <v>0</v>
      </c>
      <c r="H200" s="303">
        <f t="shared" si="37"/>
        <v>0</v>
      </c>
      <c r="I200" s="303">
        <f t="shared" si="37"/>
        <v>0</v>
      </c>
      <c r="J200" s="303">
        <f t="shared" si="37"/>
        <v>0</v>
      </c>
      <c r="K200" s="286" t="str">
        <f t="shared" si="35"/>
        <v>n.é.</v>
      </c>
    </row>
    <row r="201" spans="1:11" ht="20.100000000000001" hidden="1" customHeight="1" x14ac:dyDescent="0.2">
      <c r="A201" s="285" t="s">
        <v>789</v>
      </c>
      <c r="B201" s="272" t="s">
        <v>416</v>
      </c>
      <c r="C201" s="268" t="s">
        <v>159</v>
      </c>
      <c r="D201" s="298"/>
      <c r="E201" s="298"/>
      <c r="F201" s="298"/>
      <c r="G201" s="298"/>
      <c r="H201" s="298"/>
      <c r="I201" s="298"/>
      <c r="J201" s="298"/>
      <c r="K201" s="299" t="str">
        <f t="shared" si="35"/>
        <v>n.é.</v>
      </c>
    </row>
    <row r="202" spans="1:11" ht="20.100000000000001" hidden="1" customHeight="1" x14ac:dyDescent="0.2">
      <c r="A202" s="285" t="s">
        <v>790</v>
      </c>
      <c r="B202" s="272" t="s">
        <v>417</v>
      </c>
      <c r="C202" s="268" t="s">
        <v>160</v>
      </c>
      <c r="D202" s="298"/>
      <c r="E202" s="298"/>
      <c r="F202" s="298"/>
      <c r="G202" s="298"/>
      <c r="H202" s="298"/>
      <c r="I202" s="298"/>
      <c r="J202" s="298"/>
      <c r="K202" s="299" t="str">
        <f t="shared" si="35"/>
        <v>n.é.</v>
      </c>
    </row>
    <row r="203" spans="1:11" ht="20.100000000000001" hidden="1" customHeight="1" x14ac:dyDescent="0.2">
      <c r="A203" s="285" t="s">
        <v>791</v>
      </c>
      <c r="B203" s="272" t="s">
        <v>418</v>
      </c>
      <c r="C203" s="268" t="s">
        <v>161</v>
      </c>
      <c r="D203" s="298"/>
      <c r="E203" s="298"/>
      <c r="F203" s="298"/>
      <c r="G203" s="298"/>
      <c r="H203" s="298"/>
      <c r="I203" s="298"/>
      <c r="J203" s="298"/>
      <c r="K203" s="299" t="str">
        <f t="shared" si="35"/>
        <v>n.é.</v>
      </c>
    </row>
    <row r="204" spans="1:11" ht="20.100000000000001" hidden="1" customHeight="1" x14ac:dyDescent="0.2">
      <c r="A204" s="285" t="s">
        <v>792</v>
      </c>
      <c r="B204" s="272" t="s">
        <v>171</v>
      </c>
      <c r="C204" s="268" t="s">
        <v>162</v>
      </c>
      <c r="D204" s="298"/>
      <c r="E204" s="298"/>
      <c r="F204" s="298"/>
      <c r="G204" s="298"/>
      <c r="H204" s="298"/>
      <c r="I204" s="298"/>
      <c r="J204" s="298"/>
      <c r="K204" s="299" t="str">
        <f t="shared" si="35"/>
        <v>n.é.</v>
      </c>
    </row>
    <row r="205" spans="1:11" ht="20.100000000000001" hidden="1" customHeight="1" x14ac:dyDescent="0.2">
      <c r="A205" s="285" t="s">
        <v>793</v>
      </c>
      <c r="B205" s="272" t="s">
        <v>419</v>
      </c>
      <c r="C205" s="268" t="s">
        <v>163</v>
      </c>
      <c r="D205" s="298"/>
      <c r="E205" s="298"/>
      <c r="F205" s="298"/>
      <c r="G205" s="298"/>
      <c r="H205" s="298"/>
      <c r="I205" s="298"/>
      <c r="J205" s="298"/>
      <c r="K205" s="299" t="str">
        <f t="shared" si="35"/>
        <v>n.é.</v>
      </c>
    </row>
    <row r="206" spans="1:11" ht="20.100000000000001" hidden="1" customHeight="1" x14ac:dyDescent="0.2">
      <c r="A206" s="285" t="s">
        <v>794</v>
      </c>
      <c r="B206" s="272" t="s">
        <v>420</v>
      </c>
      <c r="C206" s="268" t="s">
        <v>164</v>
      </c>
      <c r="D206" s="298"/>
      <c r="E206" s="298"/>
      <c r="F206" s="298"/>
      <c r="G206" s="298"/>
      <c r="H206" s="298"/>
      <c r="I206" s="298"/>
      <c r="J206" s="298"/>
      <c r="K206" s="299" t="str">
        <f t="shared" si="35"/>
        <v>n.é.</v>
      </c>
    </row>
    <row r="207" spans="1:11" ht="20.100000000000001" hidden="1" customHeight="1" x14ac:dyDescent="0.2">
      <c r="A207" s="285" t="s">
        <v>795</v>
      </c>
      <c r="B207" s="272" t="s">
        <v>172</v>
      </c>
      <c r="C207" s="268" t="s">
        <v>165</v>
      </c>
      <c r="D207" s="298"/>
      <c r="E207" s="298"/>
      <c r="F207" s="298"/>
      <c r="G207" s="298"/>
      <c r="H207" s="298"/>
      <c r="I207" s="298"/>
      <c r="J207" s="298"/>
      <c r="K207" s="299" t="str">
        <f t="shared" si="35"/>
        <v>n.é.</v>
      </c>
    </row>
    <row r="208" spans="1:11" ht="20.100000000000001" hidden="1" customHeight="1" x14ac:dyDescent="0.2">
      <c r="A208" s="285" t="s">
        <v>796</v>
      </c>
      <c r="B208" s="272" t="s">
        <v>741</v>
      </c>
      <c r="C208" s="268" t="s">
        <v>166</v>
      </c>
      <c r="D208" s="298"/>
      <c r="E208" s="298"/>
      <c r="F208" s="298"/>
      <c r="G208" s="298"/>
      <c r="H208" s="298"/>
      <c r="I208" s="298"/>
      <c r="J208" s="298"/>
      <c r="K208" s="299" t="str">
        <f t="shared" si="35"/>
        <v>n.é.</v>
      </c>
    </row>
    <row r="209" spans="1:11" ht="20.100000000000001" hidden="1" customHeight="1" x14ac:dyDescent="0.2">
      <c r="A209" s="285" t="s">
        <v>797</v>
      </c>
      <c r="B209" s="272" t="s">
        <v>173</v>
      </c>
      <c r="C209" s="268" t="s">
        <v>742</v>
      </c>
      <c r="D209" s="298"/>
      <c r="E209" s="298"/>
      <c r="F209" s="298"/>
      <c r="G209" s="298"/>
      <c r="H209" s="298"/>
      <c r="I209" s="298"/>
      <c r="J209" s="298"/>
      <c r="K209" s="299" t="str">
        <f t="shared" si="35"/>
        <v>n.é.</v>
      </c>
    </row>
    <row r="210" spans="1:11" ht="20.100000000000001" customHeight="1" x14ac:dyDescent="0.2">
      <c r="A210" s="289" t="s">
        <v>798</v>
      </c>
      <c r="B210" s="310" t="s">
        <v>832</v>
      </c>
      <c r="C210" s="314" t="s">
        <v>62</v>
      </c>
      <c r="D210" s="303">
        <f t="shared" ref="D210:J210" si="38">SUM(D201:D209)</f>
        <v>0</v>
      </c>
      <c r="E210" s="303">
        <f t="shared" si="38"/>
        <v>0</v>
      </c>
      <c r="F210" s="303">
        <f t="shared" si="38"/>
        <v>0</v>
      </c>
      <c r="G210" s="303">
        <f t="shared" si="38"/>
        <v>0</v>
      </c>
      <c r="H210" s="303">
        <f t="shared" si="38"/>
        <v>0</v>
      </c>
      <c r="I210" s="303">
        <f t="shared" si="38"/>
        <v>0</v>
      </c>
      <c r="J210" s="303">
        <f t="shared" si="38"/>
        <v>0</v>
      </c>
      <c r="K210" s="286" t="str">
        <f t="shared" si="35"/>
        <v>n.é.</v>
      </c>
    </row>
    <row r="211" spans="1:11" s="3" customFormat="1" ht="20.100000000000001" customHeight="1" x14ac:dyDescent="0.2">
      <c r="A211" s="323" t="s">
        <v>799</v>
      </c>
      <c r="B211" s="324" t="s">
        <v>833</v>
      </c>
      <c r="C211" s="271" t="s">
        <v>174</v>
      </c>
      <c r="D211" s="326">
        <f t="shared" ref="D211:J211" si="39">D127+D128+D162+D171+D187+D195+D200+D210</f>
        <v>67625069</v>
      </c>
      <c r="E211" s="326">
        <f t="shared" si="39"/>
        <v>67625069</v>
      </c>
      <c r="F211" s="326">
        <f t="shared" si="39"/>
        <v>0</v>
      </c>
      <c r="G211" s="326">
        <f t="shared" si="39"/>
        <v>0</v>
      </c>
      <c r="H211" s="326">
        <f t="shared" si="39"/>
        <v>0</v>
      </c>
      <c r="I211" s="326">
        <f t="shared" si="39"/>
        <v>0</v>
      </c>
      <c r="J211" s="326">
        <f t="shared" si="39"/>
        <v>46056710</v>
      </c>
      <c r="K211" s="322">
        <f t="shared" si="35"/>
        <v>0.68105971174683755</v>
      </c>
    </row>
    <row r="212" spans="1:11" ht="20.100000000000001" hidden="1" customHeight="1" x14ac:dyDescent="0.2">
      <c r="A212" s="285" t="s">
        <v>800</v>
      </c>
      <c r="B212" s="272" t="s">
        <v>743</v>
      </c>
      <c r="C212" s="267" t="s">
        <v>381</v>
      </c>
      <c r="D212" s="284"/>
      <c r="E212" s="284"/>
      <c r="F212" s="284"/>
      <c r="G212" s="284"/>
      <c r="H212" s="284"/>
      <c r="I212" s="284"/>
      <c r="J212" s="284"/>
      <c r="K212" s="286" t="str">
        <f t="shared" si="35"/>
        <v>n.é.</v>
      </c>
    </row>
    <row r="213" spans="1:11" ht="20.100000000000001" hidden="1" customHeight="1" x14ac:dyDescent="0.2">
      <c r="A213" s="285" t="s">
        <v>801</v>
      </c>
      <c r="B213" s="272" t="s">
        <v>382</v>
      </c>
      <c r="C213" s="267" t="s">
        <v>383</v>
      </c>
      <c r="D213" s="284"/>
      <c r="E213" s="284"/>
      <c r="F213" s="284"/>
      <c r="G213" s="284"/>
      <c r="H213" s="284"/>
      <c r="I213" s="284"/>
      <c r="J213" s="284"/>
      <c r="K213" s="286" t="str">
        <f t="shared" si="35"/>
        <v>n.é.</v>
      </c>
    </row>
    <row r="214" spans="1:11" ht="20.100000000000001" hidden="1" customHeight="1" x14ac:dyDescent="0.2">
      <c r="A214" s="285" t="s">
        <v>802</v>
      </c>
      <c r="B214" s="272" t="s">
        <v>744</v>
      </c>
      <c r="C214" s="267" t="s">
        <v>384</v>
      </c>
      <c r="D214" s="284"/>
      <c r="E214" s="284"/>
      <c r="F214" s="284"/>
      <c r="G214" s="284"/>
      <c r="H214" s="284"/>
      <c r="I214" s="284"/>
      <c r="J214" s="284"/>
      <c r="K214" s="286" t="str">
        <f t="shared" si="35"/>
        <v>n.é.</v>
      </c>
    </row>
    <row r="215" spans="1:11" ht="20.100000000000001" customHeight="1" x14ac:dyDescent="0.2">
      <c r="A215" s="289" t="s">
        <v>803</v>
      </c>
      <c r="B215" s="310" t="s">
        <v>834</v>
      </c>
      <c r="C215" s="291" t="s">
        <v>385</v>
      </c>
      <c r="D215" s="287">
        <f t="shared" ref="D215:J215" si="40">SUM(D212:D214)</f>
        <v>0</v>
      </c>
      <c r="E215" s="287">
        <f t="shared" si="40"/>
        <v>0</v>
      </c>
      <c r="F215" s="287">
        <f t="shared" si="40"/>
        <v>0</v>
      </c>
      <c r="G215" s="287">
        <f t="shared" si="40"/>
        <v>0</v>
      </c>
      <c r="H215" s="287">
        <f t="shared" si="40"/>
        <v>0</v>
      </c>
      <c r="I215" s="287">
        <f t="shared" si="40"/>
        <v>0</v>
      </c>
      <c r="J215" s="287">
        <f t="shared" si="40"/>
        <v>0</v>
      </c>
      <c r="K215" s="286" t="str">
        <f t="shared" si="35"/>
        <v>n.é.</v>
      </c>
    </row>
    <row r="216" spans="1:11" ht="20.100000000000001" hidden="1" customHeight="1" x14ac:dyDescent="0.2">
      <c r="A216" s="285" t="s">
        <v>804</v>
      </c>
      <c r="B216" s="266" t="s">
        <v>386</v>
      </c>
      <c r="C216" s="267" t="s">
        <v>387</v>
      </c>
      <c r="D216" s="284"/>
      <c r="E216" s="284"/>
      <c r="F216" s="284"/>
      <c r="G216" s="284"/>
      <c r="H216" s="284"/>
      <c r="I216" s="284"/>
      <c r="J216" s="284"/>
      <c r="K216" s="286" t="str">
        <f t="shared" si="35"/>
        <v>n.é.</v>
      </c>
    </row>
    <row r="217" spans="1:11" ht="20.100000000000001" hidden="1" customHeight="1" x14ac:dyDescent="0.2">
      <c r="A217" s="285" t="s">
        <v>805</v>
      </c>
      <c r="B217" s="272" t="s">
        <v>389</v>
      </c>
      <c r="C217" s="267" t="s">
        <v>388</v>
      </c>
      <c r="D217" s="284"/>
      <c r="E217" s="284"/>
      <c r="F217" s="284"/>
      <c r="G217" s="284"/>
      <c r="H217" s="284"/>
      <c r="I217" s="284"/>
      <c r="J217" s="284"/>
      <c r="K217" s="286" t="str">
        <f t="shared" si="35"/>
        <v>n.é.</v>
      </c>
    </row>
    <row r="218" spans="1:11" ht="20.100000000000001" hidden="1" customHeight="1" x14ac:dyDescent="0.2">
      <c r="A218" s="285" t="s">
        <v>806</v>
      </c>
      <c r="B218" s="272" t="s">
        <v>745</v>
      </c>
      <c r="C218" s="267" t="s">
        <v>390</v>
      </c>
      <c r="D218" s="284"/>
      <c r="E218" s="284"/>
      <c r="F218" s="284"/>
      <c r="G218" s="284"/>
      <c r="H218" s="284"/>
      <c r="I218" s="284"/>
      <c r="J218" s="284"/>
      <c r="K218" s="286" t="str">
        <f t="shared" si="35"/>
        <v>n.é.</v>
      </c>
    </row>
    <row r="219" spans="1:11" ht="20.100000000000001" hidden="1" customHeight="1" x14ac:dyDescent="0.2">
      <c r="A219" s="285" t="s">
        <v>807</v>
      </c>
      <c r="B219" s="272" t="s">
        <v>746</v>
      </c>
      <c r="C219" s="267" t="s">
        <v>391</v>
      </c>
      <c r="D219" s="284"/>
      <c r="E219" s="284"/>
      <c r="F219" s="284"/>
      <c r="G219" s="284"/>
      <c r="H219" s="284"/>
      <c r="I219" s="284"/>
      <c r="J219" s="284"/>
      <c r="K219" s="286" t="str">
        <f t="shared" ref="K219:K241" si="41">IF(E219&gt;0,J219/E219,"n.é.")</f>
        <v>n.é.</v>
      </c>
    </row>
    <row r="220" spans="1:11" ht="20.100000000000001" hidden="1" customHeight="1" x14ac:dyDescent="0.2">
      <c r="A220" s="285" t="s">
        <v>808</v>
      </c>
      <c r="B220" s="272" t="s">
        <v>747</v>
      </c>
      <c r="C220" s="267" t="s">
        <v>748</v>
      </c>
      <c r="D220" s="284"/>
      <c r="E220" s="284"/>
      <c r="F220" s="284"/>
      <c r="G220" s="284"/>
      <c r="H220" s="284"/>
      <c r="I220" s="284"/>
      <c r="J220" s="284"/>
      <c r="K220" s="286" t="str">
        <f t="shared" si="41"/>
        <v>n.é.</v>
      </c>
    </row>
    <row r="221" spans="1:11" ht="20.100000000000001" customHeight="1" x14ac:dyDescent="0.2">
      <c r="A221" s="289" t="s">
        <v>809</v>
      </c>
      <c r="B221" s="290" t="s">
        <v>835</v>
      </c>
      <c r="C221" s="291" t="s">
        <v>392</v>
      </c>
      <c r="D221" s="287">
        <f t="shared" ref="D221:J221" si="42">SUM(D216:D220)</f>
        <v>0</v>
      </c>
      <c r="E221" s="287">
        <f t="shared" si="42"/>
        <v>0</v>
      </c>
      <c r="F221" s="287">
        <f t="shared" si="42"/>
        <v>0</v>
      </c>
      <c r="G221" s="287">
        <f t="shared" si="42"/>
        <v>0</v>
      </c>
      <c r="H221" s="287">
        <f t="shared" si="42"/>
        <v>0</v>
      </c>
      <c r="I221" s="287">
        <f t="shared" si="42"/>
        <v>0</v>
      </c>
      <c r="J221" s="287">
        <f t="shared" si="42"/>
        <v>0</v>
      </c>
      <c r="K221" s="286" t="str">
        <f t="shared" si="41"/>
        <v>n.é.</v>
      </c>
    </row>
    <row r="222" spans="1:11" ht="20.100000000000001" hidden="1" customHeight="1" x14ac:dyDescent="0.2">
      <c r="A222" s="285" t="s">
        <v>810</v>
      </c>
      <c r="B222" s="266" t="s">
        <v>393</v>
      </c>
      <c r="C222" s="267" t="s">
        <v>394</v>
      </c>
      <c r="D222" s="284"/>
      <c r="E222" s="284"/>
      <c r="F222" s="284"/>
      <c r="G222" s="284"/>
      <c r="H222" s="284"/>
      <c r="I222" s="284"/>
      <c r="J222" s="284"/>
      <c r="K222" s="288" t="str">
        <f t="shared" si="41"/>
        <v>n.é.</v>
      </c>
    </row>
    <row r="223" spans="1:11" ht="20.100000000000001" hidden="1" customHeight="1" x14ac:dyDescent="0.2">
      <c r="A223" s="285" t="s">
        <v>811</v>
      </c>
      <c r="B223" s="266" t="s">
        <v>395</v>
      </c>
      <c r="C223" s="267" t="s">
        <v>396</v>
      </c>
      <c r="D223" s="284"/>
      <c r="E223" s="284"/>
      <c r="F223" s="284"/>
      <c r="G223" s="284"/>
      <c r="H223" s="284"/>
      <c r="I223" s="284"/>
      <c r="J223" s="284"/>
      <c r="K223" s="288" t="str">
        <f t="shared" si="41"/>
        <v>n.é.</v>
      </c>
    </row>
    <row r="224" spans="1:11" ht="20.100000000000001" hidden="1" customHeight="1" x14ac:dyDescent="0.2">
      <c r="A224" s="285" t="s">
        <v>812</v>
      </c>
      <c r="B224" s="266" t="s">
        <v>397</v>
      </c>
      <c r="C224" s="267" t="s">
        <v>398</v>
      </c>
      <c r="D224" s="284"/>
      <c r="E224" s="284"/>
      <c r="F224" s="284"/>
      <c r="G224" s="284"/>
      <c r="H224" s="284"/>
      <c r="I224" s="284"/>
      <c r="J224" s="284"/>
      <c r="K224" s="288" t="str">
        <f t="shared" si="41"/>
        <v>n.é.</v>
      </c>
    </row>
    <row r="225" spans="1:11" ht="20.100000000000001" hidden="1" customHeight="1" x14ac:dyDescent="0.2">
      <c r="A225" s="285" t="s">
        <v>813</v>
      </c>
      <c r="B225" s="266" t="s">
        <v>749</v>
      </c>
      <c r="C225" s="267" t="s">
        <v>399</v>
      </c>
      <c r="D225" s="284"/>
      <c r="E225" s="284"/>
      <c r="F225" s="284"/>
      <c r="G225" s="284"/>
      <c r="H225" s="284"/>
      <c r="I225" s="284"/>
      <c r="J225" s="284"/>
      <c r="K225" s="288" t="str">
        <f t="shared" si="41"/>
        <v>n.é.</v>
      </c>
    </row>
    <row r="226" spans="1:11" ht="20.100000000000001" hidden="1" customHeight="1" x14ac:dyDescent="0.2">
      <c r="A226" s="285" t="s">
        <v>814</v>
      </c>
      <c r="B226" s="266" t="s">
        <v>400</v>
      </c>
      <c r="C226" s="267" t="s">
        <v>401</v>
      </c>
      <c r="D226" s="284"/>
      <c r="E226" s="284"/>
      <c r="F226" s="284"/>
      <c r="G226" s="284"/>
      <c r="H226" s="284"/>
      <c r="I226" s="284"/>
      <c r="J226" s="284"/>
      <c r="K226" s="288" t="str">
        <f t="shared" si="41"/>
        <v>n.é.</v>
      </c>
    </row>
    <row r="227" spans="1:11" ht="20.100000000000001" hidden="1" customHeight="1" x14ac:dyDescent="0.2">
      <c r="A227" s="285" t="s">
        <v>815</v>
      </c>
      <c r="B227" s="266" t="s">
        <v>402</v>
      </c>
      <c r="C227" s="267" t="s">
        <v>403</v>
      </c>
      <c r="D227" s="284"/>
      <c r="E227" s="284"/>
      <c r="F227" s="284"/>
      <c r="G227" s="284"/>
      <c r="H227" s="284"/>
      <c r="I227" s="284"/>
      <c r="J227" s="284"/>
      <c r="K227" s="288" t="str">
        <f t="shared" si="41"/>
        <v>n.é.</v>
      </c>
    </row>
    <row r="228" spans="1:11" ht="20.100000000000001" hidden="1" customHeight="1" x14ac:dyDescent="0.2">
      <c r="A228" s="285" t="s">
        <v>816</v>
      </c>
      <c r="B228" s="266" t="s">
        <v>752</v>
      </c>
      <c r="C228" s="267" t="s">
        <v>753</v>
      </c>
      <c r="D228" s="284"/>
      <c r="E228" s="284"/>
      <c r="F228" s="284"/>
      <c r="G228" s="284"/>
      <c r="H228" s="284"/>
      <c r="I228" s="284"/>
      <c r="J228" s="284"/>
      <c r="K228" s="288" t="str">
        <f t="shared" si="41"/>
        <v>n.é.</v>
      </c>
    </row>
    <row r="229" spans="1:11" ht="20.100000000000001" hidden="1" customHeight="1" x14ac:dyDescent="0.2">
      <c r="A229" s="285" t="s">
        <v>817</v>
      </c>
      <c r="B229" s="266" t="s">
        <v>751</v>
      </c>
      <c r="C229" s="267" t="s">
        <v>754</v>
      </c>
      <c r="D229" s="284"/>
      <c r="E229" s="284"/>
      <c r="F229" s="284"/>
      <c r="G229" s="284"/>
      <c r="H229" s="284"/>
      <c r="I229" s="284"/>
      <c r="J229" s="284"/>
      <c r="K229" s="288" t="str">
        <f t="shared" si="41"/>
        <v>n.é.</v>
      </c>
    </row>
    <row r="230" spans="1:11" s="3" customFormat="1" ht="20.100000000000001" customHeight="1" x14ac:dyDescent="0.2">
      <c r="A230" s="289" t="s">
        <v>818</v>
      </c>
      <c r="B230" s="290" t="s">
        <v>873</v>
      </c>
      <c r="C230" s="291" t="s">
        <v>750</v>
      </c>
      <c r="D230" s="292">
        <f t="shared" ref="D230:J230" si="43">SUM(D228:D229)</f>
        <v>0</v>
      </c>
      <c r="E230" s="292">
        <f t="shared" si="43"/>
        <v>0</v>
      </c>
      <c r="F230" s="292">
        <f t="shared" si="43"/>
        <v>0</v>
      </c>
      <c r="G230" s="292">
        <f t="shared" si="43"/>
        <v>0</v>
      </c>
      <c r="H230" s="292">
        <f t="shared" si="43"/>
        <v>0</v>
      </c>
      <c r="I230" s="292">
        <f t="shared" si="43"/>
        <v>0</v>
      </c>
      <c r="J230" s="292">
        <f t="shared" si="43"/>
        <v>0</v>
      </c>
      <c r="K230" s="286" t="str">
        <f t="shared" si="41"/>
        <v>n.é.</v>
      </c>
    </row>
    <row r="231" spans="1:11" ht="20.100000000000001" customHeight="1" x14ac:dyDescent="0.2">
      <c r="A231" s="289" t="s">
        <v>819</v>
      </c>
      <c r="B231" s="290" t="s">
        <v>837</v>
      </c>
      <c r="C231" s="291" t="s">
        <v>404</v>
      </c>
      <c r="D231" s="287">
        <f t="shared" ref="D231:J231" si="44">D215+SUM(D221:D227)+D230</f>
        <v>0</v>
      </c>
      <c r="E231" s="287">
        <f t="shared" si="44"/>
        <v>0</v>
      </c>
      <c r="F231" s="287">
        <f t="shared" si="44"/>
        <v>0</v>
      </c>
      <c r="G231" s="287">
        <f t="shared" si="44"/>
        <v>0</v>
      </c>
      <c r="H231" s="287">
        <f t="shared" si="44"/>
        <v>0</v>
      </c>
      <c r="I231" s="287">
        <f t="shared" si="44"/>
        <v>0</v>
      </c>
      <c r="J231" s="287">
        <f t="shared" si="44"/>
        <v>0</v>
      </c>
      <c r="K231" s="286" t="str">
        <f t="shared" si="41"/>
        <v>n.é.</v>
      </c>
    </row>
    <row r="232" spans="1:11" ht="20.100000000000001" hidden="1" customHeight="1" x14ac:dyDescent="0.2">
      <c r="A232" s="285" t="s">
        <v>820</v>
      </c>
      <c r="B232" s="266" t="s">
        <v>405</v>
      </c>
      <c r="C232" s="267" t="s">
        <v>406</v>
      </c>
      <c r="D232" s="284"/>
      <c r="E232" s="284"/>
      <c r="F232" s="284"/>
      <c r="G232" s="284"/>
      <c r="H232" s="284"/>
      <c r="I232" s="284"/>
      <c r="J232" s="284"/>
      <c r="K232" s="286" t="str">
        <f t="shared" si="41"/>
        <v>n.é.</v>
      </c>
    </row>
    <row r="233" spans="1:11" ht="20.100000000000001" hidden="1" customHeight="1" x14ac:dyDescent="0.2">
      <c r="A233" s="285" t="s">
        <v>821</v>
      </c>
      <c r="B233" s="272" t="s">
        <v>407</v>
      </c>
      <c r="C233" s="267" t="s">
        <v>408</v>
      </c>
      <c r="D233" s="284"/>
      <c r="E233" s="284"/>
      <c r="F233" s="284"/>
      <c r="G233" s="284"/>
      <c r="H233" s="284"/>
      <c r="I233" s="284"/>
      <c r="J233" s="284"/>
      <c r="K233" s="286" t="str">
        <f t="shared" si="41"/>
        <v>n.é.</v>
      </c>
    </row>
    <row r="234" spans="1:11" ht="20.100000000000001" hidden="1" customHeight="1" x14ac:dyDescent="0.2">
      <c r="A234" s="285" t="s">
        <v>822</v>
      </c>
      <c r="B234" s="266" t="s">
        <v>409</v>
      </c>
      <c r="C234" s="267" t="s">
        <v>410</v>
      </c>
      <c r="D234" s="284"/>
      <c r="E234" s="284"/>
      <c r="F234" s="284"/>
      <c r="G234" s="284"/>
      <c r="H234" s="284"/>
      <c r="I234" s="284"/>
      <c r="J234" s="284"/>
      <c r="K234" s="286" t="str">
        <f t="shared" si="41"/>
        <v>n.é.</v>
      </c>
    </row>
    <row r="235" spans="1:11" ht="20.100000000000001" hidden="1" customHeight="1" x14ac:dyDescent="0.2">
      <c r="A235" s="285" t="s">
        <v>823</v>
      </c>
      <c r="B235" s="266" t="s">
        <v>757</v>
      </c>
      <c r="C235" s="267" t="s">
        <v>411</v>
      </c>
      <c r="D235" s="284"/>
      <c r="E235" s="284"/>
      <c r="F235" s="284"/>
      <c r="G235" s="284"/>
      <c r="H235" s="284"/>
      <c r="I235" s="284"/>
      <c r="J235" s="284"/>
      <c r="K235" s="286" t="str">
        <f t="shared" si="41"/>
        <v>n.é.</v>
      </c>
    </row>
    <row r="236" spans="1:11" ht="20.100000000000001" hidden="1" customHeight="1" x14ac:dyDescent="0.2">
      <c r="A236" s="285" t="s">
        <v>824</v>
      </c>
      <c r="B236" s="266" t="s">
        <v>755</v>
      </c>
      <c r="C236" s="267" t="s">
        <v>756</v>
      </c>
      <c r="D236" s="284"/>
      <c r="E236" s="284"/>
      <c r="F236" s="284"/>
      <c r="G236" s="284"/>
      <c r="H236" s="284"/>
      <c r="I236" s="284"/>
      <c r="J236" s="284"/>
      <c r="K236" s="286" t="str">
        <f t="shared" si="41"/>
        <v>n.é.</v>
      </c>
    </row>
    <row r="237" spans="1:11" s="3" customFormat="1" ht="20.100000000000001" customHeight="1" x14ac:dyDescent="0.2">
      <c r="A237" s="289" t="s">
        <v>825</v>
      </c>
      <c r="B237" s="290" t="s">
        <v>838</v>
      </c>
      <c r="C237" s="291" t="s">
        <v>412</v>
      </c>
      <c r="D237" s="287">
        <f t="shared" ref="D237:J237" si="45">SUM(D232:D236)</f>
        <v>0</v>
      </c>
      <c r="E237" s="287">
        <f t="shared" si="45"/>
        <v>0</v>
      </c>
      <c r="F237" s="287">
        <f t="shared" si="45"/>
        <v>0</v>
      </c>
      <c r="G237" s="287">
        <f t="shared" si="45"/>
        <v>0</v>
      </c>
      <c r="H237" s="287">
        <f t="shared" si="45"/>
        <v>0</v>
      </c>
      <c r="I237" s="287">
        <f t="shared" si="45"/>
        <v>0</v>
      </c>
      <c r="J237" s="287">
        <f t="shared" si="45"/>
        <v>0</v>
      </c>
      <c r="K237" s="286" t="str">
        <f t="shared" si="41"/>
        <v>n.é.</v>
      </c>
    </row>
    <row r="238" spans="1:11" ht="20.100000000000001" hidden="1" customHeight="1" x14ac:dyDescent="0.2">
      <c r="A238" s="285" t="s">
        <v>826</v>
      </c>
      <c r="B238" s="272" t="s">
        <v>413</v>
      </c>
      <c r="C238" s="267" t="s">
        <v>414</v>
      </c>
      <c r="D238" s="284"/>
      <c r="E238" s="284"/>
      <c r="F238" s="284"/>
      <c r="G238" s="284"/>
      <c r="H238" s="284"/>
      <c r="I238" s="284"/>
      <c r="J238" s="284"/>
      <c r="K238" s="288" t="str">
        <f t="shared" si="41"/>
        <v>n.é.</v>
      </c>
    </row>
    <row r="239" spans="1:11" ht="20.100000000000001" hidden="1" customHeight="1" x14ac:dyDescent="0.2">
      <c r="A239" s="285" t="s">
        <v>827</v>
      </c>
      <c r="B239" s="272" t="s">
        <v>758</v>
      </c>
      <c r="C239" s="267" t="s">
        <v>759</v>
      </c>
      <c r="D239" s="284"/>
      <c r="E239" s="284"/>
      <c r="F239" s="284"/>
      <c r="G239" s="284"/>
      <c r="H239" s="284"/>
      <c r="I239" s="284"/>
      <c r="J239" s="284"/>
      <c r="K239" s="288" t="str">
        <f t="shared" si="41"/>
        <v>n.é.</v>
      </c>
    </row>
    <row r="240" spans="1:11" s="3" customFormat="1" ht="20.100000000000001" customHeight="1" x14ac:dyDescent="0.2">
      <c r="A240" s="323" t="s">
        <v>828</v>
      </c>
      <c r="B240" s="324" t="s">
        <v>839</v>
      </c>
      <c r="C240" s="325" t="s">
        <v>415</v>
      </c>
      <c r="D240" s="321">
        <f>D231+D237+D238</f>
        <v>0</v>
      </c>
      <c r="E240" s="287">
        <f t="shared" ref="E240" si="46">E231+E237+E238</f>
        <v>0</v>
      </c>
      <c r="F240" s="321">
        <f t="shared" ref="F240" si="47">F231+F237+F238</f>
        <v>0</v>
      </c>
      <c r="G240" s="321">
        <f t="shared" ref="G240" si="48">G231+G237+G238</f>
        <v>0</v>
      </c>
      <c r="H240" s="321">
        <f t="shared" ref="H240" si="49">H231+H237+H238</f>
        <v>0</v>
      </c>
      <c r="I240" s="321">
        <f t="shared" ref="I240" si="50">I231+I237+I238</f>
        <v>0</v>
      </c>
      <c r="J240" s="321">
        <f t="shared" ref="J240" si="51">J231+J237+J238</f>
        <v>0</v>
      </c>
      <c r="K240" s="322" t="str">
        <f t="shared" si="41"/>
        <v>n.é.</v>
      </c>
    </row>
    <row r="241" spans="1:11" s="3" customFormat="1" ht="20.100000000000001" customHeight="1" x14ac:dyDescent="0.2">
      <c r="A241" s="261" t="s">
        <v>829</v>
      </c>
      <c r="B241" s="262" t="s">
        <v>840</v>
      </c>
      <c r="C241" s="263"/>
      <c r="D241" s="319">
        <f t="shared" ref="D241:J241" si="52">D211+D240</f>
        <v>67625069</v>
      </c>
      <c r="E241" s="375">
        <f t="shared" si="52"/>
        <v>67625069</v>
      </c>
      <c r="F241" s="319">
        <f t="shared" si="52"/>
        <v>0</v>
      </c>
      <c r="G241" s="319">
        <f t="shared" si="52"/>
        <v>0</v>
      </c>
      <c r="H241" s="319">
        <f t="shared" si="52"/>
        <v>0</v>
      </c>
      <c r="I241" s="319">
        <f t="shared" si="52"/>
        <v>0</v>
      </c>
      <c r="J241" s="319">
        <f t="shared" si="52"/>
        <v>46056710</v>
      </c>
      <c r="K241" s="320">
        <f t="shared" si="41"/>
        <v>0.68105971174683755</v>
      </c>
    </row>
    <row r="243" spans="1:11" x14ac:dyDescent="0.2">
      <c r="C243" s="187"/>
      <c r="D243" s="183">
        <f>D241-D108</f>
        <v>0</v>
      </c>
      <c r="E243" s="183">
        <f>E241-E108</f>
        <v>0</v>
      </c>
      <c r="F243" s="182"/>
      <c r="G243" s="182"/>
      <c r="H243" s="182"/>
      <c r="I243" s="182"/>
      <c r="J243" s="183">
        <f>J108-J241</f>
        <v>865254</v>
      </c>
      <c r="K243" s="184"/>
    </row>
  </sheetData>
  <autoFilter ref="A7:K241" xr:uid="{00000000-0009-0000-0000-000006000000}">
    <filterColumn colId="0" showButton="0"/>
    <filterColumn colId="1" showButton="0"/>
    <filterColumn colId="2" showButton="0"/>
    <filterColumn colId="3" showButton="0">
      <customFilters>
        <customFilter operator="notEqual" val=" "/>
      </customFilters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1">
    <mergeCell ref="A1:K1"/>
    <mergeCell ref="A2:K2"/>
    <mergeCell ref="A3:K3"/>
    <mergeCell ref="A4:K4"/>
    <mergeCell ref="A5:A6"/>
    <mergeCell ref="B5:B6"/>
    <mergeCell ref="C5:C6"/>
    <mergeCell ref="D5:E5"/>
    <mergeCell ref="F5:I5"/>
    <mergeCell ref="J5:J6"/>
    <mergeCell ref="K5:K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8" fitToHeight="0" orientation="landscape" r:id="rId1"/>
  <headerFooter alignWithMargins="0">
    <oddFooter>&amp;P. oldal, összesen: &amp;N</oddFooter>
  </headerFooter>
  <rowBreaks count="1" manualBreakCount="1">
    <brk id="58" max="1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I13"/>
  <sheetViews>
    <sheetView showGridLines="0" view="pageBreakPreview" zoomScaleSheetLayoutView="100" workbookViewId="0">
      <selection sqref="A1:I1"/>
    </sheetView>
  </sheetViews>
  <sheetFormatPr defaultColWidth="9.140625" defaultRowHeight="12.75" x14ac:dyDescent="0.2"/>
  <cols>
    <col min="1" max="1" width="5.42578125" style="4" customWidth="1"/>
    <col min="2" max="2" width="27.7109375" style="1" customWidth="1"/>
    <col min="3" max="3" width="15.28515625" style="1" customWidth="1"/>
    <col min="4" max="4" width="11.28515625" style="1" customWidth="1"/>
    <col min="5" max="5" width="10.85546875" style="1" customWidth="1"/>
    <col min="6" max="6" width="41.85546875" style="1" customWidth="1"/>
    <col min="7" max="7" width="12.28515625" style="1" customWidth="1"/>
    <col min="8" max="8" width="11" style="1" customWidth="1"/>
    <col min="9" max="9" width="17.140625" style="1" customWidth="1"/>
    <col min="10" max="16384" width="9.140625" style="1"/>
  </cols>
  <sheetData>
    <row r="1" spans="1:9" ht="28.5" customHeight="1" x14ac:dyDescent="0.2">
      <c r="A1" s="423" t="s">
        <v>943</v>
      </c>
      <c r="B1" s="423"/>
      <c r="C1" s="423"/>
      <c r="D1" s="423"/>
      <c r="E1" s="423"/>
      <c r="F1" s="423"/>
      <c r="G1" s="423"/>
      <c r="H1" s="423"/>
      <c r="I1" s="423"/>
    </row>
    <row r="2" spans="1:9" ht="28.5" customHeight="1" x14ac:dyDescent="0.2">
      <c r="A2" s="412" t="s">
        <v>475</v>
      </c>
      <c r="B2" s="428"/>
      <c r="C2" s="428"/>
      <c r="D2" s="428"/>
      <c r="E2" s="428"/>
      <c r="F2" s="428"/>
      <c r="G2" s="428"/>
      <c r="H2" s="428"/>
      <c r="I2" s="428"/>
    </row>
    <row r="3" spans="1:9" ht="15" customHeight="1" x14ac:dyDescent="0.2">
      <c r="A3" s="414" t="s">
        <v>548</v>
      </c>
      <c r="B3" s="429"/>
      <c r="C3" s="429"/>
      <c r="D3" s="429"/>
      <c r="E3" s="429"/>
      <c r="F3" s="429"/>
      <c r="G3" s="429"/>
      <c r="H3" s="429"/>
      <c r="I3" s="429"/>
    </row>
    <row r="4" spans="1:9" ht="15.95" customHeight="1" x14ac:dyDescent="0.2">
      <c r="A4" s="430" t="s">
        <v>659</v>
      </c>
      <c r="B4" s="430"/>
      <c r="C4" s="430"/>
      <c r="D4" s="430"/>
      <c r="E4" s="430"/>
      <c r="F4" s="430"/>
      <c r="G4" s="430"/>
      <c r="H4" s="430"/>
      <c r="I4" s="430"/>
    </row>
    <row r="5" spans="1:9" s="7" customFormat="1" ht="20.100000000000001" customHeight="1" x14ac:dyDescent="0.2">
      <c r="A5" s="418" t="s">
        <v>441</v>
      </c>
      <c r="B5" s="419" t="s">
        <v>464</v>
      </c>
      <c r="C5" s="419"/>
      <c r="D5" s="419"/>
      <c r="E5" s="419"/>
      <c r="F5" s="419" t="s">
        <v>465</v>
      </c>
      <c r="G5" s="419"/>
      <c r="H5" s="419"/>
      <c r="I5" s="419"/>
    </row>
    <row r="6" spans="1:9" s="7" customFormat="1" ht="20.100000000000001" customHeight="1" x14ac:dyDescent="0.2">
      <c r="A6" s="418"/>
      <c r="B6" s="282" t="s">
        <v>542</v>
      </c>
      <c r="C6" s="336" t="s">
        <v>854</v>
      </c>
      <c r="D6" s="336" t="s">
        <v>855</v>
      </c>
      <c r="E6" s="336" t="s">
        <v>438</v>
      </c>
      <c r="F6" s="283" t="s">
        <v>542</v>
      </c>
      <c r="G6" s="336" t="s">
        <v>854</v>
      </c>
      <c r="H6" s="336" t="s">
        <v>855</v>
      </c>
      <c r="I6" s="336" t="s">
        <v>438</v>
      </c>
    </row>
    <row r="7" spans="1:9" s="7" customFormat="1" ht="12.75" customHeight="1" x14ac:dyDescent="0.2">
      <c r="A7" s="356" t="s">
        <v>176</v>
      </c>
      <c r="B7" s="355" t="s">
        <v>177</v>
      </c>
      <c r="C7" s="355" t="s">
        <v>178</v>
      </c>
      <c r="D7" s="355" t="s">
        <v>175</v>
      </c>
      <c r="E7" s="355" t="s">
        <v>440</v>
      </c>
      <c r="F7" s="355" t="s">
        <v>552</v>
      </c>
      <c r="G7" s="355" t="s">
        <v>553</v>
      </c>
      <c r="H7" s="355" t="s">
        <v>567</v>
      </c>
      <c r="I7" s="355" t="s">
        <v>568</v>
      </c>
    </row>
    <row r="8" spans="1:9" s="7" customFormat="1" ht="26.45" customHeight="1" x14ac:dyDescent="0.2">
      <c r="A8" s="341" t="s">
        <v>0</v>
      </c>
      <c r="B8" s="274" t="s">
        <v>895</v>
      </c>
      <c r="C8" s="350">
        <v>24206310</v>
      </c>
      <c r="D8" s="343">
        <v>24206310</v>
      </c>
      <c r="E8" s="343"/>
      <c r="F8" s="349" t="s">
        <v>896</v>
      </c>
      <c r="G8" s="348">
        <v>265157060</v>
      </c>
      <c r="H8" s="342">
        <v>241997768</v>
      </c>
      <c r="I8" s="342"/>
    </row>
    <row r="9" spans="1:9" s="7" customFormat="1" ht="28.5" customHeight="1" x14ac:dyDescent="0.2">
      <c r="A9" s="341" t="s">
        <v>1</v>
      </c>
      <c r="B9" s="274" t="s">
        <v>930</v>
      </c>
      <c r="C9" s="343"/>
      <c r="D9" s="343">
        <v>417000</v>
      </c>
      <c r="E9" s="344"/>
      <c r="F9" s="349" t="s">
        <v>928</v>
      </c>
      <c r="G9" s="343"/>
      <c r="H9" s="342">
        <v>10668000</v>
      </c>
      <c r="I9" s="342"/>
    </row>
    <row r="10" spans="1:9" s="7" customFormat="1" ht="22.9" customHeight="1" x14ac:dyDescent="0.2">
      <c r="A10" s="341" t="s">
        <v>2</v>
      </c>
      <c r="B10" s="274" t="s">
        <v>931</v>
      </c>
      <c r="C10" s="342"/>
      <c r="D10" s="343">
        <v>8000000</v>
      </c>
      <c r="E10" s="344"/>
      <c r="F10" s="349"/>
      <c r="G10" s="342"/>
      <c r="H10" s="342"/>
      <c r="I10" s="350"/>
    </row>
    <row r="11" spans="1:9" s="7" customFormat="1" ht="20.100000000000001" customHeight="1" x14ac:dyDescent="0.2">
      <c r="A11" s="341" t="s">
        <v>4</v>
      </c>
      <c r="B11" s="274"/>
      <c r="C11" s="343"/>
      <c r="D11" s="343"/>
      <c r="E11" s="344"/>
      <c r="F11" s="349"/>
      <c r="G11" s="343"/>
      <c r="H11" s="342"/>
      <c r="I11" s="350"/>
    </row>
    <row r="12" spans="1:9" s="7" customFormat="1" ht="27.75" customHeight="1" x14ac:dyDescent="0.2">
      <c r="A12" s="345" t="s">
        <v>5</v>
      </c>
      <c r="B12" s="346" t="s">
        <v>547</v>
      </c>
      <c r="C12" s="347">
        <f>SUM(C8:C11)</f>
        <v>24206310</v>
      </c>
      <c r="D12" s="347">
        <f>SUM(D8:D11)</f>
        <v>32623310</v>
      </c>
      <c r="E12" s="347">
        <f>SUM(E8:E11)</f>
        <v>0</v>
      </c>
      <c r="F12" s="352" t="s">
        <v>549</v>
      </c>
      <c r="G12" s="319">
        <f>SUM(G8:G11)</f>
        <v>265157060</v>
      </c>
      <c r="H12" s="319">
        <f>SUM(H8:H11)</f>
        <v>252665768</v>
      </c>
      <c r="I12" s="319">
        <f>SUM(I8:I11)</f>
        <v>0</v>
      </c>
    </row>
    <row r="13" spans="1:9" ht="20.100000000000001" customHeight="1" x14ac:dyDescent="0.2">
      <c r="A13" s="353"/>
      <c r="B13" s="351"/>
      <c r="C13" s="354"/>
      <c r="D13" s="354"/>
      <c r="E13" s="354"/>
      <c r="F13" s="351"/>
      <c r="G13" s="256"/>
      <c r="H13" s="256"/>
      <c r="I13" s="256"/>
    </row>
  </sheetData>
  <mergeCells count="7">
    <mergeCell ref="A5:A6"/>
    <mergeCell ref="B5:E5"/>
    <mergeCell ref="F5:I5"/>
    <mergeCell ref="A1:I1"/>
    <mergeCell ref="A2:I2"/>
    <mergeCell ref="A3:I3"/>
    <mergeCell ref="A4:I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G25"/>
  <sheetViews>
    <sheetView view="pageBreakPreview" zoomScale="90" zoomScaleNormal="70" zoomScaleSheetLayoutView="90" workbookViewId="0">
      <pane ySplit="6" topLeftCell="A7" activePane="bottomLeft" state="frozen"/>
      <selection activeCell="C1" sqref="C1"/>
      <selection pane="bottomLeft" sqref="A1:G1"/>
    </sheetView>
  </sheetViews>
  <sheetFormatPr defaultColWidth="9.140625" defaultRowHeight="15" x14ac:dyDescent="0.2"/>
  <cols>
    <col min="1" max="1" width="23.140625" style="119" customWidth="1"/>
    <col min="2" max="2" width="16.85546875" style="119" customWidth="1"/>
    <col min="3" max="3" width="11.5703125" style="119" customWidth="1"/>
    <col min="4" max="4" width="17.5703125" style="119" customWidth="1"/>
    <col min="5" max="5" width="16" style="119" customWidth="1"/>
    <col min="6" max="6" width="15.7109375" style="119" customWidth="1"/>
    <col min="7" max="7" width="19.85546875" style="119" customWidth="1"/>
    <col min="8" max="8" width="10" style="119" bestFit="1" customWidth="1"/>
    <col min="9" max="16384" width="9.140625" style="119"/>
  </cols>
  <sheetData>
    <row r="1" spans="1:7" x14ac:dyDescent="0.2">
      <c r="A1" s="389" t="s">
        <v>944</v>
      </c>
      <c r="B1" s="389"/>
      <c r="C1" s="389"/>
      <c r="D1" s="389"/>
      <c r="E1" s="389"/>
      <c r="F1" s="389"/>
      <c r="G1" s="389"/>
    </row>
    <row r="2" spans="1:7" x14ac:dyDescent="0.2">
      <c r="A2" s="118"/>
      <c r="B2" s="118"/>
      <c r="C2" s="118"/>
      <c r="D2" s="118"/>
      <c r="E2" s="118"/>
      <c r="F2" s="118"/>
      <c r="G2" s="118"/>
    </row>
    <row r="3" spans="1:7" ht="34.5" customHeight="1" x14ac:dyDescent="0.2">
      <c r="A3" s="424" t="s">
        <v>927</v>
      </c>
      <c r="B3" s="424"/>
      <c r="C3" s="424"/>
      <c r="D3" s="424"/>
      <c r="E3" s="424"/>
      <c r="F3" s="424"/>
      <c r="G3" s="424"/>
    </row>
    <row r="4" spans="1:7" ht="18" x14ac:dyDescent="0.2">
      <c r="A4" s="132"/>
      <c r="B4" s="132"/>
      <c r="C4" s="132"/>
      <c r="D4" s="132"/>
      <c r="E4" s="132"/>
      <c r="F4" s="132"/>
      <c r="G4" s="132"/>
    </row>
    <row r="5" spans="1:7" x14ac:dyDescent="0.2">
      <c r="A5" s="120"/>
    </row>
    <row r="6" spans="1:7" ht="46.35" customHeight="1" x14ac:dyDescent="0.2">
      <c r="A6" s="133" t="s">
        <v>900</v>
      </c>
      <c r="B6" s="133" t="s">
        <v>901</v>
      </c>
      <c r="C6" s="133" t="s">
        <v>902</v>
      </c>
      <c r="D6" s="133" t="s">
        <v>903</v>
      </c>
      <c r="E6" s="133" t="s">
        <v>904</v>
      </c>
      <c r="F6" s="133" t="s">
        <v>905</v>
      </c>
      <c r="G6" s="133" t="s">
        <v>906</v>
      </c>
    </row>
    <row r="7" spans="1:7" ht="60" customHeight="1" x14ac:dyDescent="0.2">
      <c r="A7" s="121" t="s">
        <v>907</v>
      </c>
      <c r="B7" s="121" t="s">
        <v>908</v>
      </c>
      <c r="C7" s="121" t="s">
        <v>909</v>
      </c>
      <c r="D7" s="131">
        <v>28350954</v>
      </c>
      <c r="E7" s="129">
        <v>19930329</v>
      </c>
      <c r="F7" s="129">
        <f>+D7-E7</f>
        <v>8420625</v>
      </c>
      <c r="G7" s="130">
        <v>44012</v>
      </c>
    </row>
    <row r="8" spans="1:7" ht="60" customHeight="1" x14ac:dyDescent="0.2">
      <c r="A8" s="121" t="s">
        <v>910</v>
      </c>
      <c r="B8" s="121" t="s">
        <v>911</v>
      </c>
      <c r="C8" s="121" t="s">
        <v>912</v>
      </c>
      <c r="D8" s="129">
        <f>2936240+35000000+431800+688940+152400+323850+127000-2936240-431800</f>
        <v>36292190</v>
      </c>
      <c r="E8" s="129">
        <v>20650000</v>
      </c>
      <c r="F8" s="129">
        <f>D8-E8</f>
        <v>15642190</v>
      </c>
      <c r="G8" s="130">
        <v>44043</v>
      </c>
    </row>
    <row r="9" spans="1:7" ht="60" customHeight="1" x14ac:dyDescent="0.2">
      <c r="A9" s="121" t="s">
        <v>913</v>
      </c>
      <c r="B9" s="121" t="s">
        <v>914</v>
      </c>
      <c r="C9" s="121" t="s">
        <v>935</v>
      </c>
      <c r="D9" s="122">
        <v>146111475</v>
      </c>
      <c r="E9" s="122">
        <v>146111475</v>
      </c>
      <c r="F9" s="122"/>
      <c r="G9" s="121"/>
    </row>
    <row r="10" spans="1:7" ht="60" customHeight="1" x14ac:dyDescent="0.2">
      <c r="A10" s="121" t="s">
        <v>915</v>
      </c>
      <c r="B10" s="121"/>
      <c r="C10" s="121" t="s">
        <v>916</v>
      </c>
      <c r="D10" s="122">
        <v>2084000</v>
      </c>
      <c r="E10" s="122">
        <v>745000</v>
      </c>
      <c r="F10" s="122">
        <v>1339000</v>
      </c>
      <c r="G10" s="123">
        <v>44196</v>
      </c>
    </row>
    <row r="11" spans="1:7" ht="60" customHeight="1" x14ac:dyDescent="0.2">
      <c r="A11" s="121" t="s">
        <v>917</v>
      </c>
      <c r="B11" s="124">
        <v>204105</v>
      </c>
      <c r="C11" s="121" t="s">
        <v>916</v>
      </c>
      <c r="D11" s="129">
        <v>3046247</v>
      </c>
      <c r="E11" s="122">
        <v>2741622</v>
      </c>
      <c r="F11" s="122">
        <v>274162</v>
      </c>
      <c r="G11" s="123">
        <v>44135</v>
      </c>
    </row>
    <row r="12" spans="1:7" ht="60" customHeight="1" x14ac:dyDescent="0.2">
      <c r="A12" s="121" t="s">
        <v>918</v>
      </c>
      <c r="B12" s="121" t="s">
        <v>919</v>
      </c>
      <c r="C12" s="121" t="s">
        <v>916</v>
      </c>
      <c r="D12" s="125">
        <v>4998713</v>
      </c>
      <c r="E12" s="122">
        <v>4998713</v>
      </c>
      <c r="F12" s="122"/>
      <c r="G12" s="123">
        <v>44074</v>
      </c>
    </row>
    <row r="13" spans="1:7" ht="60" customHeight="1" x14ac:dyDescent="0.2">
      <c r="A13" s="121" t="s">
        <v>920</v>
      </c>
      <c r="B13" s="121" t="s">
        <v>921</v>
      </c>
      <c r="C13" s="121" t="s">
        <v>916</v>
      </c>
      <c r="D13" s="122">
        <v>14999750</v>
      </c>
      <c r="E13" s="122">
        <v>14999750</v>
      </c>
      <c r="F13" s="122"/>
      <c r="G13" s="123">
        <v>43889</v>
      </c>
    </row>
    <row r="14" spans="1:7" ht="60" customHeight="1" x14ac:dyDescent="0.2">
      <c r="A14" s="121" t="s">
        <v>922</v>
      </c>
      <c r="B14" s="121" t="s">
        <v>923</v>
      </c>
      <c r="C14" s="121" t="s">
        <v>916</v>
      </c>
      <c r="D14" s="122">
        <v>34770538</v>
      </c>
      <c r="E14" s="122">
        <v>15000000</v>
      </c>
      <c r="F14" s="122">
        <v>19770538</v>
      </c>
      <c r="G14" s="123">
        <v>44074</v>
      </c>
    </row>
    <row r="15" spans="1:7" ht="60" customHeight="1" x14ac:dyDescent="0.2">
      <c r="A15" s="121" t="s">
        <v>924</v>
      </c>
      <c r="B15" s="121"/>
      <c r="C15" s="121" t="s">
        <v>916</v>
      </c>
      <c r="D15" s="122">
        <v>5842000</v>
      </c>
      <c r="E15" s="122">
        <v>2921000</v>
      </c>
      <c r="F15" s="126">
        <v>2921000</v>
      </c>
      <c r="G15" s="134" t="s">
        <v>925</v>
      </c>
    </row>
    <row r="16" spans="1:7" ht="60" customHeight="1" x14ac:dyDescent="0.2">
      <c r="A16" s="121" t="s">
        <v>926</v>
      </c>
      <c r="B16" s="121"/>
      <c r="C16" s="127" t="s">
        <v>916</v>
      </c>
      <c r="D16" s="125">
        <v>6381750</v>
      </c>
      <c r="E16" s="126">
        <v>6381750</v>
      </c>
      <c r="F16" s="128">
        <v>0</v>
      </c>
      <c r="G16" s="121"/>
    </row>
    <row r="17" spans="4:6" ht="16.5" customHeight="1" x14ac:dyDescent="0.2">
      <c r="D17" s="135">
        <f>SUM(D7:D16)</f>
        <v>282877617</v>
      </c>
      <c r="E17" s="135">
        <f>SUM(E7:E16)</f>
        <v>234479639</v>
      </c>
      <c r="F17" s="135">
        <f>SUM(F8:F16)</f>
        <v>39946890</v>
      </c>
    </row>
    <row r="18" spans="4:6" ht="69.95" customHeight="1" x14ac:dyDescent="0.2"/>
    <row r="19" spans="4:6" ht="69.95" customHeight="1" x14ac:dyDescent="0.2"/>
    <row r="20" spans="4:6" ht="69.95" customHeight="1" x14ac:dyDescent="0.2"/>
    <row r="21" spans="4:6" ht="69.95" customHeight="1" x14ac:dyDescent="0.2"/>
    <row r="22" spans="4:6" ht="69.95" customHeight="1" x14ac:dyDescent="0.2"/>
    <row r="23" spans="4:6" ht="69.95" customHeight="1" x14ac:dyDescent="0.2"/>
    <row r="24" spans="4:6" ht="69.95" customHeight="1" x14ac:dyDescent="0.2"/>
    <row r="25" spans="4:6" ht="69.95" customHeight="1" x14ac:dyDescent="0.2"/>
  </sheetData>
  <mergeCells count="2">
    <mergeCell ref="A3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39</vt:i4>
      </vt:variant>
    </vt:vector>
  </HeadingPairs>
  <TitlesOfParts>
    <vt:vector size="60" baseType="lpstr">
      <vt:lpstr>01</vt:lpstr>
      <vt:lpstr>02</vt:lpstr>
      <vt:lpstr>03</vt:lpstr>
      <vt:lpstr>04</vt:lpstr>
      <vt:lpstr>05</vt:lpstr>
      <vt:lpstr>06</vt:lpstr>
      <vt:lpstr>07</vt:lpstr>
      <vt:lpstr>08a</vt:lpstr>
      <vt:lpstr>08b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'01'!Nyomtatási_cím</vt:lpstr>
      <vt:lpstr>'02'!Nyomtatási_cím</vt:lpstr>
      <vt:lpstr>'03'!Nyomtatási_cím</vt:lpstr>
      <vt:lpstr>'04'!Nyomtatási_cím</vt:lpstr>
      <vt:lpstr>'05'!Nyomtatási_cím</vt:lpstr>
      <vt:lpstr>'06'!Nyomtatási_cím</vt:lpstr>
      <vt:lpstr>'07'!Nyomtatási_cím</vt:lpstr>
      <vt:lpstr>'08a'!Nyomtatási_cím</vt:lpstr>
      <vt:lpstr>'09'!Nyomtatási_cím</vt:lpstr>
      <vt:lpstr>'10'!Nyomtatási_cím</vt:lpstr>
      <vt:lpstr>'12'!Nyomtatási_cím</vt:lpstr>
      <vt:lpstr>'13'!Nyomtatási_cím</vt:lpstr>
      <vt:lpstr>'14'!Nyomtatási_cím</vt:lpstr>
      <vt:lpstr>'15'!Nyomtatási_cím</vt:lpstr>
      <vt:lpstr>'16'!Nyomtatási_cím</vt:lpstr>
      <vt:lpstr>'17'!Nyomtatási_cím</vt:lpstr>
      <vt:lpstr>'18'!Nyomtatási_cím</vt:lpstr>
      <vt:lpstr>'19'!Nyomtatási_cím</vt:lpstr>
      <vt:lpstr>'20'!Nyomtatási_cím</vt:lpstr>
      <vt:lpstr>'01'!Nyomtatási_terület</vt:lpstr>
      <vt:lpstr>'02'!Nyomtatási_terület</vt:lpstr>
      <vt:lpstr>'03'!Nyomtatási_terület</vt:lpstr>
      <vt:lpstr>'04'!Nyomtatási_terület</vt:lpstr>
      <vt:lpstr>'05'!Nyomtatási_terület</vt:lpstr>
      <vt:lpstr>'06'!Nyomtatási_terület</vt:lpstr>
      <vt:lpstr>'07'!Nyomtatási_terület</vt:lpstr>
      <vt:lpstr>'08a'!Nyomtatási_terület</vt:lpstr>
      <vt:lpstr>'09'!Nyomtatási_terület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'20'!Nyomtatási_terület</vt:lpstr>
    </vt:vector>
  </TitlesOfParts>
  <Company>Őcsényi Közös Önkormányzati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Költségvetési rendelet</dc:title>
  <dc:creator>Horváth Gábor (gazd.ea. - Őcsényi Közös Önk. Hivatal)</dc:creator>
  <cp:lastModifiedBy>Felhasználó</cp:lastModifiedBy>
  <cp:lastPrinted>2020-02-08T16:56:17Z</cp:lastPrinted>
  <dcterms:created xsi:type="dcterms:W3CDTF">1998-12-06T10:54:59Z</dcterms:created>
  <dcterms:modified xsi:type="dcterms:W3CDTF">2021-05-27T11:56:11Z</dcterms:modified>
</cp:coreProperties>
</file>