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3900870E-127C-477F-AE82-3EC05DA75CEF}" xr6:coauthVersionLast="46" xr6:coauthVersionMax="46" xr10:uidLastSave="{00000000-0000-0000-0000-000000000000}"/>
  <bookViews>
    <workbookView xWindow="-120" yWindow="-120" windowWidth="25440" windowHeight="15540"/>
  </bookViews>
  <sheets>
    <sheet name="5Mell2020Zárszám" sheetId="4" r:id="rId1"/>
    <sheet name="5aMell2020Zárszám" sheetId="1" r:id="rId2"/>
  </sheets>
  <definedNames>
    <definedName name="_xlnm.Print_Area" localSheetId="1">'5aMell2020Zárszám'!$A$1:$Q$136</definedName>
    <definedName name="_xlnm.Print_Area" localSheetId="0">'5Mell2020Zárszám'!$A$1:$F$44</definedName>
  </definedNames>
  <calcPr calcId="181029"/>
</workbook>
</file>

<file path=xl/calcChain.xml><?xml version="1.0" encoding="utf-8"?>
<calcChain xmlns="http://schemas.openxmlformats.org/spreadsheetml/2006/main">
  <c r="P126" i="1" l="1"/>
  <c r="P127" i="1"/>
  <c r="P130" i="1"/>
  <c r="P131" i="1"/>
  <c r="P132" i="1"/>
  <c r="P133" i="1"/>
  <c r="P86" i="1"/>
  <c r="P135" i="1" s="1"/>
  <c r="P79" i="1"/>
  <c r="P128" i="1" s="1"/>
  <c r="P113" i="1"/>
  <c r="P59" i="1" s="1"/>
  <c r="Q105" i="1"/>
  <c r="P106" i="1"/>
  <c r="Q106" i="1" s="1"/>
  <c r="Q77" i="1"/>
  <c r="P19" i="1"/>
  <c r="P77" i="1"/>
  <c r="P76" i="1"/>
  <c r="P74" i="1"/>
  <c r="P123" i="1" s="1"/>
  <c r="P68" i="1"/>
  <c r="P38" i="1"/>
  <c r="Q50" i="1"/>
  <c r="Q49" i="1"/>
  <c r="P56" i="1"/>
  <c r="Q12" i="1"/>
  <c r="Q60" i="1"/>
  <c r="P61" i="1"/>
  <c r="Q64" i="1"/>
  <c r="P65" i="1"/>
  <c r="Q65" i="1" s="1"/>
  <c r="H14" i="1"/>
  <c r="H13" i="1"/>
  <c r="H12" i="1"/>
  <c r="H19" i="1" s="1"/>
  <c r="I92" i="1"/>
  <c r="I93" i="1"/>
  <c r="I91" i="1"/>
  <c r="H94" i="1"/>
  <c r="I94" i="1" s="1"/>
  <c r="H113" i="1"/>
  <c r="H111" i="1"/>
  <c r="H110" i="1"/>
  <c r="H109" i="1"/>
  <c r="I99" i="1"/>
  <c r="I97" i="1"/>
  <c r="H102" i="1"/>
  <c r="H76" i="1"/>
  <c r="H125" i="1" s="1"/>
  <c r="I125" i="1" s="1"/>
  <c r="H72" i="1"/>
  <c r="H71" i="1"/>
  <c r="H68" i="1"/>
  <c r="I47" i="1"/>
  <c r="I48" i="1"/>
  <c r="I46" i="1"/>
  <c r="H56" i="1"/>
  <c r="I41" i="1"/>
  <c r="H43" i="1"/>
  <c r="I38" i="1"/>
  <c r="I35" i="1"/>
  <c r="H38" i="1"/>
  <c r="I28" i="1"/>
  <c r="H32" i="1"/>
  <c r="I13" i="1"/>
  <c r="I12" i="1"/>
  <c r="N136" i="1"/>
  <c r="N114" i="1"/>
  <c r="N87" i="1"/>
  <c r="N65" i="1"/>
  <c r="N61" i="1"/>
  <c r="N56" i="1"/>
  <c r="N32" i="1"/>
  <c r="N19" i="1"/>
  <c r="F136" i="1"/>
  <c r="F114" i="1"/>
  <c r="F102" i="1"/>
  <c r="F94" i="1"/>
  <c r="F56" i="1"/>
  <c r="F43" i="1"/>
  <c r="F38" i="1"/>
  <c r="F32" i="1"/>
  <c r="F19" i="1"/>
  <c r="F30" i="4"/>
  <c r="F12" i="4"/>
  <c r="F19" i="4"/>
  <c r="F21" i="4"/>
  <c r="F22" i="4"/>
  <c r="E17" i="4"/>
  <c r="E11" i="4"/>
  <c r="F11" i="4" s="1"/>
  <c r="C43" i="4"/>
  <c r="C44" i="4" s="1"/>
  <c r="C17" i="4"/>
  <c r="C11" i="4"/>
  <c r="C32" i="4" s="1"/>
  <c r="F37" i="4"/>
  <c r="F35" i="4"/>
  <c r="E42" i="4"/>
  <c r="E39" i="4"/>
  <c r="C42" i="4"/>
  <c r="C39" i="4"/>
  <c r="D41" i="4"/>
  <c r="D42" i="4" s="1"/>
  <c r="D37" i="4"/>
  <c r="D36" i="4"/>
  <c r="D35" i="4"/>
  <c r="D31" i="4"/>
  <c r="F31" i="4" s="1"/>
  <c r="O60" i="1"/>
  <c r="G98" i="1"/>
  <c r="G110" i="1" s="1"/>
  <c r="G97" i="1"/>
  <c r="G51" i="1"/>
  <c r="I51" i="1" s="1"/>
  <c r="G48" i="1"/>
  <c r="G42" i="1"/>
  <c r="I42" i="1" s="1"/>
  <c r="G41" i="1"/>
  <c r="G14" i="1"/>
  <c r="G72" i="1" s="1"/>
  <c r="G121" i="1" s="1"/>
  <c r="O105" i="1"/>
  <c r="O59" i="1"/>
  <c r="O61" i="1" s="1"/>
  <c r="G17" i="1"/>
  <c r="I17" i="1" s="1"/>
  <c r="G76" i="1"/>
  <c r="G125" i="1" s="1"/>
  <c r="D30" i="4"/>
  <c r="G109" i="1"/>
  <c r="G37" i="1"/>
  <c r="I37" i="1" s="1"/>
  <c r="O85" i="1"/>
  <c r="O134" i="1" s="1"/>
  <c r="D16" i="4"/>
  <c r="D14" i="4"/>
  <c r="D15" i="4"/>
  <c r="G28" i="1"/>
  <c r="G26" i="1"/>
  <c r="O12" i="1"/>
  <c r="D13" i="4"/>
  <c r="D12" i="4"/>
  <c r="O68" i="1"/>
  <c r="O113" i="1"/>
  <c r="O114" i="1" s="1"/>
  <c r="G111" i="1"/>
  <c r="G27" i="1"/>
  <c r="O17" i="1"/>
  <c r="Q17" i="1" s="1"/>
  <c r="O16" i="1"/>
  <c r="O14" i="1"/>
  <c r="Q14" i="1" s="1"/>
  <c r="O74" i="1"/>
  <c r="Q74" i="1" s="1"/>
  <c r="O77" i="1"/>
  <c r="O126" i="1"/>
  <c r="D17" i="4"/>
  <c r="O19" i="1"/>
  <c r="Q19" i="1" s="1"/>
  <c r="O81" i="1"/>
  <c r="O130" i="1"/>
  <c r="D25" i="4"/>
  <c r="O70" i="1"/>
  <c r="O119" i="1" s="1"/>
  <c r="O75" i="1"/>
  <c r="O124" i="1" s="1"/>
  <c r="O32" i="1"/>
  <c r="G73" i="1"/>
  <c r="G122" i="1"/>
  <c r="G94" i="1"/>
  <c r="G38" i="1"/>
  <c r="O55" i="1"/>
  <c r="O56" i="1" s="1"/>
  <c r="Q56" i="1" s="1"/>
  <c r="O83" i="1"/>
  <c r="O132" i="1" s="1"/>
  <c r="O86" i="1"/>
  <c r="G43" i="1"/>
  <c r="I43" i="1" s="1"/>
  <c r="O78" i="1"/>
  <c r="O127" i="1"/>
  <c r="O72" i="1"/>
  <c r="O121" i="1"/>
  <c r="D11" i="4"/>
  <c r="D32" i="4"/>
  <c r="G113" i="1"/>
  <c r="G102" i="1"/>
  <c r="O65" i="1"/>
  <c r="G65" i="1"/>
  <c r="O94" i="1"/>
  <c r="O106" i="1"/>
  <c r="O123" i="1"/>
  <c r="G19" i="1"/>
  <c r="I19" i="1" s="1"/>
  <c r="I111" i="1"/>
  <c r="H114" i="1"/>
  <c r="I27" i="1" l="1"/>
  <c r="G71" i="1"/>
  <c r="G114" i="1"/>
  <c r="I114" i="1" s="1"/>
  <c r="F36" i="4"/>
  <c r="D39" i="4"/>
  <c r="D43" i="4" s="1"/>
  <c r="D44" i="4" s="1"/>
  <c r="F42" i="4"/>
  <c r="F17" i="4"/>
  <c r="I98" i="1"/>
  <c r="I110" i="1"/>
  <c r="Q61" i="1"/>
  <c r="Q123" i="1"/>
  <c r="I109" i="1"/>
  <c r="O135" i="1"/>
  <c r="Q86" i="1"/>
  <c r="G56" i="1"/>
  <c r="I56" i="1" s="1"/>
  <c r="O76" i="1"/>
  <c r="O125" i="1" s="1"/>
  <c r="Q16" i="1"/>
  <c r="G32" i="1"/>
  <c r="I32" i="1" s="1"/>
  <c r="O117" i="1"/>
  <c r="O136" i="1" s="1"/>
  <c r="O87" i="1"/>
  <c r="I26" i="1"/>
  <c r="G68" i="1"/>
  <c r="F39" i="4"/>
  <c r="E43" i="4"/>
  <c r="F41" i="4"/>
  <c r="E32" i="4"/>
  <c r="I14" i="1"/>
  <c r="I68" i="1"/>
  <c r="H87" i="1"/>
  <c r="I72" i="1"/>
  <c r="H121" i="1"/>
  <c r="I121" i="1" s="1"/>
  <c r="I76" i="1"/>
  <c r="I102" i="1"/>
  <c r="H117" i="1"/>
  <c r="H120" i="1"/>
  <c r="Q68" i="1"/>
  <c r="Q76" i="1"/>
  <c r="P85" i="1"/>
  <c r="Q85" i="1" s="1"/>
  <c r="Q59" i="1"/>
  <c r="Q135" i="1"/>
  <c r="Q126" i="1"/>
  <c r="Q113" i="1"/>
  <c r="P87" i="1"/>
  <c r="Q87" i="1" s="1"/>
  <c r="P117" i="1"/>
  <c r="P125" i="1"/>
  <c r="Q125" i="1" s="1"/>
  <c r="P134" i="1"/>
  <c r="Q134" i="1" s="1"/>
  <c r="P114" i="1"/>
  <c r="Q114" i="1" s="1"/>
  <c r="Q117" i="1" l="1"/>
  <c r="P136" i="1"/>
  <c r="Q136" i="1" s="1"/>
  <c r="H136" i="1"/>
  <c r="F32" i="4"/>
  <c r="E49" i="4"/>
  <c r="E44" i="4"/>
  <c r="F44" i="4" s="1"/>
  <c r="F43" i="4"/>
  <c r="G117" i="1"/>
  <c r="G87" i="1"/>
  <c r="I87" i="1" s="1"/>
  <c r="G120" i="1"/>
  <c r="I120" i="1" s="1"/>
  <c r="I71" i="1"/>
  <c r="G136" i="1" l="1"/>
  <c r="I136" i="1" s="1"/>
  <c r="I117" i="1"/>
</calcChain>
</file>

<file path=xl/sharedStrings.xml><?xml version="1.0" encoding="utf-8"?>
<sst xmlns="http://schemas.openxmlformats.org/spreadsheetml/2006/main" count="411" uniqueCount="135">
  <si>
    <t>ezer Ft-ban</t>
  </si>
  <si>
    <t>előirányzat</t>
  </si>
  <si>
    <t>1.</t>
  </si>
  <si>
    <t>3.</t>
  </si>
  <si>
    <t>2.</t>
  </si>
  <si>
    <t>Személyi juttatás</t>
  </si>
  <si>
    <t>Munkaadót terhelő járulékok és szoc.hozzájárulási adó</t>
  </si>
  <si>
    <t>ELŐIRÁNYZAT-CSOPORTOK, KIEMELT ELŐIRÁNYZATOK SZERINTI BONTÁSBAN FELADATOKÉNT ÉS ÖSSZESEN</t>
  </si>
  <si>
    <t>Dologi kiadások</t>
  </si>
  <si>
    <t>1.2.</t>
  </si>
  <si>
    <t>KÖTELEZŐ FELADATOK KIADÁSAI:</t>
  </si>
  <si>
    <t>KÖTELEZŐ FELADATOK BEVÉTELEI:</t>
  </si>
  <si>
    <t>Intézmény kötelező feladatainak kiadásai összesen:</t>
  </si>
  <si>
    <t>Intézmény kötelező feladatainak bevételei összesen:</t>
  </si>
  <si>
    <t>Előirányzat-csoport;kiemelt előirányzat megnevezése</t>
  </si>
  <si>
    <t>Kormányzati funkció</t>
  </si>
  <si>
    <t>Költségvetési szerv megnevezése</t>
  </si>
  <si>
    <t>Száma</t>
  </si>
  <si>
    <t>Előirányzat-csoport, kiemelt előirányzat megnevezése</t>
  </si>
  <si>
    <t>Bevételek</t>
  </si>
  <si>
    <t>Szolgáltatások ellenértéke</t>
  </si>
  <si>
    <t>Kiszámlázott általános forgalmi adó</t>
  </si>
  <si>
    <t>Általános forgalmi adó visszatérülése</t>
  </si>
  <si>
    <t>2.1.</t>
  </si>
  <si>
    <t>Kiadások</t>
  </si>
  <si>
    <t>Beruházások</t>
  </si>
  <si>
    <t>082092 Közművelődés – hagyományos közösségi kulturális értékek gondozása</t>
  </si>
  <si>
    <t>082093 Közművelődés – egész életre kiterjedő tanulás, amatőr művészetek</t>
  </si>
  <si>
    <t>018030 Támogatási célú finanszírozási műveletek</t>
  </si>
  <si>
    <t>1. Működési költségvetés kiadásai:</t>
  </si>
  <si>
    <t>Ezer forintban</t>
  </si>
  <si>
    <t>1.1</t>
  </si>
  <si>
    <t>1.2</t>
  </si>
  <si>
    <t>1.3</t>
  </si>
  <si>
    <t>Irányítószervi (önkormányzati) támogatás</t>
  </si>
  <si>
    <t>Kormányzati funkció kiadásai összesen:</t>
  </si>
  <si>
    <t>Kormányzati funkció bevétele összesen:</t>
  </si>
  <si>
    <t>ÖNKÉNT VÁLLALT FELADATOK KIADÁSAI:</t>
  </si>
  <si>
    <t>ÖNKÉNT VÁLLALT FELADATOK BEVÉTELEI:</t>
  </si>
  <si>
    <t>1. Működési költségvetés kiadásai</t>
  </si>
  <si>
    <t>Személyi juttatások</t>
  </si>
  <si>
    <t>Kormányzati funkció kiadása összesen:</t>
  </si>
  <si>
    <t>Kormányzati funkció bevételei összesen:</t>
  </si>
  <si>
    <t>Kiadások mindösszesen:</t>
  </si>
  <si>
    <t>Bevételek mindösszesen:</t>
  </si>
  <si>
    <t xml:space="preserve">Beruházások </t>
  </si>
  <si>
    <t xml:space="preserve">   Felhalmozási költségvetés kiadásai </t>
  </si>
  <si>
    <t>Intézmény kötelező kiadásai összesen:</t>
  </si>
  <si>
    <t>082092 Közművelődés – hagyományos közösségi kulturális értékek gondozása (galéria, mozi)</t>
  </si>
  <si>
    <t>Intézmény kiadásai mindösszesen:</t>
  </si>
  <si>
    <t>8. Finanszírozási bevételek</t>
  </si>
  <si>
    <t>Intézmény bevételei mindösszesen:</t>
  </si>
  <si>
    <t>8.1.</t>
  </si>
  <si>
    <t>I. Működési költségvetés bevételei</t>
  </si>
  <si>
    <t>2.1</t>
  </si>
  <si>
    <t>Önkormányzat bevételei mindösszesen:</t>
  </si>
  <si>
    <t xml:space="preserve">Dologi kiadások </t>
  </si>
  <si>
    <t xml:space="preserve"> Működési költségvetés kiadásai összesen:</t>
  </si>
  <si>
    <t>2. Felhalmozási költségvetés kiadásai:</t>
  </si>
  <si>
    <t>Felhalmozási költségvetés kiadásai összesen:</t>
  </si>
  <si>
    <t>Költségvetési kiadások összesen:</t>
  </si>
  <si>
    <t>Önkormányzat kiadásai mindösszesen:</t>
  </si>
  <si>
    <t>Finanszírozási bevételek:</t>
  </si>
  <si>
    <t>Intézmény önként vállalt feladatainak kiadásai összesen:</t>
  </si>
  <si>
    <t>Intézmény önként vállalt feladatainak bevételei összesen:</t>
  </si>
  <si>
    <t xml:space="preserve">Felhalmozási költségvetés kiadásai </t>
  </si>
  <si>
    <t>8.</t>
  </si>
  <si>
    <t>8.1.8.</t>
  </si>
  <si>
    <t>Előző év költségvetési maradványának igénybevétele</t>
  </si>
  <si>
    <t>013350 Az önkormányzati vagyonnal való gazdálkodással kapcs. feladatok</t>
  </si>
  <si>
    <t>Intézmény önként vállalt kiadásai összesen:</t>
  </si>
  <si>
    <t>Intézmény önként vállalt bevételei összesen:</t>
  </si>
  <si>
    <t>4.</t>
  </si>
  <si>
    <t>8.1.8</t>
  </si>
  <si>
    <t>5/a. számú melléklet</t>
  </si>
  <si>
    <t>Tamási Művlődési Központ és Könnyü László Városi Könyvtár</t>
  </si>
  <si>
    <t>Készletértékesítés ellenértéke</t>
  </si>
  <si>
    <t>4.11.</t>
  </si>
  <si>
    <t>Egyéb működési bevételek</t>
  </si>
  <si>
    <t>Működési célú támogatás ÁH-on belülről</t>
  </si>
  <si>
    <t>1.2.5.</t>
  </si>
  <si>
    <t>Egyéb működési célú támogatások bevételei ÁH-on belülről</t>
  </si>
  <si>
    <t>082042 Könyvtári állomány gyarapítása, nyilvántartása</t>
  </si>
  <si>
    <t>2. Felhalmozási költségvetés kiadásai</t>
  </si>
  <si>
    <t>082043 Könyvtári állomány feltárása, megőrzése, védelme</t>
  </si>
  <si>
    <t>082044 Könyvtári szolgáltatások</t>
  </si>
  <si>
    <t>Működési bevételek</t>
  </si>
  <si>
    <t>4.1.</t>
  </si>
  <si>
    <t>4.2.</t>
  </si>
  <si>
    <t>082061 Múzeumi gyűjteményi tevékenység</t>
  </si>
  <si>
    <t xml:space="preserve"> </t>
  </si>
  <si>
    <t>4.6.</t>
  </si>
  <si>
    <t>4.7.</t>
  </si>
  <si>
    <t>4. Működési bevételek</t>
  </si>
  <si>
    <t>1. Működési célú támogatás ÁH-on belülről</t>
  </si>
  <si>
    <t>4. Működési bevételek:</t>
  </si>
  <si>
    <t>7. Felhalmozási célú átvett pénzeszközök:</t>
  </si>
  <si>
    <t>7.3</t>
  </si>
  <si>
    <t>Egyéb felhalmozási célú átvett pénzeszköz</t>
  </si>
  <si>
    <t>Egyéb felhalmozási célú átvett pénzeszköz ÁH-on kívülről</t>
  </si>
  <si>
    <t>7.</t>
  </si>
  <si>
    <t>Felhalmozási célú átvett pénzeszközök</t>
  </si>
  <si>
    <t>1.9.</t>
  </si>
  <si>
    <t>Egyéb működési célú támogatások ÁH-n belülre</t>
  </si>
  <si>
    <t>Közvetített szolgáltatások értéke</t>
  </si>
  <si>
    <t>4.3.</t>
  </si>
  <si>
    <t>2. Felhalmozási célú támogatások ÁH-on belülről:</t>
  </si>
  <si>
    <t>2.5</t>
  </si>
  <si>
    <t>Egyéb felhalmozási célú támogatások bevételei</t>
  </si>
  <si>
    <t>1.9</t>
  </si>
  <si>
    <t>6.</t>
  </si>
  <si>
    <t>Működési célú átvett pénzeszközök</t>
  </si>
  <si>
    <t>6.3</t>
  </si>
  <si>
    <t>Egyéb működési célú átvett pénzeszköz</t>
  </si>
  <si>
    <t>Ebből: EU-s</t>
  </si>
  <si>
    <t>Biztosító által fizetett kártérítés</t>
  </si>
  <si>
    <t>4.10.</t>
  </si>
  <si>
    <t>Munkaadót terhelő járulékok és szoc.hozzájárulási adó k2</t>
  </si>
  <si>
    <t xml:space="preserve">Szolgáltatások ellenértéke </t>
  </si>
  <si>
    <t xml:space="preserve">Munkaadót terhelő járulékok és szoc.hozzájárulási adó </t>
  </si>
  <si>
    <t>Intézmény kötelező bevételei összesen:</t>
  </si>
  <si>
    <t>TAMÁSI MŰVELŐDÉSI KÖZPONT ÉS KÖNNYÜ LÁSZLÓ KÖNYVTÁR 2020. ÉVI KÖLTSÉGVETÉSE ELŐIRÁNYZATCSOPORTOK ÉS KIEMELT ELŐIRÁNYZATOK SZERINTI BONTÁSBAN</t>
  </si>
  <si>
    <t>TAMÁSI MŰVELŐDÉSI KÖZPONT ÉS KÖNNYÜ LÁSZLÓ KÖNYVTÁR 2020. ÉVI KÖLTSÉGVETÉSI BEVÉTELEI ÉS KIADÁSAI</t>
  </si>
  <si>
    <t xml:space="preserve">Személyi juttatás </t>
  </si>
  <si>
    <t>2020. évi módosított előirányzat</t>
  </si>
  <si>
    <t>2020. évi eredeti előirányzat</t>
  </si>
  <si>
    <t>Teljesítés 2020.12.31.</t>
  </si>
  <si>
    <t>Teljesítés %-a</t>
  </si>
  <si>
    <t>2020. évi</t>
  </si>
  <si>
    <t>módosított</t>
  </si>
  <si>
    <t>eredeti</t>
  </si>
  <si>
    <t>Teljesítés</t>
  </si>
  <si>
    <t>2020.12.31.</t>
  </si>
  <si>
    <t>%-a</t>
  </si>
  <si>
    <t>5.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</si>
</sst>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#,##0.0"/>
  </numFmts>
  <fonts count="8" x14ac:knownFonts="1">
    <font>
      <sz val="10"/>
      <name val="Arial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0">
    <xf numFmtId="0" fontId="0" fillId="0" borderId="0" xfId="0"/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Border="1"/>
    <xf numFmtId="49" fontId="3" fillId="0" borderId="3" xfId="2" applyNumberFormat="1" applyFont="1" applyBorder="1" applyAlignment="1">
      <alignment horizontal="right"/>
    </xf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3" fontId="3" fillId="0" borderId="7" xfId="2" applyNumberFormat="1" applyFont="1" applyFill="1" applyBorder="1"/>
    <xf numFmtId="0" fontId="5" fillId="0" borderId="8" xfId="2" applyFont="1" applyBorder="1" applyAlignment="1"/>
    <xf numFmtId="0" fontId="6" fillId="0" borderId="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49" fontId="3" fillId="0" borderId="8" xfId="2" applyNumberFormat="1" applyFont="1" applyBorder="1" applyAlignment="1">
      <alignment horizontal="right"/>
    </xf>
    <xf numFmtId="3" fontId="3" fillId="0" borderId="0" xfId="0" applyNumberFormat="1" applyFont="1" applyFill="1" applyAlignment="1" applyProtection="1">
      <alignment vertical="center" wrapText="1"/>
    </xf>
    <xf numFmtId="49" fontId="3" fillId="0" borderId="3" xfId="2" applyNumberFormat="1" applyFont="1" applyFill="1" applyBorder="1" applyAlignment="1">
      <alignment horizontal="right"/>
    </xf>
    <xf numFmtId="0" fontId="4" fillId="0" borderId="6" xfId="2" applyFont="1" applyBorder="1" applyAlignment="1">
      <alignment horizontal="right"/>
    </xf>
    <xf numFmtId="49" fontId="3" fillId="0" borderId="6" xfId="2" applyNumberFormat="1" applyFont="1" applyFill="1" applyBorder="1" applyAlignment="1">
      <alignment horizontal="right"/>
    </xf>
    <xf numFmtId="49" fontId="3" fillId="0" borderId="9" xfId="2" applyNumberFormat="1" applyFont="1" applyFill="1" applyBorder="1" applyAlignment="1">
      <alignment horizontal="right"/>
    </xf>
    <xf numFmtId="0" fontId="4" fillId="0" borderId="9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3" fontId="4" fillId="0" borderId="2" xfId="2" applyNumberFormat="1" applyFont="1" applyFill="1" applyBorder="1"/>
    <xf numFmtId="0" fontId="5" fillId="0" borderId="5" xfId="2" applyFont="1" applyBorder="1" applyAlignment="1"/>
    <xf numFmtId="0" fontId="3" fillId="0" borderId="4" xfId="2" applyFont="1" applyBorder="1" applyAlignment="1"/>
    <xf numFmtId="0" fontId="3" fillId="0" borderId="5" xfId="2" applyFont="1" applyBorder="1" applyAlignment="1"/>
    <xf numFmtId="49" fontId="3" fillId="0" borderId="11" xfId="2" applyNumberFormat="1" applyFont="1" applyBorder="1" applyAlignment="1">
      <alignment horizontal="right"/>
    </xf>
    <xf numFmtId="0" fontId="5" fillId="0" borderId="4" xfId="2" applyFont="1" applyBorder="1" applyAlignment="1"/>
    <xf numFmtId="0" fontId="3" fillId="0" borderId="0" xfId="0" applyFont="1" applyFill="1" applyBorder="1" applyAlignment="1" applyProtection="1">
      <alignment vertical="center" wrapText="1"/>
    </xf>
    <xf numFmtId="49" fontId="3" fillId="0" borderId="12" xfId="2" applyNumberFormat="1" applyFont="1" applyBorder="1" applyAlignment="1">
      <alignment horizontal="right"/>
    </xf>
    <xf numFmtId="0" fontId="4" fillId="0" borderId="13" xfId="2" applyFont="1" applyBorder="1" applyAlignment="1"/>
    <xf numFmtId="49" fontId="3" fillId="0" borderId="14" xfId="2" applyNumberFormat="1" applyFont="1" applyBorder="1" applyAlignment="1">
      <alignment horizontal="right"/>
    </xf>
    <xf numFmtId="0" fontId="4" fillId="0" borderId="15" xfId="2" applyFont="1" applyFill="1" applyBorder="1" applyAlignment="1">
      <alignment horizontal="left"/>
    </xf>
    <xf numFmtId="0" fontId="3" fillId="0" borderId="0" xfId="2" applyFont="1" applyFill="1"/>
    <xf numFmtId="0" fontId="3" fillId="0" borderId="0" xfId="2" applyFont="1"/>
    <xf numFmtId="0" fontId="3" fillId="0" borderId="0" xfId="2" applyFont="1" applyFill="1" applyAlignment="1"/>
    <xf numFmtId="0" fontId="3" fillId="0" borderId="0" xfId="0" applyFont="1"/>
    <xf numFmtId="0" fontId="3" fillId="0" borderId="0" xfId="2" applyFont="1" applyFill="1" applyAlignment="1">
      <alignment horizont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3" fontId="3" fillId="0" borderId="16" xfId="2" applyNumberFormat="1" applyFont="1" applyFill="1" applyBorder="1" applyAlignment="1">
      <alignment horizontal="center" vertical="center"/>
    </xf>
    <xf numFmtId="3" fontId="3" fillId="0" borderId="17" xfId="2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Fill="1" applyBorder="1" applyAlignment="1"/>
    <xf numFmtId="0" fontId="3" fillId="0" borderId="7" xfId="0" applyFont="1" applyFill="1" applyBorder="1"/>
    <xf numFmtId="0" fontId="3" fillId="0" borderId="3" xfId="2" applyFont="1" applyFill="1" applyBorder="1" applyAlignment="1">
      <alignment horizontal="center"/>
    </xf>
    <xf numFmtId="3" fontId="3" fillId="0" borderId="18" xfId="2" applyNumberFormat="1" applyFont="1" applyFill="1" applyBorder="1" applyAlignment="1"/>
    <xf numFmtId="3" fontId="3" fillId="0" borderId="8" xfId="2" applyNumberFormat="1" applyFont="1" applyFill="1" applyBorder="1" applyAlignment="1"/>
    <xf numFmtId="0" fontId="3" fillId="0" borderId="8" xfId="2" applyFont="1" applyBorder="1"/>
    <xf numFmtId="49" fontId="3" fillId="0" borderId="19" xfId="2" applyNumberFormat="1" applyFont="1" applyFill="1" applyBorder="1" applyAlignment="1">
      <alignment horizontal="right"/>
    </xf>
    <xf numFmtId="49" fontId="3" fillId="0" borderId="0" xfId="2" applyNumberFormat="1" applyFont="1" applyBorder="1" applyAlignment="1">
      <alignment horizontal="right"/>
    </xf>
    <xf numFmtId="3" fontId="3" fillId="0" borderId="0" xfId="2" applyNumberFormat="1" applyFont="1" applyFill="1" applyBorder="1"/>
    <xf numFmtId="0" fontId="3" fillId="0" borderId="11" xfId="2" applyFont="1" applyFill="1" applyBorder="1" applyAlignment="1">
      <alignment horizontal="center"/>
    </xf>
    <xf numFmtId="0" fontId="4" fillId="0" borderId="19" xfId="1" applyFont="1" applyFill="1" applyBorder="1" applyAlignment="1" applyProtection="1">
      <alignment horizontal="right" vertical="center" wrapText="1"/>
    </xf>
    <xf numFmtId="0" fontId="3" fillId="0" borderId="0" xfId="2" applyFont="1" applyBorder="1"/>
    <xf numFmtId="49" fontId="3" fillId="0" borderId="8" xfId="1" applyNumberFormat="1" applyFont="1" applyFill="1" applyBorder="1" applyAlignment="1" applyProtection="1">
      <alignment horizontal="right" vertical="center" wrapText="1"/>
    </xf>
    <xf numFmtId="0" fontId="3" fillId="0" borderId="4" xfId="2" applyFont="1" applyBorder="1" applyAlignment="1">
      <alignment horizontal="right"/>
    </xf>
    <xf numFmtId="3" fontId="4" fillId="0" borderId="20" xfId="2" applyNumberFormat="1" applyFont="1" applyFill="1" applyBorder="1" applyAlignment="1"/>
    <xf numFmtId="3" fontId="7" fillId="0" borderId="21" xfId="2" applyNumberFormat="1" applyFont="1" applyFill="1" applyBorder="1" applyAlignment="1"/>
    <xf numFmtId="3" fontId="3" fillId="0" borderId="17" xfId="2" applyNumberFormat="1" applyFont="1" applyFill="1" applyBorder="1"/>
    <xf numFmtId="0" fontId="4" fillId="0" borderId="8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left" wrapText="1"/>
    </xf>
    <xf numFmtId="3" fontId="7" fillId="0" borderId="8" xfId="2" applyNumberFormat="1" applyFont="1" applyFill="1" applyBorder="1" applyAlignment="1"/>
    <xf numFmtId="0" fontId="3" fillId="0" borderId="0" xfId="0" applyFont="1" applyFill="1"/>
    <xf numFmtId="49" fontId="3" fillId="0" borderId="8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/>
    <xf numFmtId="0" fontId="5" fillId="0" borderId="3" xfId="2" applyFont="1" applyFill="1" applyBorder="1" applyAlignment="1">
      <alignment horizontal="left"/>
    </xf>
    <xf numFmtId="0" fontId="5" fillId="0" borderId="8" xfId="2" applyFont="1" applyFill="1" applyBorder="1" applyAlignment="1"/>
    <xf numFmtId="0" fontId="4" fillId="0" borderId="5" xfId="2" applyFont="1" applyBorder="1" applyAlignment="1">
      <alignment horizontal="left"/>
    </xf>
    <xf numFmtId="0" fontId="3" fillId="0" borderId="8" xfId="2" applyFont="1" applyBorder="1" applyAlignment="1">
      <alignment horizontal="right"/>
    </xf>
    <xf numFmtId="3" fontId="3" fillId="0" borderId="2" xfId="2" applyNumberFormat="1" applyFont="1" applyFill="1" applyBorder="1"/>
    <xf numFmtId="3" fontId="3" fillId="0" borderId="19" xfId="2" applyNumberFormat="1" applyFont="1" applyFill="1" applyBorder="1" applyAlignment="1"/>
    <xf numFmtId="3" fontId="3" fillId="0" borderId="22" xfId="2" applyNumberFormat="1" applyFont="1" applyFill="1" applyBorder="1"/>
    <xf numFmtId="0" fontId="3" fillId="0" borderId="4" xfId="2" applyFont="1" applyFill="1" applyBorder="1"/>
    <xf numFmtId="0" fontId="3" fillId="0" borderId="5" xfId="2" applyFont="1" applyFill="1" applyBorder="1"/>
    <xf numFmtId="0" fontId="3" fillId="0" borderId="6" xfId="2" applyFont="1" applyFill="1" applyBorder="1"/>
    <xf numFmtId="0" fontId="5" fillId="0" borderId="11" xfId="2" applyFont="1" applyFill="1" applyBorder="1" applyAlignment="1"/>
    <xf numFmtId="3" fontId="3" fillId="0" borderId="7" xfId="2" applyNumberFormat="1" applyFont="1" applyFill="1" applyBorder="1" applyAlignment="1"/>
    <xf numFmtId="0" fontId="3" fillId="0" borderId="11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23" xfId="0" applyFont="1" applyBorder="1"/>
    <xf numFmtId="0" fontId="3" fillId="0" borderId="18" xfId="0" applyFont="1" applyBorder="1"/>
    <xf numFmtId="0" fontId="5" fillId="2" borderId="5" xfId="2" applyFont="1" applyFill="1" applyBorder="1" applyAlignment="1"/>
    <xf numFmtId="3" fontId="5" fillId="0" borderId="17" xfId="2" applyNumberFormat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3" fontId="3" fillId="0" borderId="0" xfId="2" applyNumberFormat="1" applyFont="1"/>
    <xf numFmtId="0" fontId="4" fillId="0" borderId="8" xfId="1" applyFont="1" applyFill="1" applyBorder="1" applyAlignment="1" applyProtection="1">
      <alignment horizontal="right" vertical="center" wrapText="1"/>
    </xf>
    <xf numFmtId="0" fontId="3" fillId="0" borderId="11" xfId="2" applyFont="1" applyBorder="1" applyAlignment="1">
      <alignment horizontal="center"/>
    </xf>
    <xf numFmtId="0" fontId="3" fillId="0" borderId="4" xfId="0" applyFont="1" applyBorder="1"/>
    <xf numFmtId="0" fontId="3" fillId="0" borderId="8" xfId="0" applyFont="1" applyBorder="1" applyAlignment="1"/>
    <xf numFmtId="0" fontId="3" fillId="0" borderId="23" xfId="2" applyFont="1" applyBorder="1" applyAlignment="1">
      <alignment horizontal="center"/>
    </xf>
    <xf numFmtId="49" fontId="3" fillId="0" borderId="24" xfId="1" applyNumberFormat="1" applyFont="1" applyFill="1" applyBorder="1" applyAlignment="1" applyProtection="1">
      <alignment horizontal="right" vertical="center" wrapText="1"/>
    </xf>
    <xf numFmtId="0" fontId="3" fillId="0" borderId="25" xfId="1" applyFont="1" applyFill="1" applyBorder="1" applyAlignment="1" applyProtection="1">
      <alignment horizontal="left" vertical="center" wrapText="1"/>
    </xf>
    <xf numFmtId="0" fontId="3" fillId="0" borderId="26" xfId="1" applyFont="1" applyFill="1" applyBorder="1" applyAlignment="1" applyProtection="1">
      <alignment horizontal="left" vertical="center" wrapText="1"/>
    </xf>
    <xf numFmtId="0" fontId="4" fillId="0" borderId="15" xfId="2" applyFont="1" applyBorder="1" applyAlignment="1">
      <alignment horizontal="left"/>
    </xf>
    <xf numFmtId="0" fontId="3" fillId="0" borderId="10" xfId="2" applyFont="1" applyBorder="1" applyAlignment="1"/>
    <xf numFmtId="0" fontId="3" fillId="0" borderId="27" xfId="2" applyFont="1" applyBorder="1" applyAlignment="1"/>
    <xf numFmtId="3" fontId="3" fillId="0" borderId="0" xfId="0" applyNumberFormat="1" applyFont="1"/>
    <xf numFmtId="0" fontId="3" fillId="0" borderId="28" xfId="2" applyFont="1" applyBorder="1"/>
    <xf numFmtId="0" fontId="5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8" xfId="2" applyFont="1" applyFill="1" applyBorder="1" applyAlignment="1"/>
    <xf numFmtId="0" fontId="5" fillId="0" borderId="31" xfId="0" applyFont="1" applyBorder="1" applyAlignment="1">
      <alignment vertical="center"/>
    </xf>
    <xf numFmtId="0" fontId="3" fillId="0" borderId="29" xfId="2" applyFont="1" applyBorder="1"/>
    <xf numFmtId="0" fontId="3" fillId="0" borderId="17" xfId="2" applyFont="1" applyFill="1" applyBorder="1"/>
    <xf numFmtId="0" fontId="3" fillId="0" borderId="3" xfId="2" applyFont="1" applyFill="1" applyBorder="1" applyAlignment="1">
      <alignment horizontal="center" vertical="center"/>
    </xf>
    <xf numFmtId="49" fontId="3" fillId="0" borderId="4" xfId="2" applyNumberFormat="1" applyFont="1" applyBorder="1" applyAlignment="1">
      <alignment horizontal="right"/>
    </xf>
    <xf numFmtId="0" fontId="3" fillId="0" borderId="6" xfId="2" applyFont="1" applyBorder="1" applyAlignment="1">
      <alignment horizontal="right"/>
    </xf>
    <xf numFmtId="0" fontId="5" fillId="0" borderId="6" xfId="2" applyFont="1" applyBorder="1" applyAlignment="1"/>
    <xf numFmtId="0" fontId="3" fillId="0" borderId="32" xfId="2" applyFont="1" applyBorder="1" applyAlignment="1">
      <alignment horizontal="center"/>
    </xf>
    <xf numFmtId="49" fontId="3" fillId="0" borderId="19" xfId="1" applyNumberFormat="1" applyFont="1" applyFill="1" applyBorder="1" applyAlignment="1" applyProtection="1">
      <alignment horizontal="right" vertical="center" wrapText="1"/>
    </xf>
    <xf numFmtId="0" fontId="3" fillId="0" borderId="33" xfId="2" applyFont="1" applyFill="1" applyBorder="1" applyAlignment="1">
      <alignment horizontal="left"/>
    </xf>
    <xf numFmtId="0" fontId="3" fillId="0" borderId="33" xfId="2" applyFont="1" applyBorder="1"/>
    <xf numFmtId="0" fontId="3" fillId="0" borderId="33" xfId="2" applyFont="1" applyBorder="1" applyAlignment="1">
      <alignment horizontal="left"/>
    </xf>
    <xf numFmtId="0" fontId="3" fillId="0" borderId="7" xfId="2" applyFont="1" applyFill="1" applyBorder="1"/>
    <xf numFmtId="49" fontId="3" fillId="0" borderId="34" xfId="2" applyNumberFormat="1" applyFont="1" applyBorder="1" applyAlignment="1">
      <alignment horizontal="right"/>
    </xf>
    <xf numFmtId="0" fontId="3" fillId="0" borderId="34" xfId="2" applyFont="1" applyBorder="1" applyAlignment="1">
      <alignment horizontal="left"/>
    </xf>
    <xf numFmtId="3" fontId="7" fillId="0" borderId="19" xfId="2" applyNumberFormat="1" applyFont="1" applyFill="1" applyBorder="1" applyAlignment="1"/>
    <xf numFmtId="49" fontId="3" fillId="0" borderId="35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left"/>
    </xf>
    <xf numFmtId="0" fontId="3" fillId="0" borderId="0" xfId="0" applyFont="1" applyFill="1" applyAlignment="1"/>
    <xf numFmtId="0" fontId="5" fillId="0" borderId="3" xfId="2" applyFont="1" applyBorder="1" applyAlignment="1"/>
    <xf numFmtId="0" fontId="4" fillId="0" borderId="3" xfId="2" applyFont="1" applyBorder="1" applyAlignment="1">
      <alignment horizontal="right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3" fillId="0" borderId="25" xfId="2" applyFont="1" applyBorder="1" applyAlignment="1">
      <alignment horizontal="left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5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4" fillId="3" borderId="5" xfId="2" applyFont="1" applyFill="1" applyBorder="1" applyAlignment="1">
      <alignment horizontal="left"/>
    </xf>
    <xf numFmtId="0" fontId="5" fillId="0" borderId="8" xfId="2" applyFont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left" vertical="center" wrapText="1"/>
    </xf>
    <xf numFmtId="0" fontId="5" fillId="0" borderId="3" xfId="2" applyFont="1" applyBorder="1" applyAlignment="1">
      <alignment horizontal="left"/>
    </xf>
    <xf numFmtId="3" fontId="4" fillId="0" borderId="0" xfId="2" applyNumberFormat="1" applyFont="1" applyFill="1" applyAlignment="1">
      <alignment horizontal="center" vertical="center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36" xfId="2" applyFont="1" applyBorder="1" applyAlignment="1"/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37" xfId="0" applyFont="1" applyBorder="1"/>
    <xf numFmtId="0" fontId="3" fillId="0" borderId="38" xfId="0" applyFont="1" applyFill="1" applyBorder="1"/>
    <xf numFmtId="3" fontId="3" fillId="0" borderId="4" xfId="2" applyNumberFormat="1" applyFont="1" applyFill="1" applyBorder="1"/>
    <xf numFmtId="3" fontId="4" fillId="0" borderId="4" xfId="2" applyNumberFormat="1" applyFont="1" applyFill="1" applyBorder="1"/>
    <xf numFmtId="3" fontId="4" fillId="0" borderId="14" xfId="2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vertical="center" wrapText="1"/>
    </xf>
    <xf numFmtId="3" fontId="3" fillId="0" borderId="8" xfId="2" applyNumberFormat="1" applyFont="1" applyFill="1" applyBorder="1"/>
    <xf numFmtId="3" fontId="4" fillId="0" borderId="8" xfId="2" applyNumberFormat="1" applyFont="1" applyFill="1" applyBorder="1"/>
    <xf numFmtId="3" fontId="4" fillId="0" borderId="8" xfId="2" applyNumberFormat="1" applyFont="1" applyFill="1" applyBorder="1" applyAlignment="1">
      <alignment horizontal="right"/>
    </xf>
    <xf numFmtId="0" fontId="3" fillId="0" borderId="18" xfId="0" applyFont="1" applyFill="1" applyBorder="1"/>
    <xf numFmtId="0" fontId="3" fillId="0" borderId="17" xfId="0" applyFont="1" applyFill="1" applyBorder="1"/>
    <xf numFmtId="0" fontId="5" fillId="0" borderId="39" xfId="2" applyFont="1" applyBorder="1" applyAlignment="1"/>
    <xf numFmtId="0" fontId="5" fillId="0" borderId="18" xfId="2" applyFont="1" applyBorder="1" applyAlignment="1"/>
    <xf numFmtId="0" fontId="5" fillId="0" borderId="40" xfId="2" applyFont="1" applyFill="1" applyBorder="1" applyAlignment="1"/>
    <xf numFmtId="0" fontId="5" fillId="0" borderId="18" xfId="2" applyFont="1" applyFill="1" applyBorder="1" applyAlignment="1"/>
    <xf numFmtId="0" fontId="5" fillId="0" borderId="17" xfId="2" applyFont="1" applyFill="1" applyBorder="1" applyAlignment="1"/>
    <xf numFmtId="0" fontId="4" fillId="0" borderId="34" xfId="2" applyFont="1" applyBorder="1" applyAlignment="1">
      <alignment horizontal="left"/>
    </xf>
    <xf numFmtId="3" fontId="4" fillId="0" borderId="34" xfId="2" applyNumberFormat="1" applyFont="1" applyFill="1" applyBorder="1"/>
    <xf numFmtId="3" fontId="4" fillId="0" borderId="19" xfId="2" applyNumberFormat="1" applyFont="1" applyFill="1" applyBorder="1"/>
    <xf numFmtId="3" fontId="4" fillId="0" borderId="20" xfId="2" applyNumberFormat="1" applyFont="1" applyFill="1" applyBorder="1" applyAlignment="1">
      <alignment horizontal="right"/>
    </xf>
    <xf numFmtId="0" fontId="3" fillId="0" borderId="14" xfId="0" applyFont="1" applyFill="1" applyBorder="1" applyAlignment="1" applyProtection="1">
      <alignment vertical="center" wrapText="1"/>
    </xf>
    <xf numFmtId="3" fontId="4" fillId="0" borderId="20" xfId="0" applyNumberFormat="1" applyFont="1" applyFill="1" applyBorder="1" applyAlignment="1">
      <alignment vertical="center" wrapText="1"/>
    </xf>
    <xf numFmtId="3" fontId="3" fillId="0" borderId="8" xfId="2" applyNumberFormat="1" applyFont="1" applyBorder="1" applyAlignment="1"/>
    <xf numFmtId="3" fontId="3" fillId="0" borderId="8" xfId="2" applyNumberFormat="1" applyFont="1" applyBorder="1"/>
    <xf numFmtId="3" fontId="4" fillId="0" borderId="8" xfId="2" applyNumberFormat="1" applyFont="1" applyBorder="1" applyAlignment="1"/>
    <xf numFmtId="3" fontId="3" fillId="0" borderId="21" xfId="0" applyNumberFormat="1" applyFont="1" applyFill="1" applyBorder="1" applyAlignment="1">
      <alignment vertical="center" wrapText="1"/>
    </xf>
    <xf numFmtId="3" fontId="3" fillId="0" borderId="41" xfId="0" applyNumberFormat="1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3" fontId="3" fillId="0" borderId="19" xfId="2" applyNumberFormat="1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3" fontId="4" fillId="0" borderId="20" xfId="2" applyNumberFormat="1" applyFont="1" applyBorder="1" applyAlignment="1">
      <alignment horizontal="right"/>
    </xf>
    <xf numFmtId="3" fontId="4" fillId="0" borderId="20" xfId="0" applyNumberFormat="1" applyFont="1" applyFill="1" applyBorder="1" applyAlignment="1">
      <alignment horizontal="right" vertical="center" wrapText="1"/>
    </xf>
    <xf numFmtId="175" fontId="3" fillId="0" borderId="7" xfId="2" applyNumberFormat="1" applyFont="1" applyFill="1" applyBorder="1"/>
    <xf numFmtId="175" fontId="4" fillId="0" borderId="7" xfId="2" applyNumberFormat="1" applyFont="1" applyFill="1" applyBorder="1"/>
    <xf numFmtId="175" fontId="4" fillId="0" borderId="2" xfId="2" applyNumberFormat="1" applyFont="1" applyFill="1" applyBorder="1" applyAlignment="1">
      <alignment horizontal="right"/>
    </xf>
    <xf numFmtId="175" fontId="4" fillId="0" borderId="2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3" fillId="0" borderId="5" xfId="2" applyNumberFormat="1" applyFont="1" applyFill="1" applyBorder="1" applyAlignment="1">
      <alignment horizontal="right"/>
    </xf>
    <xf numFmtId="3" fontId="3" fillId="0" borderId="8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3" fillId="0" borderId="35" xfId="2" applyNumberFormat="1" applyFont="1" applyFill="1" applyBorder="1" applyAlignment="1">
      <alignment horizontal="right"/>
    </xf>
    <xf numFmtId="3" fontId="3" fillId="0" borderId="19" xfId="2" applyNumberFormat="1" applyFont="1" applyFill="1" applyBorder="1" applyAlignment="1">
      <alignment horizontal="right"/>
    </xf>
    <xf numFmtId="3" fontId="4" fillId="0" borderId="27" xfId="2" applyNumberFormat="1" applyFont="1" applyFill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3" fontId="3" fillId="0" borderId="42" xfId="2" applyNumberFormat="1" applyFont="1" applyBorder="1" applyAlignment="1">
      <alignment horizontal="right"/>
    </xf>
    <xf numFmtId="3" fontId="4" fillId="0" borderId="42" xfId="2" applyNumberFormat="1" applyFont="1" applyFill="1" applyBorder="1" applyAlignment="1">
      <alignment horizontal="right"/>
    </xf>
    <xf numFmtId="175" fontId="4" fillId="0" borderId="7" xfId="0" applyNumberFormat="1" applyFont="1" applyFill="1" applyBorder="1"/>
    <xf numFmtId="175" fontId="3" fillId="0" borderId="7" xfId="0" applyNumberFormat="1" applyFont="1" applyFill="1" applyBorder="1"/>
    <xf numFmtId="175" fontId="4" fillId="0" borderId="2" xfId="2" applyNumberFormat="1" applyFont="1" applyFill="1" applyBorder="1"/>
    <xf numFmtId="0" fontId="3" fillId="0" borderId="0" xfId="2" applyFont="1" applyFill="1" applyAlignment="1">
      <alignment horizontal="center" vertical="center"/>
    </xf>
    <xf numFmtId="0" fontId="3" fillId="0" borderId="26" xfId="2" applyFont="1" applyFill="1" applyBorder="1" applyAlignment="1">
      <alignment horizontal="left"/>
    </xf>
    <xf numFmtId="49" fontId="3" fillId="0" borderId="6" xfId="2" applyNumberFormat="1" applyFont="1" applyBorder="1" applyAlignment="1">
      <alignment horizontal="right"/>
    </xf>
    <xf numFmtId="0" fontId="4" fillId="0" borderId="6" xfId="2" applyFont="1" applyBorder="1" applyAlignment="1">
      <alignment horizontal="left"/>
    </xf>
    <xf numFmtId="49" fontId="4" fillId="0" borderId="6" xfId="2" applyNumberFormat="1" applyFont="1" applyFill="1" applyBorder="1" applyAlignment="1">
      <alignment horizontal="right"/>
    </xf>
    <xf numFmtId="49" fontId="3" fillId="0" borderId="5" xfId="2" applyNumberFormat="1" applyFont="1" applyBorder="1" applyAlignment="1"/>
    <xf numFmtId="0" fontId="3" fillId="0" borderId="6" xfId="2" applyFont="1" applyFill="1" applyBorder="1" applyAlignment="1">
      <alignment horizontal="right"/>
    </xf>
    <xf numFmtId="0" fontId="4" fillId="0" borderId="6" xfId="2" applyFont="1" applyFill="1" applyBorder="1" applyAlignment="1">
      <alignment horizontal="right"/>
    </xf>
    <xf numFmtId="49" fontId="3" fillId="0" borderId="43" xfId="2" applyNumberFormat="1" applyFont="1" applyFill="1" applyBorder="1" applyAlignment="1">
      <alignment horizontal="right"/>
    </xf>
    <xf numFmtId="0" fontId="3" fillId="0" borderId="23" xfId="2" applyFont="1" applyBorder="1" applyAlignment="1">
      <alignment horizontal="left"/>
    </xf>
    <xf numFmtId="3" fontId="3" fillId="0" borderId="37" xfId="2" applyNumberFormat="1" applyFont="1" applyFill="1" applyBorder="1" applyAlignment="1">
      <alignment horizontal="center" vertical="center"/>
    </xf>
    <xf numFmtId="3" fontId="3" fillId="0" borderId="21" xfId="2" applyNumberFormat="1" applyFont="1" applyFill="1" applyBorder="1" applyAlignment="1">
      <alignment horizontal="center" vertical="center"/>
    </xf>
    <xf numFmtId="3" fontId="3" fillId="0" borderId="18" xfId="2" applyNumberFormat="1" applyFont="1" applyFill="1" applyBorder="1" applyAlignment="1">
      <alignment horizontal="center" vertical="center"/>
    </xf>
    <xf numFmtId="49" fontId="3" fillId="0" borderId="21" xfId="2" applyNumberFormat="1" applyFont="1" applyFill="1" applyBorder="1" applyAlignment="1">
      <alignment horizontal="center" vertical="center"/>
    </xf>
    <xf numFmtId="0" fontId="3" fillId="0" borderId="30" xfId="2" applyFont="1" applyBorder="1"/>
    <xf numFmtId="49" fontId="3" fillId="0" borderId="44" xfId="2" applyNumberFormat="1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center"/>
    </xf>
    <xf numFmtId="0" fontId="3" fillId="0" borderId="21" xfId="0" applyFont="1" applyBorder="1"/>
    <xf numFmtId="49" fontId="3" fillId="0" borderId="19" xfId="2" applyNumberFormat="1" applyFont="1" applyBorder="1" applyAlignment="1"/>
    <xf numFmtId="3" fontId="3" fillId="0" borderId="20" xfId="2" applyNumberFormat="1" applyFont="1" applyFill="1" applyBorder="1" applyAlignment="1"/>
    <xf numFmtId="3" fontId="3" fillId="0" borderId="18" xfId="2" applyNumberFormat="1" applyFont="1" applyFill="1" applyBorder="1" applyAlignment="1">
      <alignment horizontal="right"/>
    </xf>
    <xf numFmtId="3" fontId="7" fillId="0" borderId="21" xfId="2" applyNumberFormat="1" applyFont="1" applyFill="1" applyBorder="1" applyAlignment="1">
      <alignment horizontal="right"/>
    </xf>
    <xf numFmtId="3" fontId="7" fillId="0" borderId="8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3" fontId="3" fillId="0" borderId="20" xfId="2" applyNumberFormat="1" applyFont="1" applyFill="1" applyBorder="1" applyAlignment="1">
      <alignment horizontal="right"/>
    </xf>
    <xf numFmtId="3" fontId="3" fillId="0" borderId="24" xfId="2" applyNumberFormat="1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3" fillId="0" borderId="42" xfId="2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/>
    </xf>
    <xf numFmtId="3" fontId="4" fillId="0" borderId="18" xfId="2" applyNumberFormat="1" applyFont="1" applyFill="1" applyBorder="1" applyAlignment="1">
      <alignment horizontal="right" wrapText="1"/>
    </xf>
    <xf numFmtId="3" fontId="4" fillId="0" borderId="8" xfId="1" applyNumberFormat="1" applyFont="1" applyFill="1" applyBorder="1" applyAlignment="1" applyProtection="1">
      <alignment horizontal="right" vertical="center" wrapText="1"/>
    </xf>
    <xf numFmtId="3" fontId="4" fillId="0" borderId="21" xfId="2" applyNumberFormat="1" applyFont="1" applyFill="1" applyBorder="1" applyAlignment="1">
      <alignment horizontal="right" wrapText="1"/>
    </xf>
    <xf numFmtId="3" fontId="4" fillId="0" borderId="8" xfId="2" applyNumberFormat="1" applyFont="1" applyFill="1" applyBorder="1" applyAlignment="1">
      <alignment horizontal="right" wrapText="1"/>
    </xf>
    <xf numFmtId="3" fontId="4" fillId="0" borderId="18" xfId="2" applyNumberFormat="1" applyFont="1" applyFill="1" applyBorder="1" applyAlignment="1">
      <alignment horizontal="right"/>
    </xf>
    <xf numFmtId="3" fontId="4" fillId="0" borderId="21" xfId="2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3" fontId="5" fillId="0" borderId="18" xfId="2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 applyProtection="1">
      <alignment horizontal="right" vertical="center" wrapText="1"/>
    </xf>
    <xf numFmtId="3" fontId="3" fillId="0" borderId="8" xfId="0" applyNumberFormat="1" applyFont="1" applyBorder="1" applyAlignment="1">
      <alignment horizontal="right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/>
    </xf>
    <xf numFmtId="3" fontId="4" fillId="0" borderId="19" xfId="1" applyNumberFormat="1" applyFont="1" applyFill="1" applyBorder="1" applyAlignment="1" applyProtection="1">
      <alignment horizontal="right" vertical="center" wrapText="1"/>
    </xf>
    <xf numFmtId="3" fontId="3" fillId="0" borderId="8" xfId="0" applyNumberFormat="1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2" applyNumberFormat="1" applyFont="1" applyFill="1" applyBorder="1" applyAlignment="1">
      <alignment horizontal="right" wrapText="1"/>
    </xf>
    <xf numFmtId="175" fontId="3" fillId="0" borderId="8" xfId="2" applyNumberFormat="1" applyFont="1" applyFill="1" applyBorder="1" applyAlignment="1"/>
    <xf numFmtId="175" fontId="4" fillId="0" borderId="20" xfId="2" applyNumberFormat="1" applyFont="1" applyFill="1" applyBorder="1" applyAlignment="1"/>
    <xf numFmtId="175" fontId="3" fillId="0" borderId="19" xfId="2" applyNumberFormat="1" applyFont="1" applyFill="1" applyBorder="1" applyAlignment="1"/>
    <xf numFmtId="175" fontId="3" fillId="0" borderId="22" xfId="2" applyNumberFormat="1" applyFont="1" applyFill="1" applyBorder="1"/>
    <xf numFmtId="49" fontId="3" fillId="0" borderId="4" xfId="1" applyNumberFormat="1" applyFont="1" applyFill="1" applyBorder="1" applyAlignment="1" applyProtection="1">
      <alignment horizontal="right" vertical="center" wrapText="1"/>
    </xf>
    <xf numFmtId="175" fontId="3" fillId="0" borderId="21" xfId="2" applyNumberFormat="1" applyFont="1" applyFill="1" applyBorder="1" applyAlignment="1"/>
    <xf numFmtId="0" fontId="3" fillId="0" borderId="36" xfId="2" applyFont="1" applyFill="1" applyBorder="1"/>
    <xf numFmtId="0" fontId="3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5" fillId="0" borderId="11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49" fontId="5" fillId="0" borderId="11" xfId="2" applyNumberFormat="1" applyFont="1" applyFill="1" applyBorder="1" applyAlignment="1">
      <alignment horizontal="left"/>
    </xf>
    <xf numFmtId="49" fontId="5" fillId="0" borderId="5" xfId="2" applyNumberFormat="1" applyFont="1" applyFill="1" applyBorder="1" applyAlignment="1">
      <alignment horizontal="left"/>
    </xf>
    <xf numFmtId="49" fontId="5" fillId="0" borderId="11" xfId="2" applyNumberFormat="1" applyFont="1" applyBorder="1" applyAlignment="1">
      <alignment horizontal="left"/>
    </xf>
    <xf numFmtId="49" fontId="5" fillId="0" borderId="5" xfId="2" applyNumberFormat="1" applyFont="1" applyBorder="1" applyAlignment="1">
      <alignment horizontal="left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3" fillId="0" borderId="35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right"/>
    </xf>
    <xf numFmtId="3" fontId="4" fillId="0" borderId="0" xfId="2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right" vertical="center"/>
    </xf>
    <xf numFmtId="0" fontId="3" fillId="0" borderId="4" xfId="2" applyFont="1" applyBorder="1" applyAlignment="1">
      <alignment horizontal="left" wrapText="1"/>
    </xf>
    <xf numFmtId="0" fontId="3" fillId="0" borderId="5" xfId="2" applyFont="1" applyBorder="1" applyAlignment="1">
      <alignment horizontal="left" wrapText="1"/>
    </xf>
    <xf numFmtId="0" fontId="3" fillId="0" borderId="6" xfId="2" applyFont="1" applyBorder="1" applyAlignment="1">
      <alignment horizontal="left" wrapText="1"/>
    </xf>
    <xf numFmtId="0" fontId="4" fillId="2" borderId="4" xfId="2" applyFont="1" applyFill="1" applyBorder="1" applyAlignment="1">
      <alignment horizontal="left" wrapText="1"/>
    </xf>
    <xf numFmtId="0" fontId="4" fillId="2" borderId="5" xfId="2" applyFont="1" applyFill="1" applyBorder="1" applyAlignment="1">
      <alignment horizontal="left" wrapText="1"/>
    </xf>
    <xf numFmtId="0" fontId="5" fillId="0" borderId="4" xfId="2" applyFont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0" fontId="5" fillId="3" borderId="5" xfId="2" applyFont="1" applyFill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4" fillId="3" borderId="5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3" fillId="0" borderId="8" xfId="2" applyFont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49" fontId="4" fillId="0" borderId="5" xfId="2" applyNumberFormat="1" applyFont="1" applyFill="1" applyBorder="1" applyAlignment="1">
      <alignment horizontal="left"/>
    </xf>
    <xf numFmtId="0" fontId="5" fillId="0" borderId="6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left" vertical="center" wrapText="1"/>
    </xf>
    <xf numFmtId="0" fontId="3" fillId="0" borderId="34" xfId="1" applyFont="1" applyFill="1" applyBorder="1" applyAlignment="1" applyProtection="1">
      <alignment horizontal="left" vertical="center" wrapText="1"/>
    </xf>
    <xf numFmtId="0" fontId="3" fillId="0" borderId="33" xfId="1" applyFont="1" applyFill="1" applyBorder="1" applyAlignment="1" applyProtection="1">
      <alignment horizontal="left" vertical="center" wrapText="1"/>
    </xf>
    <xf numFmtId="0" fontId="5" fillId="0" borderId="3" xfId="2" applyFont="1" applyBorder="1" applyAlignment="1">
      <alignment horizontal="left"/>
    </xf>
    <xf numFmtId="0" fontId="4" fillId="0" borderId="49" xfId="2" applyFont="1" applyBorder="1" applyAlignment="1">
      <alignment horizontal="left"/>
    </xf>
    <xf numFmtId="0" fontId="4" fillId="0" borderId="20" xfId="2" applyFont="1" applyBorder="1" applyAlignment="1">
      <alignment horizontal="left"/>
    </xf>
    <xf numFmtId="0" fontId="4" fillId="0" borderId="14" xfId="2" applyFont="1" applyBorder="1" applyAlignment="1">
      <alignment horizontal="left"/>
    </xf>
    <xf numFmtId="0" fontId="4" fillId="3" borderId="4" xfId="2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left" wrapText="1"/>
    </xf>
    <xf numFmtId="0" fontId="4" fillId="2" borderId="40" xfId="2" applyFont="1" applyFill="1" applyBorder="1" applyAlignment="1">
      <alignment horizontal="left" wrapText="1"/>
    </xf>
    <xf numFmtId="0" fontId="4" fillId="2" borderId="36" xfId="2" applyFont="1" applyFill="1" applyBorder="1" applyAlignment="1">
      <alignment horizontal="left" wrapText="1"/>
    </xf>
    <xf numFmtId="0" fontId="3" fillId="0" borderId="50" xfId="2" applyFont="1" applyBorder="1" applyAlignment="1">
      <alignment horizontal="left"/>
    </xf>
    <xf numFmtId="0" fontId="3" fillId="0" borderId="38" xfId="2" applyFont="1" applyBorder="1" applyAlignment="1">
      <alignment horizontal="left"/>
    </xf>
    <xf numFmtId="0" fontId="3" fillId="0" borderId="36" xfId="2" applyFont="1" applyBorder="1" applyAlignment="1">
      <alignment horizontal="left"/>
    </xf>
    <xf numFmtId="0" fontId="3" fillId="0" borderId="39" xfId="2" applyFont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5" fillId="2" borderId="8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27" xfId="2" applyFont="1" applyBorder="1" applyAlignment="1">
      <alignment horizontal="left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5" fillId="4" borderId="45" xfId="2" applyFont="1" applyFill="1" applyBorder="1" applyAlignment="1">
      <alignment horizontal="left"/>
    </xf>
    <xf numFmtId="0" fontId="5" fillId="4" borderId="18" xfId="2" applyFont="1" applyFill="1" applyBorder="1" applyAlignment="1">
      <alignment horizontal="left"/>
    </xf>
    <xf numFmtId="0" fontId="5" fillId="4" borderId="40" xfId="2" applyFont="1" applyFill="1" applyBorder="1" applyAlignment="1">
      <alignment horizontal="left"/>
    </xf>
    <xf numFmtId="0" fontId="5" fillId="4" borderId="36" xfId="2" applyFont="1" applyFill="1" applyBorder="1" applyAlignment="1">
      <alignment horizontal="left"/>
    </xf>
    <xf numFmtId="0" fontId="5" fillId="3" borderId="3" xfId="2" applyFont="1" applyFill="1" applyBorder="1" applyAlignment="1">
      <alignment horizontal="left"/>
    </xf>
    <xf numFmtId="0" fontId="5" fillId="3" borderId="8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Normál" xfId="0" builtinId="0"/>
    <cellStyle name="Normál_KVRENMUNKA" xfId="1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49"/>
  <sheetViews>
    <sheetView tabSelected="1" zoomScale="130" zoomScaleNormal="130" workbookViewId="0">
      <selection activeCell="H7" sqref="H7"/>
    </sheetView>
  </sheetViews>
  <sheetFormatPr defaultRowHeight="15" customHeight="1" x14ac:dyDescent="0.2"/>
  <cols>
    <col min="1" max="1" width="13.85546875" style="1" customWidth="1"/>
    <col min="2" max="2" width="58" style="2" customWidth="1"/>
    <col min="3" max="3" width="11.28515625" style="2" customWidth="1"/>
    <col min="4" max="4" width="11.42578125" style="2" customWidth="1"/>
    <col min="5" max="5" width="12.5703125" style="2" customWidth="1"/>
    <col min="6" max="6" width="10.140625" style="2" customWidth="1"/>
    <col min="7" max="16384" width="9.140625" style="2"/>
  </cols>
  <sheetData>
    <row r="1" spans="1:7" ht="15" customHeight="1" x14ac:dyDescent="0.2">
      <c r="C1" s="266" t="s">
        <v>134</v>
      </c>
      <c r="D1" s="266"/>
      <c r="E1" s="266"/>
      <c r="F1" s="266"/>
    </row>
    <row r="3" spans="1:7" ht="30.75" customHeight="1" x14ac:dyDescent="0.2">
      <c r="A3" s="267" t="s">
        <v>121</v>
      </c>
      <c r="B3" s="267"/>
      <c r="C3" s="267"/>
      <c r="D3" s="267"/>
      <c r="E3" s="267"/>
      <c r="F3" s="267"/>
    </row>
    <row r="5" spans="1:7" ht="15" customHeight="1" thickBot="1" x14ac:dyDescent="0.3">
      <c r="C5" s="3"/>
      <c r="D5" s="268" t="s">
        <v>30</v>
      </c>
      <c r="E5" s="268"/>
      <c r="F5" s="268"/>
    </row>
    <row r="6" spans="1:7" s="5" customFormat="1" ht="47.25" customHeight="1" thickBot="1" x14ac:dyDescent="0.25">
      <c r="A6" s="4" t="s">
        <v>16</v>
      </c>
      <c r="B6" s="138" t="s">
        <v>75</v>
      </c>
      <c r="C6" s="276" t="s">
        <v>125</v>
      </c>
      <c r="D6" s="274" t="s">
        <v>124</v>
      </c>
      <c r="E6" s="284" t="s">
        <v>126</v>
      </c>
      <c r="F6" s="286" t="s">
        <v>127</v>
      </c>
    </row>
    <row r="7" spans="1:7" ht="32.25" customHeight="1" thickBot="1" x14ac:dyDescent="0.25">
      <c r="A7" s="136" t="s">
        <v>17</v>
      </c>
      <c r="B7" s="135" t="s">
        <v>18</v>
      </c>
      <c r="C7" s="277"/>
      <c r="D7" s="275"/>
      <c r="E7" s="285"/>
      <c r="F7" s="287"/>
    </row>
    <row r="8" spans="1:7" s="7" customFormat="1" ht="15" customHeight="1" thickBot="1" x14ac:dyDescent="0.25">
      <c r="A8" s="136">
        <v>1</v>
      </c>
      <c r="B8" s="135">
        <v>2</v>
      </c>
      <c r="C8" s="159">
        <v>3</v>
      </c>
      <c r="D8" s="135">
        <v>4</v>
      </c>
      <c r="E8" s="159">
        <v>5</v>
      </c>
      <c r="F8" s="6">
        <v>6</v>
      </c>
    </row>
    <row r="9" spans="1:7" s="7" customFormat="1" ht="15" customHeight="1" thickBot="1" x14ac:dyDescent="0.25">
      <c r="A9" s="269" t="s">
        <v>19</v>
      </c>
      <c r="B9" s="270"/>
      <c r="C9" s="270"/>
      <c r="D9" s="270"/>
      <c r="E9" s="270"/>
      <c r="F9" s="271"/>
    </row>
    <row r="10" spans="1:7" ht="15" customHeight="1" x14ac:dyDescent="0.25">
      <c r="A10" s="272" t="s">
        <v>53</v>
      </c>
      <c r="B10" s="273"/>
      <c r="C10" s="160"/>
      <c r="D10" s="161"/>
      <c r="E10" s="169"/>
      <c r="F10" s="170"/>
    </row>
    <row r="11" spans="1:7" ht="15" customHeight="1" x14ac:dyDescent="0.25">
      <c r="A11" s="278" t="s">
        <v>94</v>
      </c>
      <c r="B11" s="279"/>
      <c r="C11" s="204">
        <f>SUM(C12)</f>
        <v>6455</v>
      </c>
      <c r="D11" s="196">
        <f>SUM(D12)</f>
        <v>6455</v>
      </c>
      <c r="E11" s="197">
        <f>SUM(E12)</f>
        <v>7</v>
      </c>
      <c r="F11" s="209">
        <f>E11/D11*100</f>
        <v>0.10844306738962044</v>
      </c>
    </row>
    <row r="12" spans="1:7" ht="15" customHeight="1" x14ac:dyDescent="0.25">
      <c r="A12" s="9" t="s">
        <v>80</v>
      </c>
      <c r="B12" s="10" t="s">
        <v>81</v>
      </c>
      <c r="C12" s="205">
        <v>6455</v>
      </c>
      <c r="D12" s="198">
        <f>6300+155</f>
        <v>6455</v>
      </c>
      <c r="E12" s="199">
        <v>7</v>
      </c>
      <c r="F12" s="210">
        <f>E12/D12*100</f>
        <v>0.10844306738962044</v>
      </c>
    </row>
    <row r="13" spans="1:7" ht="15" customHeight="1" x14ac:dyDescent="0.25">
      <c r="A13" s="9"/>
      <c r="B13" s="10" t="s">
        <v>114</v>
      </c>
      <c r="C13" s="205">
        <v>155</v>
      </c>
      <c r="D13" s="198">
        <f>155</f>
        <v>155</v>
      </c>
      <c r="E13" s="199">
        <v>0</v>
      </c>
      <c r="F13" s="210"/>
    </row>
    <row r="14" spans="1:7" ht="15" customHeight="1" x14ac:dyDescent="0.25">
      <c r="A14" s="133" t="s">
        <v>106</v>
      </c>
      <c r="B14" s="15"/>
      <c r="C14" s="204">
        <v>1452</v>
      </c>
      <c r="D14" s="200">
        <f>1452-1452</f>
        <v>0</v>
      </c>
      <c r="E14" s="168">
        <v>0</v>
      </c>
      <c r="F14" s="210"/>
    </row>
    <row r="15" spans="1:7" ht="15" customHeight="1" x14ac:dyDescent="0.25">
      <c r="A15" s="9" t="s">
        <v>107</v>
      </c>
      <c r="B15" s="140" t="s">
        <v>108</v>
      </c>
      <c r="C15" s="205">
        <v>1452</v>
      </c>
      <c r="D15" s="198">
        <f>1452-1452</f>
        <v>0</v>
      </c>
      <c r="E15" s="199">
        <v>0</v>
      </c>
      <c r="F15" s="210"/>
      <c r="G15" s="18"/>
    </row>
    <row r="16" spans="1:7" ht="15" customHeight="1" x14ac:dyDescent="0.25">
      <c r="A16" s="29"/>
      <c r="B16" s="10" t="s">
        <v>114</v>
      </c>
      <c r="C16" s="205">
        <v>1452</v>
      </c>
      <c r="D16" s="198">
        <f>1452-1452</f>
        <v>0</v>
      </c>
      <c r="E16" s="199">
        <v>0</v>
      </c>
      <c r="F16" s="210"/>
    </row>
    <row r="17" spans="1:8" ht="15" customHeight="1" x14ac:dyDescent="0.25">
      <c r="A17" s="278" t="s">
        <v>93</v>
      </c>
      <c r="B17" s="279"/>
      <c r="C17" s="204">
        <f>SUM(C18:C23)</f>
        <v>18159</v>
      </c>
      <c r="D17" s="200">
        <f>SUM(D18:D23)</f>
        <v>18159</v>
      </c>
      <c r="E17" s="168">
        <f>SUM(E18:E24)</f>
        <v>5060</v>
      </c>
      <c r="F17" s="209">
        <f>E17/D17*100</f>
        <v>27.864970538025226</v>
      </c>
    </row>
    <row r="18" spans="1:8" ht="15" customHeight="1" x14ac:dyDescent="0.25">
      <c r="A18" s="19" t="s">
        <v>87</v>
      </c>
      <c r="B18" s="143" t="s">
        <v>76</v>
      </c>
      <c r="C18" s="205">
        <v>200</v>
      </c>
      <c r="D18" s="198">
        <v>200</v>
      </c>
      <c r="E18" s="199">
        <v>0</v>
      </c>
      <c r="F18" s="210"/>
    </row>
    <row r="19" spans="1:8" ht="15" customHeight="1" x14ac:dyDescent="0.25">
      <c r="A19" s="9" t="s">
        <v>88</v>
      </c>
      <c r="B19" s="140" t="s">
        <v>20</v>
      </c>
      <c r="C19" s="205">
        <v>14329</v>
      </c>
      <c r="D19" s="198">
        <v>14329</v>
      </c>
      <c r="E19" s="199">
        <v>4164</v>
      </c>
      <c r="F19" s="210">
        <f>E19/D19*100</f>
        <v>29.059948356479865</v>
      </c>
    </row>
    <row r="20" spans="1:8" ht="15" customHeight="1" x14ac:dyDescent="0.25">
      <c r="A20" s="9" t="s">
        <v>105</v>
      </c>
      <c r="B20" s="140" t="s">
        <v>104</v>
      </c>
      <c r="C20" s="205">
        <v>0</v>
      </c>
      <c r="D20" s="198">
        <v>0</v>
      </c>
      <c r="E20" s="199">
        <v>0</v>
      </c>
      <c r="F20" s="210"/>
    </row>
    <row r="21" spans="1:8" ht="15" customHeight="1" x14ac:dyDescent="0.25">
      <c r="A21" s="9" t="s">
        <v>91</v>
      </c>
      <c r="B21" s="10" t="s">
        <v>21</v>
      </c>
      <c r="C21" s="205">
        <v>2368</v>
      </c>
      <c r="D21" s="198">
        <v>2368</v>
      </c>
      <c r="E21" s="199">
        <v>492</v>
      </c>
      <c r="F21" s="210">
        <f>E21/D21*100</f>
        <v>20.777027027027025</v>
      </c>
    </row>
    <row r="22" spans="1:8" ht="15" customHeight="1" x14ac:dyDescent="0.25">
      <c r="A22" s="9" t="s">
        <v>92</v>
      </c>
      <c r="B22" s="141" t="s">
        <v>22</v>
      </c>
      <c r="C22" s="205">
        <v>1242</v>
      </c>
      <c r="D22" s="198">
        <v>1242</v>
      </c>
      <c r="E22" s="199">
        <v>379</v>
      </c>
      <c r="F22" s="210">
        <f>E22/D22*100</f>
        <v>30.515297906602257</v>
      </c>
    </row>
    <row r="23" spans="1:8" ht="15" customHeight="1" x14ac:dyDescent="0.25">
      <c r="A23" s="9" t="s">
        <v>116</v>
      </c>
      <c r="B23" s="10" t="s">
        <v>115</v>
      </c>
      <c r="C23" s="205">
        <v>20</v>
      </c>
      <c r="D23" s="198">
        <v>20</v>
      </c>
      <c r="E23" s="199">
        <v>0</v>
      </c>
      <c r="F23" s="210"/>
    </row>
    <row r="24" spans="1:8" ht="15" customHeight="1" x14ac:dyDescent="0.25">
      <c r="A24" s="9" t="s">
        <v>77</v>
      </c>
      <c r="B24" s="10" t="s">
        <v>78</v>
      </c>
      <c r="C24" s="205">
        <v>0</v>
      </c>
      <c r="D24" s="198">
        <v>0</v>
      </c>
      <c r="E24" s="199">
        <v>25</v>
      </c>
      <c r="F24" s="210"/>
    </row>
    <row r="25" spans="1:8" ht="15" customHeight="1" x14ac:dyDescent="0.25">
      <c r="A25" s="134" t="s">
        <v>110</v>
      </c>
      <c r="B25" s="142" t="s">
        <v>111</v>
      </c>
      <c r="C25" s="205">
        <v>0</v>
      </c>
      <c r="D25" s="198">
        <f>SUM(D26)</f>
        <v>0</v>
      </c>
      <c r="E25" s="199"/>
      <c r="F25" s="210"/>
    </row>
    <row r="26" spans="1:8" ht="15" customHeight="1" x14ac:dyDescent="0.25">
      <c r="A26" s="19" t="s">
        <v>112</v>
      </c>
      <c r="B26" s="143" t="s">
        <v>113</v>
      </c>
      <c r="C26" s="199">
        <v>0</v>
      </c>
      <c r="D26" s="198">
        <v>0</v>
      </c>
      <c r="E26" s="199"/>
      <c r="F26" s="210"/>
    </row>
    <row r="27" spans="1:8" ht="15" customHeight="1" x14ac:dyDescent="0.25">
      <c r="A27" s="282" t="s">
        <v>96</v>
      </c>
      <c r="B27" s="283"/>
      <c r="C27" s="205"/>
      <c r="D27" s="198"/>
      <c r="E27" s="199"/>
      <c r="F27" s="210"/>
    </row>
    <row r="28" spans="1:8" ht="15" customHeight="1" x14ac:dyDescent="0.25">
      <c r="A28" s="9" t="s">
        <v>97</v>
      </c>
      <c r="B28" s="11" t="s">
        <v>99</v>
      </c>
      <c r="C28" s="205">
        <v>0</v>
      </c>
      <c r="D28" s="198">
        <v>0</v>
      </c>
      <c r="E28" s="199"/>
      <c r="F28" s="210"/>
    </row>
    <row r="29" spans="1:8" ht="15" customHeight="1" x14ac:dyDescent="0.25">
      <c r="A29" s="280" t="s">
        <v>50</v>
      </c>
      <c r="B29" s="281"/>
      <c r="C29" s="199"/>
      <c r="D29" s="198"/>
      <c r="E29" s="199"/>
      <c r="F29" s="210"/>
    </row>
    <row r="30" spans="1:8" ht="15" customHeight="1" x14ac:dyDescent="0.25">
      <c r="A30" s="19" t="s">
        <v>52</v>
      </c>
      <c r="B30" s="11" t="s">
        <v>34</v>
      </c>
      <c r="C30" s="205">
        <v>69029</v>
      </c>
      <c r="D30" s="198">
        <f>69029+11+4+4+1583+207</f>
        <v>70838</v>
      </c>
      <c r="E30" s="199">
        <v>65899</v>
      </c>
      <c r="F30" s="210">
        <f>E30/D30*100</f>
        <v>93.02775346565403</v>
      </c>
    </row>
    <row r="31" spans="1:8" ht="15" customHeight="1" thickBot="1" x14ac:dyDescent="0.3">
      <c r="A31" s="22" t="s">
        <v>73</v>
      </c>
      <c r="B31" s="137" t="s">
        <v>68</v>
      </c>
      <c r="C31" s="207">
        <v>4306</v>
      </c>
      <c r="D31" s="201">
        <f>4306-304-1394</f>
        <v>2608</v>
      </c>
      <c r="E31" s="202">
        <v>2608</v>
      </c>
      <c r="F31" s="210">
        <f>E31/D31*100</f>
        <v>100</v>
      </c>
      <c r="H31" s="18"/>
    </row>
    <row r="32" spans="1:8" ht="15" customHeight="1" thickBot="1" x14ac:dyDescent="0.3">
      <c r="A32" s="23" t="s">
        <v>55</v>
      </c>
      <c r="B32" s="24"/>
      <c r="C32" s="208">
        <f>C11+C17+C30+C31+C14</f>
        <v>99401</v>
      </c>
      <c r="D32" s="203">
        <f>D17+D11+D30+D31+D28+D14+D25</f>
        <v>98060</v>
      </c>
      <c r="E32" s="179">
        <f>E11+E17+E30+E31</f>
        <v>73574</v>
      </c>
      <c r="F32" s="211">
        <f>E32/D32*100</f>
        <v>75.029573730369165</v>
      </c>
      <c r="H32" s="18"/>
    </row>
    <row r="33" spans="1:6" ht="15" customHeight="1" thickBot="1" x14ac:dyDescent="0.25">
      <c r="A33" s="269" t="s">
        <v>24</v>
      </c>
      <c r="B33" s="270"/>
      <c r="C33" s="270"/>
      <c r="D33" s="270"/>
      <c r="E33" s="270"/>
      <c r="F33" s="271"/>
    </row>
    <row r="34" spans="1:6" ht="15" customHeight="1" x14ac:dyDescent="0.25">
      <c r="A34" s="171" t="s">
        <v>29</v>
      </c>
      <c r="B34" s="158"/>
      <c r="C34" s="172"/>
      <c r="D34" s="173"/>
      <c r="E34" s="174"/>
      <c r="F34" s="175"/>
    </row>
    <row r="35" spans="1:6" ht="15" customHeight="1" x14ac:dyDescent="0.25">
      <c r="A35" s="9" t="s">
        <v>31</v>
      </c>
      <c r="B35" s="27" t="s">
        <v>40</v>
      </c>
      <c r="C35" s="182">
        <v>44778</v>
      </c>
      <c r="D35" s="162">
        <f>44778+9+184+387+3+3+17</f>
        <v>45381</v>
      </c>
      <c r="E35" s="166">
        <v>42025</v>
      </c>
      <c r="F35" s="192">
        <f>E35/D35*100</f>
        <v>92.604834622419077</v>
      </c>
    </row>
    <row r="36" spans="1:6" ht="15" customHeight="1" x14ac:dyDescent="0.25">
      <c r="A36" s="9" t="s">
        <v>32</v>
      </c>
      <c r="B36" s="10" t="s">
        <v>6</v>
      </c>
      <c r="C36" s="183">
        <v>7400</v>
      </c>
      <c r="D36" s="162">
        <f>7399+2+1+55+1-17</f>
        <v>7441</v>
      </c>
      <c r="E36" s="166">
        <v>6912</v>
      </c>
      <c r="F36" s="192">
        <f t="shared" ref="F36:F42" si="0">E36/D36*100</f>
        <v>92.890740491869366</v>
      </c>
    </row>
    <row r="37" spans="1:6" ht="15" customHeight="1" x14ac:dyDescent="0.25">
      <c r="A37" s="9" t="s">
        <v>33</v>
      </c>
      <c r="B37" s="27" t="s">
        <v>56</v>
      </c>
      <c r="C37" s="182">
        <v>44406</v>
      </c>
      <c r="D37" s="162">
        <f>44407-181-1756+500-1464</f>
        <v>41506</v>
      </c>
      <c r="E37" s="166">
        <v>21648</v>
      </c>
      <c r="F37" s="192">
        <f t="shared" si="0"/>
        <v>52.156314749674749</v>
      </c>
    </row>
    <row r="38" spans="1:6" ht="15" customHeight="1" x14ac:dyDescent="0.25">
      <c r="A38" s="29" t="s">
        <v>109</v>
      </c>
      <c r="B38" s="140" t="s">
        <v>103</v>
      </c>
      <c r="C38" s="182">
        <v>0</v>
      </c>
      <c r="D38" s="162">
        <v>0</v>
      </c>
      <c r="E38" s="166">
        <v>0</v>
      </c>
      <c r="F38" s="192"/>
    </row>
    <row r="39" spans="1:6" ht="15" customHeight="1" x14ac:dyDescent="0.25">
      <c r="A39" s="29"/>
      <c r="B39" s="30" t="s">
        <v>57</v>
      </c>
      <c r="C39" s="184">
        <f>SUM(C35:C38)</f>
        <v>96584</v>
      </c>
      <c r="D39" s="163">
        <f>SUM(D35:D38)</f>
        <v>94328</v>
      </c>
      <c r="E39" s="167">
        <f>SUM(E35:E38)</f>
        <v>70585</v>
      </c>
      <c r="F39" s="193">
        <f t="shared" si="0"/>
        <v>74.829318972097354</v>
      </c>
    </row>
    <row r="40" spans="1:6" ht="15" customHeight="1" x14ac:dyDescent="0.25">
      <c r="A40" s="151" t="s">
        <v>58</v>
      </c>
      <c r="B40" s="31"/>
      <c r="C40" s="185"/>
      <c r="D40" s="186"/>
      <c r="E40" s="187"/>
      <c r="F40" s="192"/>
    </row>
    <row r="41" spans="1:6" ht="15" customHeight="1" x14ac:dyDescent="0.25">
      <c r="A41" s="9" t="s">
        <v>54</v>
      </c>
      <c r="B41" s="27" t="s">
        <v>25</v>
      </c>
      <c r="C41" s="182">
        <v>2817</v>
      </c>
      <c r="D41" s="162">
        <f>2817-438+1080+203+70</f>
        <v>3732</v>
      </c>
      <c r="E41" s="166">
        <v>2479</v>
      </c>
      <c r="F41" s="192">
        <f t="shared" si="0"/>
        <v>66.425509110396575</v>
      </c>
    </row>
    <row r="42" spans="1:6" ht="15" customHeight="1" thickBot="1" x14ac:dyDescent="0.3">
      <c r="A42" s="32"/>
      <c r="B42" s="176" t="s">
        <v>59</v>
      </c>
      <c r="C42" s="189">
        <f>SUM(C41)</f>
        <v>2817</v>
      </c>
      <c r="D42" s="177">
        <f>SUM(D41)</f>
        <v>3732</v>
      </c>
      <c r="E42" s="178">
        <f>SUM(E41)</f>
        <v>2479</v>
      </c>
      <c r="F42" s="193">
        <f t="shared" si="0"/>
        <v>66.425509110396575</v>
      </c>
    </row>
    <row r="43" spans="1:6" ht="15" customHeight="1" thickBot="1" x14ac:dyDescent="0.3">
      <c r="A43" s="33" t="s">
        <v>60</v>
      </c>
      <c r="B43" s="34"/>
      <c r="C43" s="190">
        <f>C39+C41</f>
        <v>99401</v>
      </c>
      <c r="D43" s="164">
        <f>SUM(D42,D39)</f>
        <v>98060</v>
      </c>
      <c r="E43" s="179">
        <f>E39+E41</f>
        <v>73064</v>
      </c>
      <c r="F43" s="194">
        <f>E43/D43*100</f>
        <v>74.509483989394241</v>
      </c>
    </row>
    <row r="44" spans="1:6" ht="15" customHeight="1" thickBot="1" x14ac:dyDescent="0.3">
      <c r="A44" s="35" t="s">
        <v>61</v>
      </c>
      <c r="B44" s="180"/>
      <c r="C44" s="191">
        <f>SUM(C43)</f>
        <v>99401</v>
      </c>
      <c r="D44" s="165">
        <f>SUM(D43)</f>
        <v>98060</v>
      </c>
      <c r="E44" s="181">
        <f>SUM(E43)</f>
        <v>73064</v>
      </c>
      <c r="F44" s="195">
        <f>E44/D44*100</f>
        <v>74.509483989394241</v>
      </c>
    </row>
    <row r="49" spans="5:5" ht="15" customHeight="1" x14ac:dyDescent="0.2">
      <c r="E49" s="18">
        <f>E32-E44</f>
        <v>510</v>
      </c>
    </row>
  </sheetData>
  <mergeCells count="14">
    <mergeCell ref="A17:B17"/>
    <mergeCell ref="A29:B29"/>
    <mergeCell ref="A11:B11"/>
    <mergeCell ref="A27:B27"/>
    <mergeCell ref="A33:F33"/>
    <mergeCell ref="E6:E7"/>
    <mergeCell ref="F6:F7"/>
    <mergeCell ref="C1:F1"/>
    <mergeCell ref="A3:F3"/>
    <mergeCell ref="D5:F5"/>
    <mergeCell ref="A9:F9"/>
    <mergeCell ref="A10:B10"/>
    <mergeCell ref="D6:D7"/>
    <mergeCell ref="C6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rowBreaks count="2" manualBreakCount="2">
    <brk id="50" max="2" man="1"/>
    <brk id="1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W145"/>
  <sheetViews>
    <sheetView topLeftCell="B112" zoomScaleNormal="100" workbookViewId="0">
      <selection activeCell="D146" sqref="D146"/>
    </sheetView>
  </sheetViews>
  <sheetFormatPr defaultRowHeight="15.75" x14ac:dyDescent="0.25"/>
  <cols>
    <col min="1" max="1" width="4.42578125" style="39" customWidth="1"/>
    <col min="2" max="2" width="5.42578125" style="39" customWidth="1"/>
    <col min="3" max="4" width="9.140625" style="39"/>
    <col min="5" max="5" width="37" style="39" customWidth="1"/>
    <col min="6" max="6" width="11.28515625" style="71" customWidth="1"/>
    <col min="7" max="7" width="11.140625" style="132" customWidth="1"/>
    <col min="8" max="8" width="11.28515625" style="132" customWidth="1"/>
    <col min="9" max="9" width="10.140625" style="132" customWidth="1"/>
    <col min="10" max="10" width="6.42578125" style="39" customWidth="1"/>
    <col min="11" max="12" width="9.140625" style="39"/>
    <col min="13" max="13" width="34.28515625" style="39" customWidth="1"/>
    <col min="14" max="14" width="13.140625" style="71" customWidth="1"/>
    <col min="15" max="17" width="11.42578125" style="71" customWidth="1"/>
    <col min="18" max="16384" width="9.140625" style="39"/>
  </cols>
  <sheetData>
    <row r="1" spans="1:23" x14ac:dyDescent="0.25">
      <c r="A1" s="36"/>
      <c r="B1" s="37"/>
      <c r="C1" s="37"/>
      <c r="D1" s="37"/>
      <c r="E1" s="37"/>
      <c r="F1" s="36"/>
      <c r="G1" s="38"/>
      <c r="H1" s="38"/>
      <c r="I1" s="38"/>
      <c r="J1" s="37"/>
      <c r="K1" s="37"/>
      <c r="L1" s="37"/>
      <c r="M1" s="289" t="s">
        <v>74</v>
      </c>
      <c r="N1" s="289"/>
      <c r="O1" s="289"/>
      <c r="P1" s="289"/>
      <c r="Q1" s="289"/>
      <c r="R1" s="37"/>
    </row>
    <row r="2" spans="1:23" x14ac:dyDescent="0.25">
      <c r="A2" s="40"/>
      <c r="B2" s="290" t="s">
        <v>122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37"/>
    </row>
    <row r="3" spans="1:23" x14ac:dyDescent="0.25">
      <c r="A3" s="40"/>
      <c r="B3" s="290" t="s">
        <v>7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37"/>
    </row>
    <row r="4" spans="1:23" x14ac:dyDescent="0.25">
      <c r="A4" s="40"/>
      <c r="B4" s="41"/>
      <c r="C4" s="41"/>
      <c r="D4" s="41"/>
      <c r="E4" s="41"/>
      <c r="F4" s="152"/>
      <c r="G4" s="42"/>
      <c r="H4" s="42"/>
      <c r="I4" s="42"/>
      <c r="J4" s="41"/>
      <c r="K4" s="41"/>
      <c r="L4" s="41"/>
      <c r="M4" s="41"/>
      <c r="N4" s="152"/>
      <c r="O4" s="152"/>
      <c r="P4" s="152"/>
      <c r="Q4" s="152"/>
      <c r="R4" s="37"/>
    </row>
    <row r="5" spans="1:23" ht="16.5" thickBot="1" x14ac:dyDescent="0.3">
      <c r="A5" s="40"/>
      <c r="B5" s="43"/>
      <c r="C5" s="44"/>
      <c r="D5" s="44"/>
      <c r="E5" s="45"/>
      <c r="F5" s="212"/>
      <c r="G5" s="288" t="s">
        <v>0</v>
      </c>
      <c r="H5" s="288"/>
      <c r="I5" s="288"/>
      <c r="J5" s="43"/>
      <c r="K5" s="44"/>
      <c r="L5" s="44"/>
      <c r="M5" s="45"/>
      <c r="N5" s="212"/>
      <c r="O5" s="291" t="s">
        <v>0</v>
      </c>
      <c r="P5" s="291"/>
      <c r="Q5" s="291"/>
      <c r="R5" s="37"/>
    </row>
    <row r="6" spans="1:23" x14ac:dyDescent="0.25">
      <c r="A6" s="326" t="s">
        <v>15</v>
      </c>
      <c r="B6" s="327"/>
      <c r="C6" s="327"/>
      <c r="D6" s="327"/>
      <c r="E6" s="327"/>
      <c r="F6" s="222" t="s">
        <v>128</v>
      </c>
      <c r="G6" s="222" t="s">
        <v>128</v>
      </c>
      <c r="H6" s="222" t="s">
        <v>131</v>
      </c>
      <c r="I6" s="222" t="s">
        <v>131</v>
      </c>
      <c r="J6" s="327" t="s">
        <v>15</v>
      </c>
      <c r="K6" s="327"/>
      <c r="L6" s="327"/>
      <c r="M6" s="327"/>
      <c r="N6" s="222" t="s">
        <v>128</v>
      </c>
      <c r="O6" s="222" t="s">
        <v>128</v>
      </c>
      <c r="P6" s="222" t="s">
        <v>131</v>
      </c>
      <c r="Q6" s="46" t="s">
        <v>131</v>
      </c>
      <c r="R6" s="37"/>
    </row>
    <row r="7" spans="1:23" x14ac:dyDescent="0.25">
      <c r="A7" s="221"/>
      <c r="B7" s="94"/>
      <c r="C7" s="94"/>
      <c r="D7" s="94"/>
      <c r="E7" s="94"/>
      <c r="F7" s="223" t="s">
        <v>130</v>
      </c>
      <c r="G7" s="223" t="s">
        <v>129</v>
      </c>
      <c r="H7" s="225" t="s">
        <v>132</v>
      </c>
      <c r="I7" s="225" t="s">
        <v>133</v>
      </c>
      <c r="J7" s="94"/>
      <c r="K7" s="94"/>
      <c r="L7" s="94"/>
      <c r="M7" s="94"/>
      <c r="N7" s="223" t="s">
        <v>130</v>
      </c>
      <c r="O7" s="223" t="s">
        <v>129</v>
      </c>
      <c r="P7" s="225" t="s">
        <v>132</v>
      </c>
      <c r="Q7" s="227" t="s">
        <v>133</v>
      </c>
      <c r="R7" s="37"/>
    </row>
    <row r="8" spans="1:23" x14ac:dyDescent="0.25">
      <c r="A8" s="329" t="s">
        <v>14</v>
      </c>
      <c r="B8" s="328"/>
      <c r="C8" s="328"/>
      <c r="D8" s="328"/>
      <c r="E8" s="328"/>
      <c r="F8" s="224" t="s">
        <v>1</v>
      </c>
      <c r="G8" s="224" t="s">
        <v>1</v>
      </c>
      <c r="H8" s="224"/>
      <c r="I8" s="224"/>
      <c r="J8" s="328" t="s">
        <v>14</v>
      </c>
      <c r="K8" s="328"/>
      <c r="L8" s="328"/>
      <c r="M8" s="328"/>
      <c r="N8" s="224" t="s">
        <v>1</v>
      </c>
      <c r="O8" s="224" t="s">
        <v>1</v>
      </c>
      <c r="P8" s="224"/>
      <c r="Q8" s="47"/>
      <c r="R8" s="37"/>
    </row>
    <row r="9" spans="1:23" ht="27.75" customHeight="1" x14ac:dyDescent="0.25">
      <c r="A9" s="48"/>
      <c r="B9" s="49" t="s">
        <v>10</v>
      </c>
      <c r="C9" s="50"/>
      <c r="D9" s="50"/>
      <c r="E9" s="50"/>
      <c r="F9" s="240"/>
      <c r="G9" s="241"/>
      <c r="H9" s="241"/>
      <c r="I9" s="51"/>
      <c r="J9" s="49" t="s">
        <v>11</v>
      </c>
      <c r="K9" s="50"/>
      <c r="L9" s="50"/>
      <c r="M9" s="50"/>
      <c r="N9" s="256"/>
      <c r="O9" s="257"/>
      <c r="P9" s="257"/>
      <c r="Q9" s="52"/>
      <c r="R9" s="37"/>
      <c r="S9" s="37"/>
    </row>
    <row r="10" spans="1:23" ht="30.75" customHeight="1" x14ac:dyDescent="0.25">
      <c r="A10" s="53" t="s">
        <v>2</v>
      </c>
      <c r="B10" s="295" t="s">
        <v>26</v>
      </c>
      <c r="C10" s="296"/>
      <c r="D10" s="296"/>
      <c r="E10" s="296"/>
      <c r="F10" s="242"/>
      <c r="G10" s="232"/>
      <c r="H10" s="232"/>
      <c r="I10" s="54"/>
      <c r="J10" s="296" t="s">
        <v>26</v>
      </c>
      <c r="K10" s="296"/>
      <c r="L10" s="296"/>
      <c r="M10" s="296"/>
      <c r="N10" s="245"/>
      <c r="O10" s="199"/>
      <c r="P10" s="199"/>
      <c r="Q10" s="13"/>
      <c r="R10" s="37"/>
    </row>
    <row r="11" spans="1:23" x14ac:dyDescent="0.25">
      <c r="A11" s="53"/>
      <c r="B11" s="147" t="s">
        <v>29</v>
      </c>
      <c r="C11" s="142"/>
      <c r="D11" s="139"/>
      <c r="E11" s="139"/>
      <c r="F11" s="206"/>
      <c r="G11" s="199"/>
      <c r="H11" s="199"/>
      <c r="I11" s="55"/>
      <c r="J11" s="214" t="s">
        <v>9</v>
      </c>
      <c r="K11" s="297" t="s">
        <v>79</v>
      </c>
      <c r="L11" s="279"/>
      <c r="M11" s="279"/>
      <c r="N11" s="206"/>
      <c r="O11" s="199"/>
      <c r="P11" s="199"/>
      <c r="Q11" s="13"/>
      <c r="R11" s="37"/>
    </row>
    <row r="12" spans="1:23" ht="33" customHeight="1" x14ac:dyDescent="0.25">
      <c r="A12" s="53"/>
      <c r="B12" s="17" t="s">
        <v>31</v>
      </c>
      <c r="C12" s="303" t="s">
        <v>5</v>
      </c>
      <c r="D12" s="304"/>
      <c r="E12" s="304"/>
      <c r="F12" s="199">
        <v>28564</v>
      </c>
      <c r="G12" s="199">
        <v>28878</v>
      </c>
      <c r="H12" s="199">
        <f>27191-H91</f>
        <v>26935</v>
      </c>
      <c r="I12" s="259">
        <f>H12/G12*100</f>
        <v>93.271694715700534</v>
      </c>
      <c r="J12" s="214" t="s">
        <v>80</v>
      </c>
      <c r="K12" s="292" t="s">
        <v>81</v>
      </c>
      <c r="L12" s="293"/>
      <c r="M12" s="294"/>
      <c r="N12" s="199">
        <v>6355</v>
      </c>
      <c r="O12" s="199">
        <f>6200+155</f>
        <v>6355</v>
      </c>
      <c r="P12" s="199">
        <v>7</v>
      </c>
      <c r="Q12" s="192">
        <f>P12/O12*100</f>
        <v>0.11014948859166011</v>
      </c>
      <c r="R12" s="37"/>
    </row>
    <row r="13" spans="1:23" ht="16.5" customHeight="1" x14ac:dyDescent="0.25">
      <c r="A13" s="53"/>
      <c r="B13" s="17" t="s">
        <v>32</v>
      </c>
      <c r="C13" s="56" t="s">
        <v>6</v>
      </c>
      <c r="D13" s="56"/>
      <c r="E13" s="10"/>
      <c r="F13" s="199">
        <v>4547</v>
      </c>
      <c r="G13" s="199">
        <v>4591</v>
      </c>
      <c r="H13" s="199">
        <f>4498-H92</f>
        <v>4456</v>
      </c>
      <c r="I13" s="259">
        <f>H13/G13*100</f>
        <v>97.059464169026356</v>
      </c>
      <c r="J13" s="311" t="s">
        <v>95</v>
      </c>
      <c r="K13" s="279"/>
      <c r="L13" s="279"/>
      <c r="M13" s="279"/>
      <c r="N13" s="206"/>
      <c r="O13" s="199"/>
      <c r="P13" s="199"/>
      <c r="Q13" s="192"/>
      <c r="R13" s="37"/>
    </row>
    <row r="14" spans="1:23" x14ac:dyDescent="0.25">
      <c r="A14" s="53"/>
      <c r="B14" s="57" t="s">
        <v>33</v>
      </c>
      <c r="C14" s="143" t="s">
        <v>56</v>
      </c>
      <c r="D14" s="144"/>
      <c r="E14" s="144"/>
      <c r="F14" s="199">
        <v>32739</v>
      </c>
      <c r="G14" s="199">
        <f>30983+500-1394</f>
        <v>30089</v>
      </c>
      <c r="H14" s="199">
        <f>15553-H93</f>
        <v>14775</v>
      </c>
      <c r="I14" s="259">
        <f>H14/G14*100</f>
        <v>49.104323839276816</v>
      </c>
      <c r="J14" s="214" t="s">
        <v>88</v>
      </c>
      <c r="K14" s="140" t="s">
        <v>118</v>
      </c>
      <c r="L14" s="141"/>
      <c r="M14" s="141"/>
      <c r="N14" s="199">
        <v>6772</v>
      </c>
      <c r="O14" s="199">
        <f>6972-200</f>
        <v>6772</v>
      </c>
      <c r="P14" s="199">
        <v>1811</v>
      </c>
      <c r="Q14" s="192">
        <f>P14/O14*100</f>
        <v>26.742468989958653</v>
      </c>
      <c r="R14" s="37"/>
      <c r="S14" s="58"/>
      <c r="T14" s="349"/>
      <c r="U14" s="349"/>
      <c r="V14" s="349"/>
      <c r="W14" s="59"/>
    </row>
    <row r="15" spans="1:23" x14ac:dyDescent="0.25">
      <c r="A15" s="60"/>
      <c r="B15" s="57"/>
      <c r="C15" s="143"/>
      <c r="D15" s="144"/>
      <c r="E15" s="144"/>
      <c r="F15" s="199"/>
      <c r="G15" s="199"/>
      <c r="H15" s="199"/>
      <c r="I15" s="259"/>
      <c r="J15" s="214" t="s">
        <v>105</v>
      </c>
      <c r="K15" s="303" t="s">
        <v>104</v>
      </c>
      <c r="L15" s="304"/>
      <c r="M15" s="304"/>
      <c r="N15" s="199">
        <v>0</v>
      </c>
      <c r="O15" s="199">
        <v>0</v>
      </c>
      <c r="P15" s="199">
        <v>0</v>
      </c>
      <c r="Q15" s="192"/>
      <c r="R15" s="37"/>
      <c r="S15" s="58"/>
      <c r="T15" s="157"/>
      <c r="U15" s="157"/>
      <c r="V15" s="157"/>
      <c r="W15" s="59"/>
    </row>
    <row r="16" spans="1:23" x14ac:dyDescent="0.25">
      <c r="A16" s="60"/>
      <c r="B16" s="61" t="s">
        <v>4</v>
      </c>
      <c r="C16" s="314" t="s">
        <v>65</v>
      </c>
      <c r="D16" s="315"/>
      <c r="E16" s="315"/>
      <c r="F16" s="243"/>
      <c r="G16" s="199"/>
      <c r="H16" s="199"/>
      <c r="I16" s="259"/>
      <c r="J16" s="214" t="s">
        <v>91</v>
      </c>
      <c r="K16" s="10" t="s">
        <v>21</v>
      </c>
      <c r="L16" s="11"/>
      <c r="M16" s="11"/>
      <c r="N16" s="199">
        <v>1828</v>
      </c>
      <c r="O16" s="199">
        <f>1882-54</f>
        <v>1828</v>
      </c>
      <c r="P16" s="199">
        <v>483</v>
      </c>
      <c r="Q16" s="192">
        <f>P16/O16*100</f>
        <v>26.422319474835888</v>
      </c>
      <c r="R16" s="37"/>
      <c r="S16" s="58"/>
      <c r="T16" s="62"/>
      <c r="U16" s="62"/>
      <c r="V16" s="62"/>
      <c r="W16" s="59"/>
    </row>
    <row r="17" spans="1:18" x14ac:dyDescent="0.25">
      <c r="A17" s="60"/>
      <c r="B17" s="63" t="s">
        <v>54</v>
      </c>
      <c r="C17" s="335" t="s">
        <v>45</v>
      </c>
      <c r="D17" s="336"/>
      <c r="E17" s="144"/>
      <c r="F17" s="199">
        <v>889</v>
      </c>
      <c r="G17" s="199">
        <f>889+556+203</f>
        <v>1648</v>
      </c>
      <c r="H17" s="199">
        <v>408</v>
      </c>
      <c r="I17" s="259">
        <f>H17/G17*100</f>
        <v>24.757281553398059</v>
      </c>
      <c r="J17" s="214" t="s">
        <v>92</v>
      </c>
      <c r="K17" s="141" t="s">
        <v>22</v>
      </c>
      <c r="L17" s="141"/>
      <c r="M17" s="141"/>
      <c r="N17" s="199">
        <v>918</v>
      </c>
      <c r="O17" s="199">
        <f>972-54</f>
        <v>918</v>
      </c>
      <c r="P17" s="199">
        <v>379</v>
      </c>
      <c r="Q17" s="192">
        <f>P17/O17*100</f>
        <v>41.285403050108933</v>
      </c>
      <c r="R17" s="37"/>
    </row>
    <row r="18" spans="1:18" ht="16.5" thickBot="1" x14ac:dyDescent="0.3">
      <c r="A18" s="60"/>
      <c r="B18" s="263"/>
      <c r="C18" s="153"/>
      <c r="D18" s="154"/>
      <c r="E18" s="144"/>
      <c r="F18" s="235"/>
      <c r="G18" s="235"/>
      <c r="H18" s="235"/>
      <c r="I18" s="264"/>
      <c r="J18" s="21" t="s">
        <v>77</v>
      </c>
      <c r="K18" s="81" t="s">
        <v>78</v>
      </c>
      <c r="L18" s="82"/>
      <c r="M18" s="265"/>
      <c r="N18" s="235"/>
      <c r="O18" s="235"/>
      <c r="P18" s="235">
        <v>3</v>
      </c>
      <c r="Q18" s="192"/>
      <c r="R18" s="37"/>
    </row>
    <row r="19" spans="1:18" ht="16.5" thickBot="1" x14ac:dyDescent="0.3">
      <c r="A19" s="53"/>
      <c r="B19" s="64"/>
      <c r="C19" s="10" t="s">
        <v>35</v>
      </c>
      <c r="D19" s="141"/>
      <c r="E19" s="141"/>
      <c r="F19" s="179">
        <f>SUM(F12:F17)</f>
        <v>66739</v>
      </c>
      <c r="G19" s="179">
        <f>SUM(G12:G17)</f>
        <v>65206</v>
      </c>
      <c r="H19" s="179">
        <f>SUM(H12:H17)</f>
        <v>46574</v>
      </c>
      <c r="I19" s="260">
        <f>H19/G19*100</f>
        <v>71.42594239793884</v>
      </c>
      <c r="J19" s="214"/>
      <c r="K19" s="303" t="s">
        <v>36</v>
      </c>
      <c r="L19" s="304"/>
      <c r="M19" s="304"/>
      <c r="N19" s="179">
        <f>SUM(N12:N17)</f>
        <v>15873</v>
      </c>
      <c r="O19" s="179">
        <f>SUM(O12:O17)</f>
        <v>15873</v>
      </c>
      <c r="P19" s="179">
        <f>SUM(P12:P18)</f>
        <v>2683</v>
      </c>
      <c r="Q19" s="211">
        <f>P19/O19*100</f>
        <v>16.902916902916903</v>
      </c>
      <c r="R19" s="37"/>
    </row>
    <row r="20" spans="1:18" ht="34.5" customHeight="1" x14ac:dyDescent="0.25">
      <c r="A20" s="53" t="s">
        <v>4</v>
      </c>
      <c r="B20" s="295" t="s">
        <v>27</v>
      </c>
      <c r="C20" s="296"/>
      <c r="D20" s="296"/>
      <c r="E20" s="296"/>
      <c r="F20" s="244"/>
      <c r="G20" s="233"/>
      <c r="H20" s="233"/>
      <c r="I20" s="66"/>
      <c r="J20" s="296" t="s">
        <v>27</v>
      </c>
      <c r="K20" s="296"/>
      <c r="L20" s="296"/>
      <c r="M20" s="296"/>
      <c r="N20" s="242"/>
      <c r="O20" s="232"/>
      <c r="P20" s="232"/>
      <c r="Q20" s="67"/>
      <c r="R20" s="37"/>
    </row>
    <row r="21" spans="1:18" s="71" customFormat="1" ht="16.5" customHeight="1" x14ac:dyDescent="0.25">
      <c r="A21" s="53"/>
      <c r="B21" s="68"/>
      <c r="C21" s="69"/>
      <c r="D21" s="69"/>
      <c r="E21" s="69"/>
      <c r="F21" s="245"/>
      <c r="G21" s="234"/>
      <c r="H21" s="234"/>
      <c r="I21" s="70"/>
      <c r="J21" s="214" t="s">
        <v>9</v>
      </c>
      <c r="K21" s="297" t="s">
        <v>79</v>
      </c>
      <c r="L21" s="279"/>
      <c r="M21" s="279"/>
      <c r="N21" s="206"/>
      <c r="O21" s="199"/>
      <c r="P21" s="199"/>
      <c r="Q21" s="13"/>
      <c r="R21" s="36"/>
    </row>
    <row r="22" spans="1:18" s="71" customFormat="1" ht="33.75" customHeight="1" x14ac:dyDescent="0.25">
      <c r="A22" s="53"/>
      <c r="B22" s="68"/>
      <c r="C22" s="69"/>
      <c r="D22" s="69"/>
      <c r="E22" s="69"/>
      <c r="F22" s="245"/>
      <c r="G22" s="234"/>
      <c r="H22" s="234"/>
      <c r="I22" s="70"/>
      <c r="J22" s="214" t="s">
        <v>80</v>
      </c>
      <c r="K22" s="292" t="s">
        <v>81</v>
      </c>
      <c r="L22" s="293"/>
      <c r="M22" s="293"/>
      <c r="N22" s="258">
        <v>0</v>
      </c>
      <c r="O22" s="199">
        <v>0</v>
      </c>
      <c r="P22" s="199"/>
      <c r="Q22" s="13"/>
      <c r="R22" s="36"/>
    </row>
    <row r="23" spans="1:18" s="71" customFormat="1" x14ac:dyDescent="0.25">
      <c r="A23" s="53"/>
      <c r="B23" s="68"/>
      <c r="C23" s="69"/>
      <c r="D23" s="69"/>
      <c r="E23" s="69"/>
      <c r="F23" s="245"/>
      <c r="G23" s="234"/>
      <c r="H23" s="234"/>
      <c r="I23" s="70"/>
      <c r="J23" s="119" t="s">
        <v>106</v>
      </c>
      <c r="K23" s="15"/>
      <c r="L23" s="16"/>
      <c r="M23" s="141"/>
      <c r="N23" s="199"/>
      <c r="O23" s="199"/>
      <c r="P23" s="199"/>
      <c r="Q23" s="13"/>
      <c r="R23" s="36"/>
    </row>
    <row r="24" spans="1:18" s="71" customFormat="1" x14ac:dyDescent="0.25">
      <c r="A24" s="53"/>
      <c r="B24" s="68"/>
      <c r="C24" s="69"/>
      <c r="D24" s="69"/>
      <c r="E24" s="69"/>
      <c r="F24" s="245"/>
      <c r="G24" s="234"/>
      <c r="H24" s="234"/>
      <c r="I24" s="70"/>
      <c r="J24" s="214" t="s">
        <v>107</v>
      </c>
      <c r="K24" s="140" t="s">
        <v>108</v>
      </c>
      <c r="L24" s="16"/>
      <c r="M24" s="141"/>
      <c r="N24" s="199">
        <v>1452</v>
      </c>
      <c r="O24" s="199">
        <v>0</v>
      </c>
      <c r="P24" s="199"/>
      <c r="Q24" s="13"/>
      <c r="R24" s="36"/>
    </row>
    <row r="25" spans="1:18" x14ac:dyDescent="0.25">
      <c r="A25" s="53"/>
      <c r="B25" s="147" t="s">
        <v>29</v>
      </c>
      <c r="C25" s="142"/>
      <c r="D25" s="139"/>
      <c r="E25" s="139"/>
      <c r="F25" s="206"/>
      <c r="G25" s="234"/>
      <c r="H25" s="234"/>
      <c r="I25" s="70"/>
      <c r="J25" s="311" t="s">
        <v>95</v>
      </c>
      <c r="K25" s="312"/>
      <c r="L25" s="312"/>
      <c r="M25" s="297"/>
      <c r="N25" s="206"/>
      <c r="O25" s="199"/>
      <c r="P25" s="199"/>
      <c r="Q25" s="13"/>
      <c r="R25" s="37"/>
    </row>
    <row r="26" spans="1:18" x14ac:dyDescent="0.25">
      <c r="A26" s="53"/>
      <c r="B26" s="17" t="s">
        <v>31</v>
      </c>
      <c r="C26" s="303" t="s">
        <v>5</v>
      </c>
      <c r="D26" s="304"/>
      <c r="E26" s="304"/>
      <c r="F26" s="199">
        <v>1330</v>
      </c>
      <c r="G26" s="199">
        <f>857+473+181</f>
        <v>1511</v>
      </c>
      <c r="H26" s="199">
        <v>969</v>
      </c>
      <c r="I26" s="259">
        <f>H26/G26*100</f>
        <v>64.129715420251486</v>
      </c>
      <c r="J26" s="214" t="s">
        <v>88</v>
      </c>
      <c r="K26" s="140" t="s">
        <v>20</v>
      </c>
      <c r="L26" s="141"/>
      <c r="M26" s="141"/>
      <c r="N26" s="199">
        <v>1200</v>
      </c>
      <c r="O26" s="199">
        <v>1200</v>
      </c>
      <c r="P26" s="199"/>
      <c r="Q26" s="13"/>
      <c r="R26" s="37"/>
    </row>
    <row r="27" spans="1:18" x14ac:dyDescent="0.25">
      <c r="A27" s="53"/>
      <c r="B27" s="17" t="s">
        <v>32</v>
      </c>
      <c r="C27" s="56" t="s">
        <v>119</v>
      </c>
      <c r="D27" s="56"/>
      <c r="E27" s="10"/>
      <c r="F27" s="199">
        <v>242</v>
      </c>
      <c r="G27" s="199">
        <f>150+92</f>
        <v>242</v>
      </c>
      <c r="H27" s="199">
        <v>123</v>
      </c>
      <c r="I27" s="259">
        <f>H27/G27*100</f>
        <v>50.826446280991732</v>
      </c>
      <c r="J27" s="214" t="s">
        <v>91</v>
      </c>
      <c r="K27" s="10" t="s">
        <v>21</v>
      </c>
      <c r="L27" s="11"/>
      <c r="M27" s="11"/>
      <c r="N27" s="199">
        <v>324</v>
      </c>
      <c r="O27" s="199">
        <v>324</v>
      </c>
      <c r="P27" s="199"/>
      <c r="Q27" s="13"/>
      <c r="R27" s="37"/>
    </row>
    <row r="28" spans="1:18" x14ac:dyDescent="0.25">
      <c r="A28" s="53"/>
      <c r="B28" s="72" t="s">
        <v>33</v>
      </c>
      <c r="C28" s="143" t="s">
        <v>56</v>
      </c>
      <c r="D28" s="144"/>
      <c r="E28" s="144"/>
      <c r="F28" s="199">
        <v>1170</v>
      </c>
      <c r="G28" s="199">
        <f>770+400-181</f>
        <v>989</v>
      </c>
      <c r="H28" s="199">
        <v>770</v>
      </c>
      <c r="I28" s="259">
        <f>H28/G28*100</f>
        <v>77.856420626895854</v>
      </c>
      <c r="J28" s="214" t="s">
        <v>92</v>
      </c>
      <c r="K28" s="141" t="s">
        <v>22</v>
      </c>
      <c r="L28" s="28"/>
      <c r="M28" s="28"/>
      <c r="N28" s="199">
        <v>324</v>
      </c>
      <c r="O28" s="199">
        <v>324</v>
      </c>
      <c r="P28" s="199"/>
      <c r="Q28" s="13"/>
      <c r="R28" s="37"/>
    </row>
    <row r="29" spans="1:18" x14ac:dyDescent="0.25">
      <c r="A29" s="53"/>
      <c r="B29" s="72" t="s">
        <v>102</v>
      </c>
      <c r="C29" s="140" t="s">
        <v>103</v>
      </c>
      <c r="D29" s="141"/>
      <c r="E29" s="141"/>
      <c r="F29" s="235">
        <v>0</v>
      </c>
      <c r="G29" s="235">
        <v>0</v>
      </c>
      <c r="H29" s="235">
        <v>0</v>
      </c>
      <c r="I29" s="73"/>
      <c r="J29" s="214"/>
      <c r="K29" s="141"/>
      <c r="L29" s="28"/>
      <c r="M29" s="28"/>
      <c r="N29" s="199"/>
      <c r="O29" s="199"/>
      <c r="P29" s="199"/>
      <c r="Q29" s="13"/>
      <c r="R29" s="37"/>
    </row>
    <row r="30" spans="1:18" x14ac:dyDescent="0.25">
      <c r="A30" s="53"/>
      <c r="B30" s="14" t="s">
        <v>83</v>
      </c>
      <c r="C30" s="14"/>
      <c r="D30" s="141"/>
      <c r="E30" s="141"/>
      <c r="F30" s="199"/>
      <c r="G30" s="199"/>
      <c r="H30" s="199"/>
      <c r="I30" s="55"/>
      <c r="J30" s="214"/>
      <c r="K30" s="141"/>
      <c r="L30" s="28"/>
      <c r="M30" s="28"/>
      <c r="N30" s="199"/>
      <c r="O30" s="199"/>
      <c r="P30" s="199"/>
      <c r="Q30" s="13"/>
      <c r="R30" s="37"/>
    </row>
    <row r="31" spans="1:18" ht="16.5" thickBot="1" x14ac:dyDescent="0.3">
      <c r="A31" s="53"/>
      <c r="B31" s="17" t="s">
        <v>54</v>
      </c>
      <c r="C31" s="140" t="s">
        <v>25</v>
      </c>
      <c r="D31" s="141"/>
      <c r="E31" s="141"/>
      <c r="F31" s="235">
        <v>0</v>
      </c>
      <c r="G31" s="235">
        <v>0</v>
      </c>
      <c r="H31" s="235">
        <v>0</v>
      </c>
      <c r="I31" s="73"/>
      <c r="J31" s="214"/>
      <c r="K31" s="141"/>
      <c r="L31" s="28"/>
      <c r="M31" s="28"/>
      <c r="N31" s="202"/>
      <c r="O31" s="202"/>
      <c r="P31" s="202"/>
      <c r="Q31" s="80"/>
      <c r="R31" s="37"/>
    </row>
    <row r="32" spans="1:18" ht="16.5" thickBot="1" x14ac:dyDescent="0.3">
      <c r="A32" s="53"/>
      <c r="B32" s="64"/>
      <c r="C32" s="10" t="s">
        <v>35</v>
      </c>
      <c r="D32" s="141"/>
      <c r="E32" s="141"/>
      <c r="F32" s="179">
        <f>SUM(F26:F31)</f>
        <v>2742</v>
      </c>
      <c r="G32" s="179">
        <f>SUM(G26:G31)</f>
        <v>2742</v>
      </c>
      <c r="H32" s="179">
        <f>SUM(H26:H31)</f>
        <v>1862</v>
      </c>
      <c r="I32" s="260">
        <f>H32/G32*100</f>
        <v>67.906637490882574</v>
      </c>
      <c r="J32" s="214"/>
      <c r="K32" s="303" t="s">
        <v>36</v>
      </c>
      <c r="L32" s="304"/>
      <c r="M32" s="304"/>
      <c r="N32" s="179">
        <f>SUM(N22:N31)</f>
        <v>3300</v>
      </c>
      <c r="O32" s="179">
        <f>SUM(O22:O28)</f>
        <v>1848</v>
      </c>
      <c r="P32" s="179"/>
      <c r="Q32" s="25"/>
      <c r="R32" s="37"/>
    </row>
    <row r="33" spans="1:23" x14ac:dyDescent="0.25">
      <c r="A33" s="53" t="s">
        <v>2</v>
      </c>
      <c r="B33" s="313" t="s">
        <v>82</v>
      </c>
      <c r="C33" s="306"/>
      <c r="D33" s="306"/>
      <c r="E33" s="306"/>
      <c r="F33" s="246"/>
      <c r="G33" s="232"/>
      <c r="H33" s="232"/>
      <c r="I33" s="54"/>
      <c r="J33" s="306" t="s">
        <v>82</v>
      </c>
      <c r="K33" s="306"/>
      <c r="L33" s="306"/>
      <c r="M33" s="306"/>
      <c r="N33" s="246"/>
      <c r="O33" s="232"/>
      <c r="P33" s="232"/>
      <c r="Q33" s="67"/>
      <c r="R33" s="37"/>
    </row>
    <row r="34" spans="1:23" x14ac:dyDescent="0.25">
      <c r="A34" s="74"/>
      <c r="B34" s="147" t="s">
        <v>29</v>
      </c>
      <c r="C34" s="142"/>
      <c r="D34" s="139"/>
      <c r="E34" s="139"/>
      <c r="F34" s="206"/>
      <c r="G34" s="206"/>
      <c r="H34" s="206"/>
      <c r="I34" s="75"/>
      <c r="J34" s="20" t="s">
        <v>72</v>
      </c>
      <c r="K34" s="297" t="s">
        <v>86</v>
      </c>
      <c r="L34" s="279"/>
      <c r="M34" s="279"/>
      <c r="N34" s="168"/>
      <c r="O34" s="199"/>
      <c r="P34" s="199"/>
      <c r="Q34" s="13"/>
      <c r="R34" s="37"/>
    </row>
    <row r="35" spans="1:23" x14ac:dyDescent="0.25">
      <c r="A35" s="53"/>
      <c r="B35" s="72" t="s">
        <v>33</v>
      </c>
      <c r="C35" s="143" t="s">
        <v>56</v>
      </c>
      <c r="D35" s="28"/>
      <c r="E35" s="28"/>
      <c r="F35" s="199">
        <v>630</v>
      </c>
      <c r="G35" s="199">
        <v>630</v>
      </c>
      <c r="H35" s="199">
        <v>548</v>
      </c>
      <c r="I35" s="259">
        <f>H35/G35*100</f>
        <v>86.984126984126988</v>
      </c>
      <c r="J35" s="21" t="s">
        <v>91</v>
      </c>
      <c r="K35" s="81" t="s">
        <v>21</v>
      </c>
      <c r="L35" s="82"/>
      <c r="M35" s="82"/>
      <c r="N35" s="199"/>
      <c r="O35" s="199"/>
      <c r="P35" s="199">
        <v>1</v>
      </c>
      <c r="Q35" s="13"/>
      <c r="R35" s="37"/>
    </row>
    <row r="36" spans="1:23" x14ac:dyDescent="0.25">
      <c r="A36" s="53"/>
      <c r="B36" s="14" t="s">
        <v>83</v>
      </c>
      <c r="C36" s="14"/>
      <c r="D36" s="141"/>
      <c r="E36" s="141"/>
      <c r="F36" s="235"/>
      <c r="G36" s="235"/>
      <c r="H36" s="235"/>
      <c r="I36" s="259"/>
      <c r="J36" s="21" t="s">
        <v>77</v>
      </c>
      <c r="K36" s="81" t="s">
        <v>78</v>
      </c>
      <c r="L36" s="82"/>
      <c r="M36" s="82"/>
      <c r="N36" s="199"/>
      <c r="O36" s="199"/>
      <c r="P36" s="199">
        <v>22</v>
      </c>
      <c r="Q36" s="13"/>
      <c r="R36" s="37"/>
    </row>
    <row r="37" spans="1:23" ht="16.5" thickBot="1" x14ac:dyDescent="0.3">
      <c r="A37" s="53"/>
      <c r="B37" s="17" t="s">
        <v>54</v>
      </c>
      <c r="C37" s="140" t="s">
        <v>45</v>
      </c>
      <c r="D37" s="141"/>
      <c r="E37" s="141"/>
      <c r="F37" s="202">
        <v>1890</v>
      </c>
      <c r="G37" s="202">
        <f>1452+524</f>
        <v>1976</v>
      </c>
      <c r="H37" s="202">
        <v>1964</v>
      </c>
      <c r="I37" s="259">
        <f>H37/G37*100</f>
        <v>99.392712550607285</v>
      </c>
      <c r="J37" s="118"/>
      <c r="K37" s="10"/>
      <c r="L37" s="11"/>
      <c r="M37" s="11"/>
      <c r="N37" s="202"/>
      <c r="O37" s="202"/>
      <c r="P37" s="202"/>
      <c r="Q37" s="80"/>
      <c r="R37" s="37"/>
    </row>
    <row r="38" spans="1:23" ht="16.5" thickBot="1" x14ac:dyDescent="0.3">
      <c r="A38" s="53"/>
      <c r="B38" s="77"/>
      <c r="C38" s="11" t="s">
        <v>41</v>
      </c>
      <c r="D38" s="141"/>
      <c r="E38" s="141"/>
      <c r="F38" s="179">
        <f>SUM(F35:F37)</f>
        <v>2520</v>
      </c>
      <c r="G38" s="179">
        <f>SUM(G35:G37)</f>
        <v>2606</v>
      </c>
      <c r="H38" s="179">
        <f>SUM(H35:H37)</f>
        <v>2512</v>
      </c>
      <c r="I38" s="260">
        <f>H38/G38*100</f>
        <v>96.392939370683038</v>
      </c>
      <c r="J38" s="118"/>
      <c r="K38" s="10"/>
      <c r="L38" s="11"/>
      <c r="M38" s="11"/>
      <c r="N38" s="236"/>
      <c r="O38" s="236"/>
      <c r="P38" s="179">
        <f>SUM(P35:P37)</f>
        <v>23</v>
      </c>
      <c r="Q38" s="78"/>
      <c r="R38" s="37"/>
    </row>
    <row r="39" spans="1:23" x14ac:dyDescent="0.25">
      <c r="A39" s="53" t="s">
        <v>4</v>
      </c>
      <c r="B39" s="313" t="s">
        <v>84</v>
      </c>
      <c r="C39" s="306"/>
      <c r="D39" s="306"/>
      <c r="E39" s="306"/>
      <c r="F39" s="246"/>
      <c r="G39" s="232"/>
      <c r="H39" s="232"/>
      <c r="I39" s="54"/>
      <c r="J39" s="306" t="s">
        <v>84</v>
      </c>
      <c r="K39" s="306"/>
      <c r="L39" s="306"/>
      <c r="M39" s="306"/>
      <c r="N39" s="246"/>
      <c r="O39" s="232"/>
      <c r="P39" s="232"/>
      <c r="Q39" s="67"/>
      <c r="R39" s="37"/>
    </row>
    <row r="40" spans="1:23" x14ac:dyDescent="0.25">
      <c r="A40" s="74"/>
      <c r="B40" s="147" t="s">
        <v>29</v>
      </c>
      <c r="C40" s="142"/>
      <c r="D40" s="139"/>
      <c r="E40" s="139"/>
      <c r="F40" s="206"/>
      <c r="G40" s="206"/>
      <c r="H40" s="206"/>
      <c r="I40" s="75"/>
      <c r="J40" s="215"/>
      <c r="K40" s="76"/>
      <c r="L40" s="76"/>
      <c r="M40" s="76"/>
      <c r="N40" s="168"/>
      <c r="O40" s="199"/>
      <c r="P40" s="199"/>
      <c r="Q40" s="13"/>
      <c r="R40" s="37"/>
    </row>
    <row r="41" spans="1:23" x14ac:dyDescent="0.25">
      <c r="A41" s="53"/>
      <c r="B41" s="17" t="s">
        <v>31</v>
      </c>
      <c r="C41" s="303" t="s">
        <v>123</v>
      </c>
      <c r="D41" s="304"/>
      <c r="E41" s="304"/>
      <c r="F41" s="199">
        <v>2881</v>
      </c>
      <c r="G41" s="199">
        <f>2881+15</f>
        <v>2896</v>
      </c>
      <c r="H41" s="199">
        <v>2895</v>
      </c>
      <c r="I41" s="259">
        <f>H41/G41*100</f>
        <v>99.965469613259671</v>
      </c>
      <c r="J41" s="118"/>
      <c r="K41" s="10"/>
      <c r="L41" s="11"/>
      <c r="M41" s="11"/>
      <c r="N41" s="199"/>
      <c r="O41" s="199"/>
      <c r="P41" s="199"/>
      <c r="Q41" s="13"/>
      <c r="R41" s="37"/>
    </row>
    <row r="42" spans="1:23" ht="16.5" thickBot="1" x14ac:dyDescent="0.3">
      <c r="A42" s="53"/>
      <c r="B42" s="17" t="s">
        <v>32</v>
      </c>
      <c r="C42" s="56" t="s">
        <v>117</v>
      </c>
      <c r="D42" s="56"/>
      <c r="E42" s="10"/>
      <c r="F42" s="202">
        <v>504</v>
      </c>
      <c r="G42" s="202">
        <f>504-15</f>
        <v>489</v>
      </c>
      <c r="H42" s="202">
        <v>483</v>
      </c>
      <c r="I42" s="259">
        <f>H42/G42*100</f>
        <v>98.773006134969322</v>
      </c>
      <c r="J42" s="118"/>
      <c r="K42" s="303"/>
      <c r="L42" s="304"/>
      <c r="M42" s="304"/>
      <c r="N42" s="202"/>
      <c r="O42" s="202"/>
      <c r="P42" s="202"/>
      <c r="Q42" s="80"/>
      <c r="R42" s="37"/>
    </row>
    <row r="43" spans="1:23" ht="16.5" thickBot="1" x14ac:dyDescent="0.3">
      <c r="A43" s="53"/>
      <c r="B43" s="64"/>
      <c r="C43" s="10" t="s">
        <v>41</v>
      </c>
      <c r="D43" s="141"/>
      <c r="E43" s="141"/>
      <c r="F43" s="179">
        <f>SUM(F41:F42)</f>
        <v>3385</v>
      </c>
      <c r="G43" s="179">
        <f>SUM(G41:G42)</f>
        <v>3385</v>
      </c>
      <c r="H43" s="179">
        <f>SUM(H41:H42)</f>
        <v>3378</v>
      </c>
      <c r="I43" s="260">
        <f>H43/G43*100</f>
        <v>99.793205317577545</v>
      </c>
      <c r="J43" s="118"/>
      <c r="K43" s="10"/>
      <c r="L43" s="11"/>
      <c r="M43" s="11"/>
      <c r="N43" s="236"/>
      <c r="O43" s="236"/>
      <c r="P43" s="236"/>
      <c r="Q43" s="78"/>
      <c r="R43" s="37"/>
    </row>
    <row r="44" spans="1:23" x14ac:dyDescent="0.25">
      <c r="A44" s="53" t="s">
        <v>3</v>
      </c>
      <c r="B44" s="313" t="s">
        <v>85</v>
      </c>
      <c r="C44" s="306"/>
      <c r="D44" s="306"/>
      <c r="E44" s="306"/>
      <c r="F44" s="246"/>
      <c r="G44" s="232"/>
      <c r="H44" s="232"/>
      <c r="I44" s="54"/>
      <c r="J44" s="306" t="s">
        <v>85</v>
      </c>
      <c r="K44" s="306"/>
      <c r="L44" s="306"/>
      <c r="M44" s="306"/>
      <c r="N44" s="246"/>
      <c r="O44" s="232"/>
      <c r="P44" s="232"/>
      <c r="Q44" s="67"/>
      <c r="R44" s="37"/>
    </row>
    <row r="45" spans="1:23" x14ac:dyDescent="0.25">
      <c r="A45" s="74"/>
      <c r="B45" s="147" t="s">
        <v>29</v>
      </c>
      <c r="C45" s="142"/>
      <c r="D45" s="139"/>
      <c r="E45" s="139"/>
      <c r="F45" s="206"/>
      <c r="G45" s="206"/>
      <c r="H45" s="206"/>
      <c r="I45" s="75"/>
      <c r="J45" s="214" t="s">
        <v>9</v>
      </c>
      <c r="K45" s="297" t="s">
        <v>79</v>
      </c>
      <c r="L45" s="279"/>
      <c r="M45" s="279"/>
      <c r="N45" s="206"/>
      <c r="O45" s="199"/>
      <c r="P45" s="199"/>
      <c r="Q45" s="13"/>
      <c r="R45" s="37"/>
    </row>
    <row r="46" spans="1:23" ht="30.75" customHeight="1" x14ac:dyDescent="0.25">
      <c r="A46" s="53"/>
      <c r="B46" s="17" t="s">
        <v>31</v>
      </c>
      <c r="C46" s="303" t="s">
        <v>123</v>
      </c>
      <c r="D46" s="304"/>
      <c r="E46" s="304"/>
      <c r="F46" s="199">
        <v>8726</v>
      </c>
      <c r="G46" s="199">
        <v>8796</v>
      </c>
      <c r="H46" s="199">
        <v>8064</v>
      </c>
      <c r="I46" s="259">
        <f>H46/G46*100</f>
        <v>91.67803547066849</v>
      </c>
      <c r="J46" s="214" t="s">
        <v>80</v>
      </c>
      <c r="K46" s="292" t="s">
        <v>81</v>
      </c>
      <c r="L46" s="293"/>
      <c r="M46" s="294"/>
      <c r="N46" s="199">
        <v>100</v>
      </c>
      <c r="O46" s="199">
        <v>100</v>
      </c>
      <c r="P46" s="199"/>
      <c r="Q46" s="13"/>
      <c r="R46" s="37"/>
    </row>
    <row r="47" spans="1:23" x14ac:dyDescent="0.25">
      <c r="A47" s="53"/>
      <c r="B47" s="17" t="s">
        <v>32</v>
      </c>
      <c r="C47" s="56" t="s">
        <v>119</v>
      </c>
      <c r="D47" s="56"/>
      <c r="E47" s="10"/>
      <c r="F47" s="199">
        <v>1532</v>
      </c>
      <c r="G47" s="199">
        <v>1542</v>
      </c>
      <c r="H47" s="199">
        <v>1324</v>
      </c>
      <c r="I47" s="259">
        <f>H47/G47*100</f>
        <v>85.862516212710759</v>
      </c>
      <c r="J47" s="20" t="s">
        <v>72</v>
      </c>
      <c r="K47" s="297" t="s">
        <v>86</v>
      </c>
      <c r="L47" s="279"/>
      <c r="M47" s="279"/>
      <c r="N47" s="206"/>
      <c r="O47" s="199"/>
      <c r="P47" s="199"/>
      <c r="Q47" s="13"/>
      <c r="R47" s="37"/>
    </row>
    <row r="48" spans="1:23" x14ac:dyDescent="0.25">
      <c r="A48" s="60"/>
      <c r="B48" s="72" t="s">
        <v>33</v>
      </c>
      <c r="C48" s="143" t="s">
        <v>56</v>
      </c>
      <c r="D48" s="144"/>
      <c r="E48" s="144"/>
      <c r="F48" s="199">
        <v>7695</v>
      </c>
      <c r="G48" s="199">
        <f>7695-70</f>
        <v>7625</v>
      </c>
      <c r="H48" s="199">
        <v>4212</v>
      </c>
      <c r="I48" s="259">
        <f>H48/G48*100</f>
        <v>55.239344262295084</v>
      </c>
      <c r="J48" s="214" t="s">
        <v>87</v>
      </c>
      <c r="K48" s="140" t="s">
        <v>76</v>
      </c>
      <c r="L48" s="141"/>
      <c r="M48" s="141"/>
      <c r="N48" s="199">
        <v>200</v>
      </c>
      <c r="O48" s="199">
        <v>200</v>
      </c>
      <c r="P48" s="199"/>
      <c r="Q48" s="13"/>
      <c r="R48" s="37"/>
      <c r="S48" s="58"/>
      <c r="T48" s="349"/>
      <c r="U48" s="349"/>
      <c r="V48" s="349"/>
      <c r="W48" s="59"/>
    </row>
    <row r="49" spans="1:23" x14ac:dyDescent="0.25">
      <c r="A49" s="60"/>
      <c r="B49" s="72"/>
      <c r="C49" s="143"/>
      <c r="D49" s="144"/>
      <c r="E49" s="144"/>
      <c r="F49" s="199"/>
      <c r="G49" s="199"/>
      <c r="H49" s="199"/>
      <c r="I49" s="259"/>
      <c r="J49" s="214" t="s">
        <v>88</v>
      </c>
      <c r="K49" s="10" t="s">
        <v>20</v>
      </c>
      <c r="L49" s="11"/>
      <c r="M49" s="11"/>
      <c r="N49" s="199">
        <v>600</v>
      </c>
      <c r="O49" s="199">
        <v>600</v>
      </c>
      <c r="P49" s="199">
        <v>30</v>
      </c>
      <c r="Q49" s="192">
        <f>P49/O49*100</f>
        <v>5</v>
      </c>
      <c r="R49" s="37"/>
      <c r="S49" s="58"/>
      <c r="T49" s="62"/>
      <c r="U49" s="62"/>
      <c r="V49" s="62"/>
      <c r="W49" s="59"/>
    </row>
    <row r="50" spans="1:23" x14ac:dyDescent="0.25">
      <c r="A50" s="60"/>
      <c r="B50" s="14" t="s">
        <v>83</v>
      </c>
      <c r="C50" s="14"/>
      <c r="D50" s="30"/>
      <c r="E50" s="26"/>
      <c r="F50" s="206"/>
      <c r="G50" s="199"/>
      <c r="H50" s="199"/>
      <c r="I50" s="259"/>
      <c r="J50" s="21" t="s">
        <v>91</v>
      </c>
      <c r="K50" s="81" t="s">
        <v>21</v>
      </c>
      <c r="L50" s="82"/>
      <c r="M50" s="82"/>
      <c r="N50" s="199">
        <v>216</v>
      </c>
      <c r="O50" s="199">
        <v>216</v>
      </c>
      <c r="P50" s="199">
        <v>8</v>
      </c>
      <c r="Q50" s="192">
        <f>P50/O50*100</f>
        <v>3.7037037037037033</v>
      </c>
      <c r="R50" s="37"/>
    </row>
    <row r="51" spans="1:23" x14ac:dyDescent="0.25">
      <c r="A51" s="84"/>
      <c r="B51" s="17" t="s">
        <v>54</v>
      </c>
      <c r="C51" s="140" t="s">
        <v>45</v>
      </c>
      <c r="D51" s="141"/>
      <c r="E51" s="141"/>
      <c r="F51" s="199">
        <v>38</v>
      </c>
      <c r="G51" s="199">
        <f>38+70</f>
        <v>108</v>
      </c>
      <c r="H51" s="199">
        <v>107</v>
      </c>
      <c r="I51" s="259">
        <f>H51/G51*100</f>
        <v>99.074074074074076</v>
      </c>
      <c r="J51" s="21" t="s">
        <v>116</v>
      </c>
      <c r="K51" s="10" t="s">
        <v>115</v>
      </c>
      <c r="L51" s="82"/>
      <c r="M51" s="82"/>
      <c r="N51" s="199">
        <v>20</v>
      </c>
      <c r="O51" s="199">
        <v>20</v>
      </c>
      <c r="P51" s="199"/>
      <c r="Q51" s="13"/>
      <c r="R51" s="37"/>
    </row>
    <row r="52" spans="1:23" x14ac:dyDescent="0.25">
      <c r="A52" s="84"/>
      <c r="B52" s="17"/>
      <c r="C52" s="141"/>
      <c r="D52" s="141"/>
      <c r="E52" s="141"/>
      <c r="F52" s="199"/>
      <c r="G52" s="199"/>
      <c r="H52" s="199"/>
      <c r="I52" s="55"/>
      <c r="J52" s="20" t="s">
        <v>110</v>
      </c>
      <c r="K52" s="297" t="s">
        <v>111</v>
      </c>
      <c r="L52" s="279"/>
      <c r="M52" s="279"/>
      <c r="N52" s="206"/>
      <c r="O52" s="199"/>
      <c r="P52" s="199"/>
      <c r="Q52" s="13"/>
      <c r="R52" s="37"/>
    </row>
    <row r="53" spans="1:23" x14ac:dyDescent="0.25">
      <c r="A53" s="84"/>
      <c r="B53" s="17"/>
      <c r="C53" s="141"/>
      <c r="D53" s="141"/>
      <c r="E53" s="141"/>
      <c r="F53" s="199"/>
      <c r="G53" s="199"/>
      <c r="H53" s="199"/>
      <c r="I53" s="55"/>
      <c r="J53" s="21" t="s">
        <v>112</v>
      </c>
      <c r="K53" s="298" t="s">
        <v>113</v>
      </c>
      <c r="L53" s="299"/>
      <c r="M53" s="299"/>
      <c r="N53" s="199">
        <v>0</v>
      </c>
      <c r="O53" s="199">
        <v>0</v>
      </c>
      <c r="P53" s="199"/>
      <c r="Q53" s="13"/>
      <c r="R53" s="37"/>
    </row>
    <row r="54" spans="1:23" x14ac:dyDescent="0.25">
      <c r="A54" s="84"/>
      <c r="B54" s="17"/>
      <c r="C54" s="141"/>
      <c r="D54" s="141"/>
      <c r="E54" s="141"/>
      <c r="F54" s="199"/>
      <c r="G54" s="199"/>
      <c r="H54" s="199"/>
      <c r="I54" s="55"/>
      <c r="J54" s="216" t="s">
        <v>100</v>
      </c>
      <c r="K54" s="300" t="s">
        <v>101</v>
      </c>
      <c r="L54" s="301"/>
      <c r="M54" s="301"/>
      <c r="N54" s="206"/>
      <c r="O54" s="199"/>
      <c r="P54" s="199"/>
      <c r="Q54" s="13"/>
      <c r="R54" s="37"/>
    </row>
    <row r="55" spans="1:23" ht="16.5" thickBot="1" x14ac:dyDescent="0.3">
      <c r="A55" s="84"/>
      <c r="B55" s="17"/>
      <c r="C55" s="141"/>
      <c r="D55" s="141"/>
      <c r="E55" s="141"/>
      <c r="F55" s="235"/>
      <c r="G55" s="235"/>
      <c r="H55" s="235"/>
      <c r="I55" s="73"/>
      <c r="J55" s="21" t="s">
        <v>97</v>
      </c>
      <c r="K55" s="298" t="s">
        <v>98</v>
      </c>
      <c r="L55" s="299"/>
      <c r="M55" s="299"/>
      <c r="N55" s="202">
        <v>0</v>
      </c>
      <c r="O55" s="202">
        <f>1000-1000</f>
        <v>0</v>
      </c>
      <c r="P55" s="202"/>
      <c r="Q55" s="80"/>
      <c r="R55" s="37"/>
    </row>
    <row r="56" spans="1:23" ht="16.5" thickBot="1" x14ac:dyDescent="0.3">
      <c r="A56" s="60"/>
      <c r="B56" s="77"/>
      <c r="C56" s="11" t="s">
        <v>41</v>
      </c>
      <c r="D56" s="141"/>
      <c r="E56" s="141"/>
      <c r="F56" s="179">
        <f>SUM(F46:F55)</f>
        <v>17991</v>
      </c>
      <c r="G56" s="179">
        <f>SUM(G46:G51)</f>
        <v>18071</v>
      </c>
      <c r="H56" s="179">
        <f>SUM(H46:H55)</f>
        <v>13707</v>
      </c>
      <c r="I56" s="260">
        <f>H56/G56*100</f>
        <v>75.850810691162636</v>
      </c>
      <c r="J56" s="21"/>
      <c r="K56" s="303" t="s">
        <v>36</v>
      </c>
      <c r="L56" s="304"/>
      <c r="M56" s="304"/>
      <c r="N56" s="179">
        <f>SUM(N46:N55)</f>
        <v>1136</v>
      </c>
      <c r="O56" s="179">
        <f>SUM(O46:O55)</f>
        <v>1136</v>
      </c>
      <c r="P56" s="179">
        <f>SUM(P46:P55)</f>
        <v>38</v>
      </c>
      <c r="Q56" s="211">
        <f>P56/O56*100</f>
        <v>3.345070422535211</v>
      </c>
      <c r="R56" s="37"/>
    </row>
    <row r="57" spans="1:23" x14ac:dyDescent="0.25">
      <c r="A57" s="53" t="s">
        <v>3</v>
      </c>
      <c r="B57" s="313" t="s">
        <v>28</v>
      </c>
      <c r="C57" s="306"/>
      <c r="D57" s="306"/>
      <c r="E57" s="306"/>
      <c r="F57" s="247"/>
      <c r="G57" s="235"/>
      <c r="H57" s="235"/>
      <c r="I57" s="73"/>
      <c r="J57" s="306" t="s">
        <v>28</v>
      </c>
      <c r="K57" s="306"/>
      <c r="L57" s="306"/>
      <c r="M57" s="306"/>
      <c r="N57" s="246"/>
      <c r="O57" s="232"/>
      <c r="P57" s="232"/>
      <c r="Q57" s="67"/>
      <c r="R57" s="37"/>
    </row>
    <row r="58" spans="1:23" x14ac:dyDescent="0.25">
      <c r="A58" s="53"/>
      <c r="B58" s="64"/>
      <c r="C58" s="10"/>
      <c r="D58" s="141"/>
      <c r="E58" s="141"/>
      <c r="F58" s="199"/>
      <c r="G58" s="199"/>
      <c r="H58" s="199"/>
      <c r="I58" s="55"/>
      <c r="J58" s="310" t="s">
        <v>50</v>
      </c>
      <c r="K58" s="310"/>
      <c r="L58" s="310"/>
      <c r="M58" s="310"/>
      <c r="N58" s="168"/>
      <c r="O58" s="199"/>
      <c r="P58" s="199"/>
      <c r="Q58" s="85"/>
      <c r="R58" s="37"/>
    </row>
    <row r="59" spans="1:23" x14ac:dyDescent="0.25">
      <c r="A59" s="86"/>
      <c r="B59" s="87"/>
      <c r="C59" s="88"/>
      <c r="D59" s="88"/>
      <c r="E59" s="88"/>
      <c r="F59" s="241"/>
      <c r="G59" s="199"/>
      <c r="H59" s="199"/>
      <c r="I59" s="55"/>
      <c r="J59" s="21" t="s">
        <v>52</v>
      </c>
      <c r="K59" s="11" t="s">
        <v>34</v>
      </c>
      <c r="L59" s="141"/>
      <c r="M59" s="141"/>
      <c r="N59" s="199">
        <v>69029</v>
      </c>
      <c r="O59" s="199">
        <f>63005+1580+203</f>
        <v>64788</v>
      </c>
      <c r="P59" s="199">
        <f>65899-P113</f>
        <v>60868</v>
      </c>
      <c r="Q59" s="192">
        <f>P59/O59*100</f>
        <v>93.949496820398835</v>
      </c>
      <c r="R59" s="37"/>
    </row>
    <row r="60" spans="1:23" ht="16.5" thickBot="1" x14ac:dyDescent="0.3">
      <c r="A60" s="89"/>
      <c r="B60" s="229"/>
      <c r="C60" s="8"/>
      <c r="D60" s="8"/>
      <c r="E60" s="8"/>
      <c r="F60" s="248"/>
      <c r="G60" s="188"/>
      <c r="H60" s="188"/>
      <c r="I60" s="230"/>
      <c r="J60" s="217" t="s">
        <v>67</v>
      </c>
      <c r="K60" s="303" t="s">
        <v>68</v>
      </c>
      <c r="L60" s="304"/>
      <c r="M60" s="304"/>
      <c r="N60" s="202">
        <v>4306</v>
      </c>
      <c r="O60" s="202">
        <f>4306-304-1394</f>
        <v>2608</v>
      </c>
      <c r="P60" s="202">
        <v>2608</v>
      </c>
      <c r="Q60" s="192">
        <f>P60/O60*100</f>
        <v>100</v>
      </c>
      <c r="R60" s="37"/>
    </row>
    <row r="61" spans="1:23" ht="16.5" thickBot="1" x14ac:dyDescent="0.3">
      <c r="A61" s="86"/>
      <c r="B61" s="87"/>
      <c r="C61" s="88"/>
      <c r="D61" s="88"/>
      <c r="E61" s="88"/>
      <c r="F61" s="249"/>
      <c r="G61" s="236"/>
      <c r="H61" s="236"/>
      <c r="I61" s="231"/>
      <c r="J61" s="218"/>
      <c r="K61" s="303" t="s">
        <v>36</v>
      </c>
      <c r="L61" s="304"/>
      <c r="M61" s="304"/>
      <c r="N61" s="179">
        <f>SUM(N59:N60)</f>
        <v>73335</v>
      </c>
      <c r="O61" s="179">
        <f>SUM(O59:O60)</f>
        <v>67396</v>
      </c>
      <c r="P61" s="179">
        <f>SUM(P59:P60)</f>
        <v>63476</v>
      </c>
      <c r="Q61" s="211">
        <f>P61/O61*100</f>
        <v>94.183631076028249</v>
      </c>
      <c r="R61" s="37"/>
    </row>
    <row r="62" spans="1:23" ht="29.25" customHeight="1" x14ac:dyDescent="0.25">
      <c r="A62" s="228" t="s">
        <v>72</v>
      </c>
      <c r="B62" s="324" t="s">
        <v>69</v>
      </c>
      <c r="C62" s="325"/>
      <c r="D62" s="325"/>
      <c r="E62" s="325"/>
      <c r="F62" s="244"/>
      <c r="G62" s="235"/>
      <c r="H62" s="235"/>
      <c r="I62" s="73"/>
      <c r="J62" s="296" t="s">
        <v>69</v>
      </c>
      <c r="K62" s="296"/>
      <c r="L62" s="296"/>
      <c r="M62" s="296"/>
      <c r="N62" s="242"/>
      <c r="O62" s="232"/>
      <c r="P62" s="232"/>
      <c r="Q62" s="67"/>
      <c r="R62" s="37"/>
    </row>
    <row r="63" spans="1:23" x14ac:dyDescent="0.25">
      <c r="A63" s="53"/>
      <c r="B63" s="147"/>
      <c r="C63" s="142"/>
      <c r="D63" s="139"/>
      <c r="E63" s="139"/>
      <c r="F63" s="206"/>
      <c r="G63" s="199"/>
      <c r="H63" s="199"/>
      <c r="I63" s="55"/>
      <c r="J63" s="311" t="s">
        <v>95</v>
      </c>
      <c r="K63" s="312"/>
      <c r="L63" s="312"/>
      <c r="M63" s="297"/>
      <c r="N63" s="206"/>
      <c r="O63" s="199"/>
      <c r="P63" s="199"/>
      <c r="Q63" s="13"/>
      <c r="R63" s="37"/>
    </row>
    <row r="64" spans="1:23" ht="16.5" thickBot="1" x14ac:dyDescent="0.3">
      <c r="A64" s="53"/>
      <c r="B64" s="17"/>
      <c r="C64" s="303"/>
      <c r="D64" s="304"/>
      <c r="E64" s="304"/>
      <c r="F64" s="202"/>
      <c r="G64" s="202"/>
      <c r="H64" s="202"/>
      <c r="I64" s="79"/>
      <c r="J64" s="214" t="s">
        <v>88</v>
      </c>
      <c r="K64" s="140" t="s">
        <v>20</v>
      </c>
      <c r="L64" s="141"/>
      <c r="M64" s="141"/>
      <c r="N64" s="202">
        <v>5757</v>
      </c>
      <c r="O64" s="202">
        <v>5757</v>
      </c>
      <c r="P64" s="202">
        <v>2323</v>
      </c>
      <c r="Q64" s="262">
        <f>P64/O64*100</f>
        <v>40.350877192982452</v>
      </c>
      <c r="R64" s="37"/>
    </row>
    <row r="65" spans="1:23" ht="16.5" thickBot="1" x14ac:dyDescent="0.3">
      <c r="A65" s="53"/>
      <c r="B65" s="64"/>
      <c r="C65" s="10" t="s">
        <v>35</v>
      </c>
      <c r="D65" s="141"/>
      <c r="E65" s="141"/>
      <c r="F65" s="236"/>
      <c r="G65" s="179">
        <f>SUM(G62:G64)</f>
        <v>0</v>
      </c>
      <c r="H65" s="179"/>
      <c r="I65" s="65"/>
      <c r="J65" s="214"/>
      <c r="K65" s="303" t="s">
        <v>36</v>
      </c>
      <c r="L65" s="304"/>
      <c r="M65" s="304"/>
      <c r="N65" s="179">
        <f>SUM(N64)</f>
        <v>5757</v>
      </c>
      <c r="O65" s="179">
        <f>SUM(O62:O64)</f>
        <v>5757</v>
      </c>
      <c r="P65" s="179">
        <f>SUM(P64)</f>
        <v>2323</v>
      </c>
      <c r="Q65" s="211">
        <f>P65/O65*100</f>
        <v>40.350877192982452</v>
      </c>
      <c r="R65" s="37"/>
    </row>
    <row r="66" spans="1:23" x14ac:dyDescent="0.25">
      <c r="A66" s="330" t="s">
        <v>12</v>
      </c>
      <c r="B66" s="331"/>
      <c r="C66" s="331"/>
      <c r="D66" s="331"/>
      <c r="E66" s="332"/>
      <c r="F66" s="250"/>
      <c r="G66" s="232"/>
      <c r="H66" s="232"/>
      <c r="I66" s="54"/>
      <c r="J66" s="91" t="s">
        <v>13</v>
      </c>
      <c r="K66" s="91"/>
      <c r="L66" s="91"/>
      <c r="M66" s="91"/>
      <c r="N66" s="250"/>
      <c r="O66" s="250"/>
      <c r="P66" s="250"/>
      <c r="Q66" s="92"/>
      <c r="R66" s="37"/>
    </row>
    <row r="67" spans="1:23" ht="15.75" customHeight="1" x14ac:dyDescent="0.25">
      <c r="A67" s="318" t="s">
        <v>29</v>
      </c>
      <c r="B67" s="312"/>
      <c r="C67" s="312"/>
      <c r="D67" s="312"/>
      <c r="E67" s="297"/>
      <c r="F67" s="206"/>
      <c r="G67" s="199"/>
      <c r="H67" s="199"/>
      <c r="I67" s="55"/>
      <c r="J67" s="214" t="s">
        <v>9</v>
      </c>
      <c r="K67" s="297" t="s">
        <v>79</v>
      </c>
      <c r="L67" s="279"/>
      <c r="M67" s="279"/>
      <c r="N67" s="206"/>
      <c r="O67" s="199"/>
      <c r="P67" s="199"/>
      <c r="Q67" s="13"/>
      <c r="R67" s="37"/>
    </row>
    <row r="68" spans="1:23" ht="30.75" customHeight="1" x14ac:dyDescent="0.25">
      <c r="A68" s="93"/>
      <c r="B68" s="17" t="s">
        <v>31</v>
      </c>
      <c r="C68" s="303" t="s">
        <v>5</v>
      </c>
      <c r="D68" s="304"/>
      <c r="E68" s="304"/>
      <c r="F68" s="199">
        <v>41501</v>
      </c>
      <c r="G68" s="199">
        <f>SUM(G26,G12,G41,G46)</f>
        <v>42081</v>
      </c>
      <c r="H68" s="199">
        <f>H12+H26+H41+H46</f>
        <v>38863</v>
      </c>
      <c r="I68" s="259">
        <f>H68/G68*100</f>
        <v>92.352843325966589</v>
      </c>
      <c r="J68" s="214" t="s">
        <v>80</v>
      </c>
      <c r="K68" s="292" t="s">
        <v>81</v>
      </c>
      <c r="L68" s="293"/>
      <c r="M68" s="293"/>
      <c r="N68" s="258">
        <v>6455</v>
      </c>
      <c r="O68" s="199">
        <f>SUM(O12,O46,O22)</f>
        <v>6455</v>
      </c>
      <c r="P68" s="199">
        <f>P12</f>
        <v>7</v>
      </c>
      <c r="Q68" s="192">
        <f>P68/O68*100</f>
        <v>0.10844306738962044</v>
      </c>
      <c r="R68" s="37"/>
    </row>
    <row r="69" spans="1:23" x14ac:dyDescent="0.25">
      <c r="A69" s="93"/>
      <c r="B69" s="17"/>
      <c r="C69" s="140"/>
      <c r="D69" s="141"/>
      <c r="E69" s="141"/>
      <c r="F69" s="199"/>
      <c r="G69" s="199"/>
      <c r="H69" s="199"/>
      <c r="I69" s="259"/>
      <c r="J69" s="119" t="s">
        <v>106</v>
      </c>
      <c r="K69" s="15"/>
      <c r="L69" s="16"/>
      <c r="M69" s="141"/>
      <c r="N69" s="199"/>
      <c r="O69" s="199"/>
      <c r="P69" s="199"/>
      <c r="Q69" s="192"/>
      <c r="R69" s="37"/>
    </row>
    <row r="70" spans="1:23" x14ac:dyDescent="0.25">
      <c r="A70" s="93"/>
      <c r="B70" s="17"/>
      <c r="C70" s="140"/>
      <c r="D70" s="141"/>
      <c r="E70" s="141"/>
      <c r="F70" s="199"/>
      <c r="G70" s="199"/>
      <c r="H70" s="199"/>
      <c r="I70" s="259"/>
      <c r="J70" s="214" t="s">
        <v>107</v>
      </c>
      <c r="K70" s="140" t="s">
        <v>108</v>
      </c>
      <c r="L70" s="16"/>
      <c r="M70" s="141"/>
      <c r="N70" s="199">
        <v>1452</v>
      </c>
      <c r="O70" s="199">
        <f>O24</f>
        <v>0</v>
      </c>
      <c r="P70" s="199"/>
      <c r="Q70" s="192"/>
      <c r="R70" s="37"/>
    </row>
    <row r="71" spans="1:23" x14ac:dyDescent="0.25">
      <c r="A71" s="93"/>
      <c r="B71" s="17" t="s">
        <v>32</v>
      </c>
      <c r="C71" s="56" t="s">
        <v>6</v>
      </c>
      <c r="D71" s="56"/>
      <c r="E71" s="10"/>
      <c r="F71" s="199">
        <v>6825</v>
      </c>
      <c r="G71" s="199">
        <f>SUM(G27,G13,G42,G47)</f>
        <v>6864</v>
      </c>
      <c r="H71" s="199">
        <f>H13+H27+H42+H47</f>
        <v>6386</v>
      </c>
      <c r="I71" s="259">
        <f t="shared" ref="I71:I76" si="0">H71/G71*100</f>
        <v>93.036130536130528</v>
      </c>
      <c r="J71" s="311" t="s">
        <v>95</v>
      </c>
      <c r="K71" s="312"/>
      <c r="L71" s="312"/>
      <c r="M71" s="297"/>
      <c r="N71" s="206"/>
      <c r="O71" s="199"/>
      <c r="P71" s="199"/>
      <c r="Q71" s="192"/>
      <c r="R71" s="37"/>
      <c r="U71" s="94"/>
      <c r="V71" s="94"/>
    </row>
    <row r="72" spans="1:23" x14ac:dyDescent="0.25">
      <c r="A72" s="93"/>
      <c r="B72" s="57" t="s">
        <v>33</v>
      </c>
      <c r="C72" s="143" t="s">
        <v>8</v>
      </c>
      <c r="D72" s="144"/>
      <c r="E72" s="144"/>
      <c r="F72" s="199">
        <v>42234</v>
      </c>
      <c r="G72" s="199">
        <f>SUM(G28,G14,G35,G48)</f>
        <v>39333</v>
      </c>
      <c r="H72" s="199">
        <f>H14+H28+H35+H48</f>
        <v>20305</v>
      </c>
      <c r="I72" s="259">
        <f t="shared" si="0"/>
        <v>51.623318841685098</v>
      </c>
      <c r="J72" s="214" t="s">
        <v>87</v>
      </c>
      <c r="K72" s="140" t="s">
        <v>76</v>
      </c>
      <c r="L72" s="141"/>
      <c r="M72" s="141"/>
      <c r="N72" s="199">
        <v>200</v>
      </c>
      <c r="O72" s="199">
        <f>SUM(O48)</f>
        <v>200</v>
      </c>
      <c r="P72" s="199"/>
      <c r="Q72" s="192"/>
      <c r="R72" s="95"/>
    </row>
    <row r="73" spans="1:23" x14ac:dyDescent="0.25">
      <c r="A73" s="93"/>
      <c r="B73" s="72" t="s">
        <v>102</v>
      </c>
      <c r="C73" s="140" t="s">
        <v>103</v>
      </c>
      <c r="D73" s="141"/>
      <c r="E73" s="141"/>
      <c r="F73" s="232">
        <v>0</v>
      </c>
      <c r="G73" s="232">
        <f>G29</f>
        <v>0</v>
      </c>
      <c r="H73" s="232"/>
      <c r="I73" s="259"/>
      <c r="J73" s="214"/>
      <c r="K73" s="140"/>
      <c r="L73" s="141"/>
      <c r="M73" s="141"/>
      <c r="N73" s="199"/>
      <c r="O73" s="199"/>
      <c r="P73" s="199"/>
      <c r="Q73" s="192"/>
      <c r="R73" s="95"/>
    </row>
    <row r="74" spans="1:23" ht="16.5" customHeight="1" x14ac:dyDescent="0.25">
      <c r="A74" s="93"/>
      <c r="B74" s="96" t="s">
        <v>4</v>
      </c>
      <c r="C74" s="314" t="s">
        <v>65</v>
      </c>
      <c r="D74" s="315"/>
      <c r="E74" s="315"/>
      <c r="F74" s="251"/>
      <c r="G74" s="232"/>
      <c r="H74" s="232"/>
      <c r="I74" s="259"/>
      <c r="J74" s="214" t="s">
        <v>88</v>
      </c>
      <c r="K74" s="140" t="s">
        <v>20</v>
      </c>
      <c r="L74" s="141"/>
      <c r="M74" s="141"/>
      <c r="N74" s="199">
        <v>14329</v>
      </c>
      <c r="O74" s="199">
        <f>SUM(O14,O26,O49,O64)</f>
        <v>14329</v>
      </c>
      <c r="P74" s="199">
        <f>P14+P49+P64</f>
        <v>4164</v>
      </c>
      <c r="Q74" s="192">
        <f>P74/O74*100</f>
        <v>29.059948356479865</v>
      </c>
      <c r="R74" s="37"/>
    </row>
    <row r="75" spans="1:23" ht="16.5" customHeight="1" x14ac:dyDescent="0.25">
      <c r="A75" s="97"/>
      <c r="B75" s="96"/>
      <c r="C75" s="149"/>
      <c r="D75" s="150"/>
      <c r="E75" s="150"/>
      <c r="F75" s="251"/>
      <c r="G75" s="232"/>
      <c r="H75" s="232"/>
      <c r="I75" s="259"/>
      <c r="J75" s="214" t="s">
        <v>105</v>
      </c>
      <c r="K75" s="303" t="s">
        <v>104</v>
      </c>
      <c r="L75" s="304"/>
      <c r="M75" s="304"/>
      <c r="N75" s="199">
        <v>0</v>
      </c>
      <c r="O75" s="199">
        <f>O15</f>
        <v>0</v>
      </c>
      <c r="P75" s="199"/>
      <c r="Q75" s="192"/>
      <c r="R75" s="37"/>
    </row>
    <row r="76" spans="1:23" ht="15.75" customHeight="1" x14ac:dyDescent="0.25">
      <c r="A76" s="97"/>
      <c r="B76" s="63" t="s">
        <v>23</v>
      </c>
      <c r="C76" s="335" t="s">
        <v>45</v>
      </c>
      <c r="D76" s="336"/>
      <c r="E76" s="144"/>
      <c r="F76" s="199">
        <v>2817</v>
      </c>
      <c r="G76" s="199">
        <f>SUM(G17,G37,G51,G31)</f>
        <v>3732</v>
      </c>
      <c r="H76" s="199">
        <f>H17+H37+H51</f>
        <v>2479</v>
      </c>
      <c r="I76" s="259">
        <f t="shared" si="0"/>
        <v>66.425509110396575</v>
      </c>
      <c r="J76" s="214" t="s">
        <v>91</v>
      </c>
      <c r="K76" s="10" t="s">
        <v>21</v>
      </c>
      <c r="L76" s="11"/>
      <c r="M76" s="11"/>
      <c r="N76" s="199">
        <v>2368</v>
      </c>
      <c r="O76" s="199">
        <f>SUM(O16,O27,O50)</f>
        <v>2368</v>
      </c>
      <c r="P76" s="199">
        <f>P16+P35+P50</f>
        <v>492</v>
      </c>
      <c r="Q76" s="192">
        <f>P76/O76*100</f>
        <v>20.777027027027025</v>
      </c>
      <c r="R76" s="37"/>
    </row>
    <row r="77" spans="1:23" ht="15.75" customHeight="1" x14ac:dyDescent="0.25">
      <c r="A77" s="97"/>
      <c r="B77" s="63"/>
      <c r="C77" s="153"/>
      <c r="D77" s="154"/>
      <c r="E77" s="144"/>
      <c r="F77" s="199"/>
      <c r="G77" s="199"/>
      <c r="H77" s="199"/>
      <c r="I77" s="55"/>
      <c r="J77" s="214" t="s">
        <v>92</v>
      </c>
      <c r="K77" s="141" t="s">
        <v>22</v>
      </c>
      <c r="L77" s="141"/>
      <c r="M77" s="141"/>
      <c r="N77" s="199">
        <v>1242</v>
      </c>
      <c r="O77" s="199">
        <f>SUM(O17,O28)</f>
        <v>1242</v>
      </c>
      <c r="P77" s="199">
        <f>P17</f>
        <v>379</v>
      </c>
      <c r="Q77" s="192">
        <f>P77/O77*100</f>
        <v>30.515297906602257</v>
      </c>
      <c r="R77" s="37"/>
      <c r="S77" s="58"/>
      <c r="T77" s="349"/>
      <c r="U77" s="349"/>
      <c r="V77" s="349"/>
      <c r="W77" s="59"/>
    </row>
    <row r="78" spans="1:23" ht="15.75" customHeight="1" x14ac:dyDescent="0.25">
      <c r="A78" s="97"/>
      <c r="B78" s="63"/>
      <c r="C78" s="153"/>
      <c r="D78" s="154"/>
      <c r="E78" s="144"/>
      <c r="F78" s="199"/>
      <c r="G78" s="199"/>
      <c r="H78" s="199"/>
      <c r="I78" s="55"/>
      <c r="J78" s="214" t="s">
        <v>116</v>
      </c>
      <c r="K78" s="10" t="s">
        <v>115</v>
      </c>
      <c r="L78" s="11"/>
      <c r="M78" s="11"/>
      <c r="N78" s="199">
        <v>20</v>
      </c>
      <c r="O78" s="199">
        <f>SUM(O51)</f>
        <v>20</v>
      </c>
      <c r="P78" s="199"/>
      <c r="Q78" s="13"/>
      <c r="R78" s="37"/>
      <c r="S78" s="58"/>
      <c r="T78" s="62"/>
      <c r="U78" s="62"/>
      <c r="V78" s="62"/>
      <c r="W78" s="59"/>
    </row>
    <row r="79" spans="1:23" ht="15.75" customHeight="1" x14ac:dyDescent="0.25">
      <c r="A79" s="97"/>
      <c r="B79" s="63"/>
      <c r="C79" s="153"/>
      <c r="D79" s="154"/>
      <c r="E79" s="144"/>
      <c r="F79" s="199"/>
      <c r="G79" s="199"/>
      <c r="H79" s="199"/>
      <c r="I79" s="55"/>
      <c r="J79" s="21" t="s">
        <v>77</v>
      </c>
      <c r="K79" s="81" t="s">
        <v>78</v>
      </c>
      <c r="L79" s="82"/>
      <c r="M79" s="82"/>
      <c r="N79" s="199"/>
      <c r="O79" s="199"/>
      <c r="P79" s="199">
        <f>P36+P18</f>
        <v>25</v>
      </c>
      <c r="Q79" s="13"/>
      <c r="R79" s="37"/>
      <c r="S79" s="58"/>
      <c r="T79" s="62"/>
      <c r="U79" s="62"/>
      <c r="V79" s="62"/>
      <c r="W79" s="59"/>
    </row>
    <row r="80" spans="1:23" ht="15.75" customHeight="1" x14ac:dyDescent="0.25">
      <c r="A80" s="97"/>
      <c r="B80" s="63"/>
      <c r="C80" s="153"/>
      <c r="D80" s="154"/>
      <c r="E80" s="144"/>
      <c r="F80" s="199"/>
      <c r="G80" s="199"/>
      <c r="H80" s="199"/>
      <c r="I80" s="55"/>
      <c r="J80" s="20" t="s">
        <v>110</v>
      </c>
      <c r="K80" s="297" t="s">
        <v>111</v>
      </c>
      <c r="L80" s="279"/>
      <c r="M80" s="279"/>
      <c r="N80" s="206"/>
      <c r="O80" s="199"/>
      <c r="P80" s="199"/>
      <c r="Q80" s="13"/>
      <c r="R80" s="37"/>
      <c r="S80" s="58"/>
      <c r="T80" s="62"/>
      <c r="U80" s="62"/>
      <c r="V80" s="62"/>
      <c r="W80" s="59"/>
    </row>
    <row r="81" spans="1:23" ht="15.75" customHeight="1" x14ac:dyDescent="0.25">
      <c r="A81" s="97"/>
      <c r="B81" s="63"/>
      <c r="C81" s="153"/>
      <c r="D81" s="154"/>
      <c r="E81" s="144"/>
      <c r="F81" s="199"/>
      <c r="G81" s="199"/>
      <c r="H81" s="199"/>
      <c r="I81" s="55"/>
      <c r="J81" s="21" t="s">
        <v>112</v>
      </c>
      <c r="K81" s="298" t="s">
        <v>113</v>
      </c>
      <c r="L81" s="299"/>
      <c r="M81" s="299"/>
      <c r="N81" s="199">
        <v>0</v>
      </c>
      <c r="O81" s="199">
        <f>SUM(O53)</f>
        <v>0</v>
      </c>
      <c r="P81" s="199"/>
      <c r="Q81" s="13"/>
      <c r="R81" s="37"/>
      <c r="S81" s="58"/>
      <c r="T81" s="62"/>
      <c r="U81" s="62"/>
      <c r="V81" s="62"/>
      <c r="W81" s="59"/>
    </row>
    <row r="82" spans="1:23" ht="15.75" customHeight="1" x14ac:dyDescent="0.25">
      <c r="A82" s="97"/>
      <c r="B82" s="63"/>
      <c r="C82" s="153"/>
      <c r="D82" s="154"/>
      <c r="E82" s="144"/>
      <c r="F82" s="199"/>
      <c r="G82" s="199"/>
      <c r="H82" s="199"/>
      <c r="I82" s="55"/>
      <c r="J82" s="216" t="s">
        <v>100</v>
      </c>
      <c r="K82" s="300" t="s">
        <v>101</v>
      </c>
      <c r="L82" s="301"/>
      <c r="M82" s="301"/>
      <c r="N82" s="206"/>
      <c r="O82" s="199"/>
      <c r="P82" s="199"/>
      <c r="Q82" s="13"/>
      <c r="R82" s="37"/>
      <c r="S82" s="58"/>
      <c r="T82" s="62"/>
      <c r="U82" s="62"/>
      <c r="V82" s="62"/>
      <c r="W82" s="59"/>
    </row>
    <row r="83" spans="1:23" ht="15.75" customHeight="1" x14ac:dyDescent="0.25">
      <c r="A83" s="97"/>
      <c r="B83" s="63"/>
      <c r="C83" s="153"/>
      <c r="D83" s="154"/>
      <c r="E83" s="144"/>
      <c r="F83" s="199"/>
      <c r="G83" s="199"/>
      <c r="H83" s="199"/>
      <c r="I83" s="55"/>
      <c r="J83" s="21" t="s">
        <v>97</v>
      </c>
      <c r="K83" s="298" t="s">
        <v>98</v>
      </c>
      <c r="L83" s="299"/>
      <c r="M83" s="299"/>
      <c r="N83" s="199">
        <v>0</v>
      </c>
      <c r="O83" s="199">
        <f>O55</f>
        <v>0</v>
      </c>
      <c r="P83" s="199"/>
      <c r="Q83" s="13"/>
      <c r="R83" s="37"/>
      <c r="S83" s="58"/>
      <c r="T83" s="62"/>
      <c r="U83" s="62"/>
      <c r="V83" s="62"/>
      <c r="W83" s="59"/>
    </row>
    <row r="84" spans="1:23" x14ac:dyDescent="0.25">
      <c r="A84" s="97"/>
      <c r="B84" s="87"/>
      <c r="C84" s="98"/>
      <c r="D84" s="88"/>
      <c r="E84" s="88"/>
      <c r="F84" s="241"/>
      <c r="G84" s="252"/>
      <c r="H84" s="252"/>
      <c r="I84" s="99"/>
      <c r="J84" s="310" t="s">
        <v>50</v>
      </c>
      <c r="K84" s="310"/>
      <c r="L84" s="310"/>
      <c r="M84" s="310"/>
      <c r="N84" s="168"/>
      <c r="O84" s="199"/>
      <c r="P84" s="199"/>
      <c r="Q84" s="13"/>
      <c r="R84" s="37"/>
    </row>
    <row r="85" spans="1:23" x14ac:dyDescent="0.25">
      <c r="A85" s="97"/>
      <c r="B85" s="87"/>
      <c r="C85" s="98"/>
      <c r="D85" s="88"/>
      <c r="E85" s="88"/>
      <c r="F85" s="241"/>
      <c r="G85" s="252"/>
      <c r="H85" s="252"/>
      <c r="I85" s="99"/>
      <c r="J85" s="21" t="s">
        <v>52</v>
      </c>
      <c r="K85" s="11" t="s">
        <v>34</v>
      </c>
      <c r="L85" s="141"/>
      <c r="M85" s="141"/>
      <c r="N85" s="199">
        <v>63005</v>
      </c>
      <c r="O85" s="199">
        <f>O59</f>
        <v>64788</v>
      </c>
      <c r="P85" s="199">
        <f>P59</f>
        <v>60868</v>
      </c>
      <c r="Q85" s="192">
        <f>P85/O85*100</f>
        <v>93.949496820398835</v>
      </c>
      <c r="R85" s="37"/>
    </row>
    <row r="86" spans="1:23" ht="16.5" thickBot="1" x14ac:dyDescent="0.3">
      <c r="A86" s="100"/>
      <c r="B86" s="101"/>
      <c r="C86" s="102"/>
      <c r="D86" s="103"/>
      <c r="E86" s="213"/>
      <c r="F86" s="237"/>
      <c r="G86" s="237"/>
      <c r="H86" s="202"/>
      <c r="I86" s="79"/>
      <c r="J86" s="214" t="s">
        <v>67</v>
      </c>
      <c r="K86" s="303" t="s">
        <v>68</v>
      </c>
      <c r="L86" s="304"/>
      <c r="M86" s="304"/>
      <c r="N86" s="202">
        <v>4306</v>
      </c>
      <c r="O86" s="202">
        <f>O60</f>
        <v>2608</v>
      </c>
      <c r="P86" s="202">
        <f>P60</f>
        <v>2608</v>
      </c>
      <c r="Q86" s="192">
        <f>P86/O86*100</f>
        <v>100</v>
      </c>
      <c r="R86" s="37"/>
    </row>
    <row r="87" spans="1:23" ht="16.5" thickBot="1" x14ac:dyDescent="0.3">
      <c r="A87" s="104" t="s">
        <v>47</v>
      </c>
      <c r="B87" s="105"/>
      <c r="C87" s="106"/>
      <c r="D87" s="106"/>
      <c r="E87" s="106"/>
      <c r="F87" s="179">
        <v>93377</v>
      </c>
      <c r="G87" s="179">
        <f>SUM(G68:G76)</f>
        <v>92010</v>
      </c>
      <c r="H87" s="179">
        <f>SUM(H68:H86)</f>
        <v>68033</v>
      </c>
      <c r="I87" s="260">
        <f>H87/G87*100</f>
        <v>73.940875991740029</v>
      </c>
      <c r="J87" s="319" t="s">
        <v>120</v>
      </c>
      <c r="K87" s="320"/>
      <c r="L87" s="320"/>
      <c r="M87" s="321"/>
      <c r="N87" s="179">
        <f>SUM(N68:N86)</f>
        <v>93377</v>
      </c>
      <c r="O87" s="179">
        <f>SUM(O68:O86)</f>
        <v>92010</v>
      </c>
      <c r="P87" s="179">
        <f>SUM(P68:P86)</f>
        <v>68543</v>
      </c>
      <c r="Q87" s="211">
        <f>P87/O87*100</f>
        <v>74.495163569177265</v>
      </c>
      <c r="R87" s="37"/>
      <c r="S87" s="107"/>
    </row>
    <row r="88" spans="1:23" x14ac:dyDescent="0.25">
      <c r="A88" s="108"/>
      <c r="B88" s="109" t="s">
        <v>37</v>
      </c>
      <c r="C88" s="110"/>
      <c r="D88" s="110"/>
      <c r="E88" s="111"/>
      <c r="F88" s="253"/>
      <c r="G88" s="232"/>
      <c r="H88" s="232"/>
      <c r="I88" s="112"/>
      <c r="J88" s="113" t="s">
        <v>38</v>
      </c>
      <c r="K88" s="114"/>
      <c r="L88" s="114"/>
      <c r="M88" s="226"/>
      <c r="N88" s="232"/>
      <c r="O88" s="232"/>
      <c r="P88" s="232"/>
      <c r="Q88" s="115"/>
    </row>
    <row r="89" spans="1:23" ht="30.75" customHeight="1" x14ac:dyDescent="0.25">
      <c r="A89" s="116" t="s">
        <v>2</v>
      </c>
      <c r="B89" s="322" t="s">
        <v>48</v>
      </c>
      <c r="C89" s="323"/>
      <c r="D89" s="323"/>
      <c r="E89" s="323"/>
      <c r="F89" s="242"/>
      <c r="G89" s="232"/>
      <c r="H89" s="232"/>
      <c r="I89" s="54"/>
      <c r="J89" s="323" t="s">
        <v>48</v>
      </c>
      <c r="K89" s="323"/>
      <c r="L89" s="323"/>
      <c r="M89" s="323"/>
      <c r="N89" s="245"/>
      <c r="O89" s="199"/>
      <c r="P89" s="199"/>
      <c r="Q89" s="13"/>
    </row>
    <row r="90" spans="1:23" x14ac:dyDescent="0.25">
      <c r="A90" s="74"/>
      <c r="B90" s="297" t="s">
        <v>39</v>
      </c>
      <c r="C90" s="279"/>
      <c r="D90" s="279"/>
      <c r="E90" s="279"/>
      <c r="F90" s="206"/>
      <c r="G90" s="199"/>
      <c r="H90" s="199"/>
      <c r="I90" s="55"/>
      <c r="J90" s="311" t="s">
        <v>95</v>
      </c>
      <c r="K90" s="312"/>
      <c r="L90" s="312"/>
      <c r="M90" s="297"/>
      <c r="N90" s="206"/>
      <c r="O90" s="199"/>
      <c r="P90" s="199"/>
      <c r="Q90" s="13"/>
    </row>
    <row r="91" spans="1:23" x14ac:dyDescent="0.25">
      <c r="A91" s="53"/>
      <c r="B91" s="17" t="s">
        <v>31</v>
      </c>
      <c r="C91" s="307" t="s">
        <v>40</v>
      </c>
      <c r="D91" s="307"/>
      <c r="E91" s="303"/>
      <c r="F91" s="199">
        <v>394</v>
      </c>
      <c r="G91" s="199">
        <v>394</v>
      </c>
      <c r="H91" s="199">
        <v>256</v>
      </c>
      <c r="I91" s="259">
        <f>H91/G91*100</f>
        <v>64.974619289340097</v>
      </c>
      <c r="J91" s="214" t="s">
        <v>88</v>
      </c>
      <c r="K91" s="140" t="s">
        <v>20</v>
      </c>
      <c r="L91" s="141"/>
      <c r="M91" s="141"/>
      <c r="N91" s="199">
        <v>0</v>
      </c>
      <c r="O91" s="199">
        <v>0</v>
      </c>
      <c r="P91" s="199"/>
      <c r="Q91" s="13"/>
    </row>
    <row r="92" spans="1:23" x14ac:dyDescent="0.25">
      <c r="A92" s="53"/>
      <c r="B92" s="17" t="s">
        <v>32</v>
      </c>
      <c r="C92" s="303" t="s">
        <v>6</v>
      </c>
      <c r="D92" s="304"/>
      <c r="E92" s="304"/>
      <c r="F92" s="199">
        <v>69</v>
      </c>
      <c r="G92" s="199">
        <v>69</v>
      </c>
      <c r="H92" s="199">
        <v>42</v>
      </c>
      <c r="I92" s="259">
        <f>H92/G92*100</f>
        <v>60.869565217391312</v>
      </c>
      <c r="J92" s="214" t="s">
        <v>91</v>
      </c>
      <c r="K92" s="10" t="s">
        <v>21</v>
      </c>
      <c r="L92" s="11"/>
      <c r="M92" s="11"/>
      <c r="N92" s="199">
        <v>0</v>
      </c>
      <c r="O92" s="199">
        <v>0</v>
      </c>
      <c r="P92" s="199"/>
      <c r="Q92" s="13"/>
    </row>
    <row r="93" spans="1:23" ht="16.5" thickBot="1" x14ac:dyDescent="0.3">
      <c r="A93" s="53"/>
      <c r="B93" s="117" t="s">
        <v>33</v>
      </c>
      <c r="C93" s="303" t="s">
        <v>8</v>
      </c>
      <c r="D93" s="304"/>
      <c r="E93" s="304"/>
      <c r="F93" s="202">
        <v>1284</v>
      </c>
      <c r="G93" s="202">
        <v>1284</v>
      </c>
      <c r="H93" s="202">
        <v>778</v>
      </c>
      <c r="I93" s="259">
        <f>H93/G93*100</f>
        <v>60.59190031152648</v>
      </c>
      <c r="J93" s="214" t="s">
        <v>92</v>
      </c>
      <c r="K93" s="141" t="s">
        <v>22</v>
      </c>
      <c r="L93" s="141"/>
      <c r="M93" s="141"/>
      <c r="N93" s="202">
        <v>0</v>
      </c>
      <c r="O93" s="202">
        <v>0</v>
      </c>
      <c r="P93" s="202"/>
      <c r="Q93" s="80"/>
    </row>
    <row r="94" spans="1:23" ht="16.5" thickBot="1" x14ac:dyDescent="0.3">
      <c r="A94" s="53"/>
      <c r="B94" s="64"/>
      <c r="C94" s="303" t="s">
        <v>41</v>
      </c>
      <c r="D94" s="304"/>
      <c r="E94" s="304"/>
      <c r="F94" s="179">
        <f>SUM(F91:F93)</f>
        <v>1747</v>
      </c>
      <c r="G94" s="179">
        <f>SUM(G91:G93)</f>
        <v>1747</v>
      </c>
      <c r="H94" s="179">
        <f>SUM(H91:H93)</f>
        <v>1076</v>
      </c>
      <c r="I94" s="260">
        <f>H94/G94*100</f>
        <v>61.591299370349176</v>
      </c>
      <c r="J94" s="118"/>
      <c r="K94" s="303" t="s">
        <v>42</v>
      </c>
      <c r="L94" s="304"/>
      <c r="M94" s="304"/>
      <c r="N94" s="179">
        <v>0</v>
      </c>
      <c r="O94" s="179">
        <f>SUM(O91:O93)</f>
        <v>0</v>
      </c>
      <c r="P94" s="179"/>
      <c r="Q94" s="25"/>
    </row>
    <row r="95" spans="1:23" x14ac:dyDescent="0.25">
      <c r="A95" s="60" t="s">
        <v>2</v>
      </c>
      <c r="B95" s="145" t="s">
        <v>89</v>
      </c>
      <c r="C95" s="146"/>
      <c r="D95" s="146"/>
      <c r="E95" s="146"/>
      <c r="F95" s="246"/>
      <c r="G95" s="232"/>
      <c r="H95" s="232"/>
      <c r="I95" s="54"/>
      <c r="J95" s="146" t="s">
        <v>89</v>
      </c>
      <c r="K95" s="146"/>
      <c r="L95" s="146"/>
      <c r="M95" s="146"/>
      <c r="N95" s="246"/>
      <c r="O95" s="232"/>
      <c r="P95" s="232"/>
      <c r="Q95" s="67"/>
    </row>
    <row r="96" spans="1:23" x14ac:dyDescent="0.25">
      <c r="A96" s="60"/>
      <c r="B96" s="147" t="s">
        <v>29</v>
      </c>
      <c r="C96" s="142"/>
      <c r="D96" s="139"/>
      <c r="E96" s="139"/>
      <c r="F96" s="206"/>
      <c r="G96" s="199"/>
      <c r="H96" s="199"/>
      <c r="I96" s="55"/>
      <c r="J96" s="118"/>
      <c r="K96" s="344"/>
      <c r="L96" s="345"/>
      <c r="M96" s="345"/>
      <c r="N96" s="199"/>
      <c r="O96" s="199"/>
      <c r="P96" s="199"/>
      <c r="Q96" s="13"/>
    </row>
    <row r="97" spans="1:18" x14ac:dyDescent="0.25">
      <c r="A97" s="60"/>
      <c r="B97" s="17" t="s">
        <v>31</v>
      </c>
      <c r="C97" s="303" t="s">
        <v>5</v>
      </c>
      <c r="D97" s="304"/>
      <c r="E97" s="304"/>
      <c r="F97" s="202">
        <v>2883</v>
      </c>
      <c r="G97" s="202">
        <f>2898+3+3+2</f>
        <v>2906</v>
      </c>
      <c r="H97" s="202">
        <v>2906</v>
      </c>
      <c r="I97" s="261">
        <f>H97/G97*100</f>
        <v>100</v>
      </c>
      <c r="J97" s="12"/>
      <c r="K97" s="344"/>
      <c r="L97" s="345"/>
      <c r="M97" s="345"/>
      <c r="N97" s="199"/>
      <c r="O97" s="199"/>
      <c r="P97" s="199"/>
      <c r="Q97" s="125"/>
    </row>
    <row r="98" spans="1:18" x14ac:dyDescent="0.25">
      <c r="A98" s="60"/>
      <c r="B98" s="17" t="s">
        <v>32</v>
      </c>
      <c r="C98" s="56" t="s">
        <v>6</v>
      </c>
      <c r="D98" s="56"/>
      <c r="E98" s="10"/>
      <c r="F98" s="199">
        <v>505</v>
      </c>
      <c r="G98" s="199">
        <f>509+1-2</f>
        <v>508</v>
      </c>
      <c r="H98" s="199">
        <v>484</v>
      </c>
      <c r="I98" s="261">
        <f>H98/G98*100</f>
        <v>95.275590551181097</v>
      </c>
      <c r="J98" s="219"/>
      <c r="K98" s="308"/>
      <c r="L98" s="309"/>
      <c r="M98" s="309"/>
      <c r="N98" s="168"/>
      <c r="O98" s="199"/>
      <c r="P98" s="199"/>
      <c r="Q98" s="125"/>
    </row>
    <row r="99" spans="1:18" x14ac:dyDescent="0.25">
      <c r="A99" s="60"/>
      <c r="B99" s="72" t="s">
        <v>33</v>
      </c>
      <c r="C99" s="143" t="s">
        <v>8</v>
      </c>
      <c r="D99" s="144"/>
      <c r="E99" s="144"/>
      <c r="F99" s="235">
        <v>889</v>
      </c>
      <c r="G99" s="235">
        <v>889</v>
      </c>
      <c r="H99" s="235">
        <v>565</v>
      </c>
      <c r="I99" s="261">
        <f>H99/G99*100</f>
        <v>63.554555680539934</v>
      </c>
      <c r="J99" s="83"/>
      <c r="K99" s="346"/>
      <c r="L99" s="347"/>
      <c r="M99" s="347"/>
      <c r="N99" s="199"/>
      <c r="O99" s="199"/>
      <c r="P99" s="199"/>
      <c r="Q99" s="13"/>
    </row>
    <row r="100" spans="1:18" x14ac:dyDescent="0.25">
      <c r="A100" s="48"/>
      <c r="B100" s="26" t="s">
        <v>83</v>
      </c>
      <c r="C100" s="26"/>
      <c r="D100" s="26"/>
      <c r="E100" s="26"/>
      <c r="F100" s="206"/>
      <c r="G100" s="199"/>
      <c r="H100" s="199"/>
      <c r="I100" s="261"/>
      <c r="J100" s="83"/>
      <c r="K100" s="155"/>
      <c r="L100" s="156"/>
      <c r="M100" s="156"/>
      <c r="N100" s="199"/>
      <c r="O100" s="199"/>
      <c r="P100" s="199"/>
      <c r="Q100" s="13"/>
    </row>
    <row r="101" spans="1:18" ht="16.5" thickBot="1" x14ac:dyDescent="0.3">
      <c r="A101" s="93"/>
      <c r="B101" s="17" t="s">
        <v>54</v>
      </c>
      <c r="C101" s="140" t="s">
        <v>25</v>
      </c>
      <c r="D101" s="141"/>
      <c r="E101" s="141"/>
      <c r="F101" s="202">
        <v>0</v>
      </c>
      <c r="G101" s="202">
        <v>0</v>
      </c>
      <c r="H101" s="202">
        <v>0</v>
      </c>
      <c r="I101" s="261"/>
      <c r="J101" s="83"/>
      <c r="K101" s="155"/>
      <c r="L101" s="156"/>
      <c r="M101" s="156"/>
      <c r="N101" s="202"/>
      <c r="O101" s="202"/>
      <c r="P101" s="202"/>
      <c r="Q101" s="80"/>
    </row>
    <row r="102" spans="1:18" ht="16.5" thickBot="1" x14ac:dyDescent="0.3">
      <c r="A102" s="53"/>
      <c r="B102" s="77"/>
      <c r="C102" s="11" t="s">
        <v>41</v>
      </c>
      <c r="D102" s="141"/>
      <c r="E102" s="141"/>
      <c r="F102" s="179">
        <f>SUM(F97:F101)</f>
        <v>4277</v>
      </c>
      <c r="G102" s="179">
        <f>SUM(G97:G101)</f>
        <v>4303</v>
      </c>
      <c r="H102" s="179">
        <f>SUM(H97:H101)</f>
        <v>3955</v>
      </c>
      <c r="I102" s="260">
        <f>H102/G102*100</f>
        <v>91.912619102951425</v>
      </c>
      <c r="J102" s="118"/>
      <c r="K102" s="10"/>
      <c r="L102" s="11"/>
      <c r="M102" s="11"/>
      <c r="N102" s="236"/>
      <c r="O102" s="236"/>
      <c r="P102" s="236"/>
      <c r="Q102" s="78"/>
    </row>
    <row r="103" spans="1:18" x14ac:dyDescent="0.25">
      <c r="A103" s="53" t="s">
        <v>4</v>
      </c>
      <c r="B103" s="348" t="s">
        <v>28</v>
      </c>
      <c r="C103" s="305"/>
      <c r="D103" s="305"/>
      <c r="E103" s="305"/>
      <c r="F103" s="247"/>
      <c r="G103" s="235"/>
      <c r="H103" s="235"/>
      <c r="I103" s="73"/>
      <c r="J103" s="305" t="s">
        <v>28</v>
      </c>
      <c r="K103" s="305"/>
      <c r="L103" s="305"/>
      <c r="M103" s="305"/>
      <c r="N103" s="246"/>
      <c r="O103" s="232"/>
      <c r="P103" s="232"/>
      <c r="Q103" s="67"/>
      <c r="R103" s="37"/>
    </row>
    <row r="104" spans="1:18" x14ac:dyDescent="0.25">
      <c r="A104" s="53"/>
      <c r="B104" s="64"/>
      <c r="C104" s="10"/>
      <c r="D104" s="141"/>
      <c r="E104" s="141"/>
      <c r="F104" s="199"/>
      <c r="G104" s="199"/>
      <c r="H104" s="199"/>
      <c r="I104" s="55"/>
      <c r="J104" s="219" t="s">
        <v>66</v>
      </c>
      <c r="K104" s="148" t="s">
        <v>62</v>
      </c>
      <c r="L104" s="148"/>
      <c r="M104" s="148"/>
      <c r="N104" s="168"/>
      <c r="O104" s="199"/>
      <c r="P104" s="199"/>
      <c r="Q104" s="85"/>
      <c r="R104" s="37"/>
    </row>
    <row r="105" spans="1:18" ht="16.5" thickBot="1" x14ac:dyDescent="0.3">
      <c r="A105" s="86"/>
      <c r="B105" s="87"/>
      <c r="C105" s="88"/>
      <c r="D105" s="88"/>
      <c r="E105" s="88"/>
      <c r="F105" s="254"/>
      <c r="G105" s="202"/>
      <c r="H105" s="202"/>
      <c r="I105" s="79"/>
      <c r="J105" s="220" t="s">
        <v>52</v>
      </c>
      <c r="K105" s="11" t="s">
        <v>34</v>
      </c>
      <c r="L105" s="141"/>
      <c r="M105" s="141"/>
      <c r="N105" s="202">
        <v>6024</v>
      </c>
      <c r="O105" s="202">
        <f>6035+4+4+3+4</f>
        <v>6050</v>
      </c>
      <c r="P105" s="202">
        <v>5031</v>
      </c>
      <c r="Q105" s="262">
        <f>P105/O105*100</f>
        <v>83.15702479338843</v>
      </c>
      <c r="R105" s="37"/>
    </row>
    <row r="106" spans="1:18" ht="16.5" thickBot="1" x14ac:dyDescent="0.3">
      <c r="A106" s="89"/>
      <c r="B106" s="90"/>
      <c r="C106" s="8"/>
      <c r="D106" s="8"/>
      <c r="E106" s="8"/>
      <c r="F106" s="249"/>
      <c r="G106" s="236"/>
      <c r="H106" s="236"/>
      <c r="I106" s="231"/>
      <c r="J106" s="218"/>
      <c r="K106" s="303" t="s">
        <v>36</v>
      </c>
      <c r="L106" s="304"/>
      <c r="M106" s="304"/>
      <c r="N106" s="179">
        <v>6024</v>
      </c>
      <c r="O106" s="179">
        <f>SUM(O105)</f>
        <v>6050</v>
      </c>
      <c r="P106" s="179">
        <f>SUM(P105)</f>
        <v>5031</v>
      </c>
      <c r="Q106" s="211">
        <f>P106/O106*100</f>
        <v>83.15702479338843</v>
      </c>
      <c r="R106" s="37"/>
    </row>
    <row r="107" spans="1:18" x14ac:dyDescent="0.25">
      <c r="A107" s="341" t="s">
        <v>63</v>
      </c>
      <c r="B107" s="342"/>
      <c r="C107" s="342"/>
      <c r="D107" s="342"/>
      <c r="E107" s="343"/>
      <c r="F107" s="250"/>
      <c r="G107" s="232"/>
      <c r="H107" s="232"/>
      <c r="I107" s="54"/>
      <c r="J107" s="302" t="s">
        <v>64</v>
      </c>
      <c r="K107" s="302"/>
      <c r="L107" s="302"/>
      <c r="M107" s="302"/>
      <c r="N107" s="250"/>
      <c r="O107" s="250"/>
      <c r="P107" s="250"/>
      <c r="Q107" s="92"/>
      <c r="R107" s="37"/>
    </row>
    <row r="108" spans="1:18" x14ac:dyDescent="0.25">
      <c r="A108" s="318" t="s">
        <v>29</v>
      </c>
      <c r="B108" s="312"/>
      <c r="C108" s="312"/>
      <c r="D108" s="312"/>
      <c r="E108" s="297"/>
      <c r="F108" s="206"/>
      <c r="G108" s="199"/>
      <c r="H108" s="199"/>
      <c r="I108" s="55"/>
      <c r="J108" s="311" t="s">
        <v>95</v>
      </c>
      <c r="K108" s="312"/>
      <c r="L108" s="312"/>
      <c r="M108" s="297"/>
      <c r="N108" s="206"/>
      <c r="O108" s="199"/>
      <c r="P108" s="199"/>
      <c r="Q108" s="13"/>
      <c r="R108" s="37"/>
    </row>
    <row r="109" spans="1:18" x14ac:dyDescent="0.25">
      <c r="A109" s="93"/>
      <c r="B109" s="17" t="s">
        <v>31</v>
      </c>
      <c r="C109" s="303" t="s">
        <v>5</v>
      </c>
      <c r="D109" s="304"/>
      <c r="E109" s="304"/>
      <c r="F109" s="199">
        <v>3277</v>
      </c>
      <c r="G109" s="199">
        <f>SUM(G91,G97)</f>
        <v>3300</v>
      </c>
      <c r="H109" s="199">
        <f>H91+H97</f>
        <v>3162</v>
      </c>
      <c r="I109" s="259">
        <f>H109/G109*100</f>
        <v>95.818181818181813</v>
      </c>
      <c r="J109" s="214" t="s">
        <v>88</v>
      </c>
      <c r="K109" s="140" t="s">
        <v>20</v>
      </c>
      <c r="L109" s="141"/>
      <c r="M109" s="141"/>
      <c r="N109" s="199">
        <v>0</v>
      </c>
      <c r="O109" s="199">
        <v>0</v>
      </c>
      <c r="P109" s="199"/>
      <c r="Q109" s="13"/>
      <c r="R109" s="37"/>
    </row>
    <row r="110" spans="1:18" x14ac:dyDescent="0.25">
      <c r="A110" s="93"/>
      <c r="B110" s="17" t="s">
        <v>32</v>
      </c>
      <c r="C110" s="56" t="s">
        <v>6</v>
      </c>
      <c r="D110" s="56"/>
      <c r="E110" s="10"/>
      <c r="F110" s="199">
        <v>574</v>
      </c>
      <c r="G110" s="199">
        <f>SUM(G92,G98)</f>
        <v>577</v>
      </c>
      <c r="H110" s="199">
        <f>H92+H98</f>
        <v>526</v>
      </c>
      <c r="I110" s="259">
        <f>H110/G110*100</f>
        <v>91.161178509532064</v>
      </c>
      <c r="J110" s="214" t="s">
        <v>91</v>
      </c>
      <c r="K110" s="10" t="s">
        <v>21</v>
      </c>
      <c r="L110" s="11"/>
      <c r="M110" s="11"/>
      <c r="N110" s="199">
        <v>0</v>
      </c>
      <c r="O110" s="199">
        <v>0</v>
      </c>
      <c r="P110" s="199"/>
      <c r="Q110" s="13"/>
      <c r="R110" s="95"/>
    </row>
    <row r="111" spans="1:18" x14ac:dyDescent="0.25">
      <c r="A111" s="93"/>
      <c r="B111" s="57" t="s">
        <v>33</v>
      </c>
      <c r="C111" s="143" t="s">
        <v>8</v>
      </c>
      <c r="D111" s="144"/>
      <c r="E111" s="144"/>
      <c r="F111" s="199">
        <v>2173</v>
      </c>
      <c r="G111" s="199">
        <f>SUM(G93,G99)</f>
        <v>2173</v>
      </c>
      <c r="H111" s="199">
        <f>H93+H99</f>
        <v>1343</v>
      </c>
      <c r="I111" s="259">
        <f>H111/G111*100</f>
        <v>61.803957662218131</v>
      </c>
      <c r="J111" s="214" t="s">
        <v>92</v>
      </c>
      <c r="K111" s="141" t="s">
        <v>22</v>
      </c>
      <c r="L111" s="141"/>
      <c r="M111" s="141"/>
      <c r="N111" s="199">
        <v>0</v>
      </c>
      <c r="O111" s="199">
        <v>0</v>
      </c>
      <c r="P111" s="199"/>
      <c r="Q111" s="13"/>
      <c r="R111" s="37"/>
    </row>
    <row r="112" spans="1:18" x14ac:dyDescent="0.25">
      <c r="A112" s="97"/>
      <c r="B112" s="96" t="s">
        <v>4</v>
      </c>
      <c r="C112" s="314" t="s">
        <v>46</v>
      </c>
      <c r="D112" s="315"/>
      <c r="E112" s="315"/>
      <c r="F112" s="251"/>
      <c r="G112" s="232"/>
      <c r="H112" s="232"/>
      <c r="I112" s="54"/>
      <c r="J112" s="310" t="s">
        <v>50</v>
      </c>
      <c r="K112" s="310"/>
      <c r="L112" s="310"/>
      <c r="M112" s="310"/>
      <c r="N112" s="168"/>
      <c r="O112" s="199"/>
      <c r="P112" s="199"/>
      <c r="Q112" s="13"/>
      <c r="R112" s="37"/>
    </row>
    <row r="113" spans="1:23" ht="16.5" thickBot="1" x14ac:dyDescent="0.3">
      <c r="A113" s="120"/>
      <c r="B113" s="121" t="s">
        <v>23</v>
      </c>
      <c r="C113" s="316" t="s">
        <v>45</v>
      </c>
      <c r="D113" s="317"/>
      <c r="E113" s="122"/>
      <c r="F113" s="202">
        <v>0</v>
      </c>
      <c r="G113" s="202">
        <f>SUM(G101)</f>
        <v>0</v>
      </c>
      <c r="H113" s="202">
        <f>H101</f>
        <v>0</v>
      </c>
      <c r="I113" s="79"/>
      <c r="J113" s="220" t="s">
        <v>52</v>
      </c>
      <c r="K113" s="123" t="s">
        <v>34</v>
      </c>
      <c r="L113" s="124"/>
      <c r="M113" s="124"/>
      <c r="N113" s="202">
        <v>6024</v>
      </c>
      <c r="O113" s="202">
        <f>O105</f>
        <v>6050</v>
      </c>
      <c r="P113" s="202">
        <f>SUM(P105)</f>
        <v>5031</v>
      </c>
      <c r="Q113" s="262">
        <f>P113/O113*100</f>
        <v>83.15702479338843</v>
      </c>
      <c r="R113" s="37"/>
    </row>
    <row r="114" spans="1:23" ht="16.5" thickBot="1" x14ac:dyDescent="0.3">
      <c r="A114" s="333" t="s">
        <v>70</v>
      </c>
      <c r="B114" s="334"/>
      <c r="C114" s="334"/>
      <c r="D114" s="334"/>
      <c r="E114" s="334"/>
      <c r="F114" s="179">
        <f>SUM(F109:F113)</f>
        <v>6024</v>
      </c>
      <c r="G114" s="179">
        <f>SUM(G109:G113)</f>
        <v>6050</v>
      </c>
      <c r="H114" s="179">
        <f>SUM(H109:H113)</f>
        <v>5031</v>
      </c>
      <c r="I114" s="260">
        <f>H114/G114*100</f>
        <v>83.15702479338843</v>
      </c>
      <c r="J114" s="319" t="s">
        <v>71</v>
      </c>
      <c r="K114" s="320"/>
      <c r="L114" s="320"/>
      <c r="M114" s="321"/>
      <c r="N114" s="179">
        <f>SUM(N113)</f>
        <v>6024</v>
      </c>
      <c r="O114" s="179">
        <f>SUM(O109:O113)</f>
        <v>6050</v>
      </c>
      <c r="P114" s="179">
        <f>SUM(P113)</f>
        <v>5031</v>
      </c>
      <c r="Q114" s="211">
        <f>P114/O114*100</f>
        <v>83.15702479338843</v>
      </c>
    </row>
    <row r="115" spans="1:23" x14ac:dyDescent="0.25">
      <c r="A115" s="337" t="s">
        <v>49</v>
      </c>
      <c r="B115" s="338"/>
      <c r="C115" s="338"/>
      <c r="D115" s="338"/>
      <c r="E115" s="339"/>
      <c r="F115" s="250"/>
      <c r="G115" s="232"/>
      <c r="H115" s="232"/>
      <c r="I115" s="54"/>
      <c r="J115" s="340" t="s">
        <v>51</v>
      </c>
      <c r="K115" s="340"/>
      <c r="L115" s="340"/>
      <c r="M115" s="340"/>
      <c r="N115" s="250"/>
      <c r="O115" s="232"/>
      <c r="P115" s="232"/>
      <c r="Q115" s="115"/>
    </row>
    <row r="116" spans="1:23" x14ac:dyDescent="0.25">
      <c r="A116" s="318" t="s">
        <v>39</v>
      </c>
      <c r="B116" s="312"/>
      <c r="C116" s="312"/>
      <c r="D116" s="312"/>
      <c r="E116" s="297"/>
      <c r="F116" s="206"/>
      <c r="G116" s="199"/>
      <c r="H116" s="199"/>
      <c r="I116" s="55"/>
      <c r="J116" s="214" t="s">
        <v>9</v>
      </c>
      <c r="K116" s="297" t="s">
        <v>79</v>
      </c>
      <c r="L116" s="279"/>
      <c r="M116" s="279"/>
      <c r="N116" s="206"/>
      <c r="O116" s="199"/>
      <c r="P116" s="199"/>
      <c r="Q116" s="13"/>
    </row>
    <row r="117" spans="1:23" ht="32.25" customHeight="1" x14ac:dyDescent="0.25">
      <c r="A117" s="93"/>
      <c r="B117" s="17" t="s">
        <v>31</v>
      </c>
      <c r="C117" s="307" t="s">
        <v>40</v>
      </c>
      <c r="D117" s="307"/>
      <c r="E117" s="303"/>
      <c r="F117" s="199">
        <v>44778</v>
      </c>
      <c r="G117" s="199">
        <f>SUM(G68,G109)</f>
        <v>45381</v>
      </c>
      <c r="H117" s="199">
        <f>H109+H68</f>
        <v>42025</v>
      </c>
      <c r="I117" s="259">
        <f>H117/G117*100</f>
        <v>92.604834622419077</v>
      </c>
      <c r="J117" s="214" t="s">
        <v>80</v>
      </c>
      <c r="K117" s="292" t="s">
        <v>81</v>
      </c>
      <c r="L117" s="293"/>
      <c r="M117" s="294"/>
      <c r="N117" s="199">
        <v>6455</v>
      </c>
      <c r="O117" s="199">
        <f>O68</f>
        <v>6455</v>
      </c>
      <c r="P117" s="199">
        <f>P68</f>
        <v>7</v>
      </c>
      <c r="Q117" s="192">
        <f>P117/O117*100</f>
        <v>0.10844306738962044</v>
      </c>
      <c r="S117" s="107"/>
    </row>
    <row r="118" spans="1:23" x14ac:dyDescent="0.25">
      <c r="A118" s="93"/>
      <c r="B118" s="17"/>
      <c r="C118" s="140"/>
      <c r="D118" s="141"/>
      <c r="E118" s="141"/>
      <c r="F118" s="199"/>
      <c r="G118" s="199"/>
      <c r="H118" s="199"/>
      <c r="I118" s="259"/>
      <c r="J118" s="119" t="s">
        <v>106</v>
      </c>
      <c r="K118" s="15"/>
      <c r="L118" s="16"/>
      <c r="M118" s="141"/>
      <c r="N118" s="199"/>
      <c r="O118" s="199"/>
      <c r="P118" s="199"/>
      <c r="Q118" s="192"/>
      <c r="S118" s="107"/>
    </row>
    <row r="119" spans="1:23" x14ac:dyDescent="0.25">
      <c r="A119" s="93"/>
      <c r="B119" s="17"/>
      <c r="C119" s="140"/>
      <c r="D119" s="141"/>
      <c r="E119" s="141"/>
      <c r="F119" s="199"/>
      <c r="G119" s="199"/>
      <c r="H119" s="199"/>
      <c r="I119" s="259"/>
      <c r="J119" s="214" t="s">
        <v>107</v>
      </c>
      <c r="K119" s="140" t="s">
        <v>108</v>
      </c>
      <c r="L119" s="16"/>
      <c r="M119" s="141"/>
      <c r="N119" s="199">
        <v>1452</v>
      </c>
      <c r="O119" s="199">
        <f>O70</f>
        <v>0</v>
      </c>
      <c r="P119" s="199"/>
      <c r="Q119" s="192"/>
      <c r="S119" s="107"/>
    </row>
    <row r="120" spans="1:23" x14ac:dyDescent="0.25">
      <c r="A120" s="93"/>
      <c r="B120" s="17" t="s">
        <v>32</v>
      </c>
      <c r="C120" s="303" t="s">
        <v>6</v>
      </c>
      <c r="D120" s="304"/>
      <c r="E120" s="304"/>
      <c r="F120" s="199">
        <v>7399</v>
      </c>
      <c r="G120" s="199">
        <f>SUM(G71,G110)</f>
        <v>7441</v>
      </c>
      <c r="H120" s="199">
        <f>H110+H71</f>
        <v>6912</v>
      </c>
      <c r="I120" s="259">
        <f t="shared" ref="I120:I125" si="1">H120/G120*100</f>
        <v>92.890740491869366</v>
      </c>
      <c r="J120" s="279" t="s">
        <v>93</v>
      </c>
      <c r="K120" s="279"/>
      <c r="L120" s="279"/>
      <c r="M120" s="279"/>
      <c r="N120" s="206"/>
      <c r="O120" s="199"/>
      <c r="P120" s="199"/>
      <c r="Q120" s="192"/>
    </row>
    <row r="121" spans="1:23" x14ac:dyDescent="0.25">
      <c r="A121" s="93"/>
      <c r="B121" s="126" t="s">
        <v>33</v>
      </c>
      <c r="C121" s="303" t="s">
        <v>8</v>
      </c>
      <c r="D121" s="304"/>
      <c r="E121" s="304"/>
      <c r="F121" s="199">
        <v>44407</v>
      </c>
      <c r="G121" s="199">
        <f>SUM(G72,G111)</f>
        <v>41506</v>
      </c>
      <c r="H121" s="199">
        <f>H111+H72</f>
        <v>21648</v>
      </c>
      <c r="I121" s="259">
        <f t="shared" si="1"/>
        <v>52.156314749674749</v>
      </c>
      <c r="J121" s="21" t="s">
        <v>87</v>
      </c>
      <c r="K121" s="143" t="s">
        <v>76</v>
      </c>
      <c r="L121" s="144"/>
      <c r="M121" s="144"/>
      <c r="N121" s="199">
        <v>200</v>
      </c>
      <c r="O121" s="252">
        <f>SUM(O72)</f>
        <v>200</v>
      </c>
      <c r="P121" s="252"/>
      <c r="Q121" s="192"/>
    </row>
    <row r="122" spans="1:23" x14ac:dyDescent="0.25">
      <c r="A122" s="97"/>
      <c r="B122" s="72" t="s">
        <v>102</v>
      </c>
      <c r="C122" s="140" t="s">
        <v>103</v>
      </c>
      <c r="D122" s="141"/>
      <c r="E122" s="141"/>
      <c r="F122" s="202">
        <v>0</v>
      </c>
      <c r="G122" s="202">
        <f>G73</f>
        <v>0</v>
      </c>
      <c r="H122" s="202"/>
      <c r="I122" s="259"/>
      <c r="J122" s="21"/>
      <c r="K122" s="143"/>
      <c r="L122" s="144"/>
      <c r="M122" s="144"/>
      <c r="N122" s="199"/>
      <c r="O122" s="252"/>
      <c r="P122" s="252"/>
      <c r="Q122" s="192"/>
    </row>
    <row r="123" spans="1:23" x14ac:dyDescent="0.25">
      <c r="A123" s="97"/>
      <c r="B123" s="96" t="s">
        <v>4</v>
      </c>
      <c r="C123" s="314" t="s">
        <v>65</v>
      </c>
      <c r="D123" s="315"/>
      <c r="E123" s="315"/>
      <c r="F123" s="255"/>
      <c r="G123" s="202"/>
      <c r="H123" s="202"/>
      <c r="I123" s="259"/>
      <c r="J123" s="214" t="s">
        <v>88</v>
      </c>
      <c r="K123" s="140" t="s">
        <v>20</v>
      </c>
      <c r="L123" s="141"/>
      <c r="M123" s="141"/>
      <c r="N123" s="199">
        <v>14329</v>
      </c>
      <c r="O123" s="199">
        <f>SUM(O74,O109)</f>
        <v>14329</v>
      </c>
      <c r="P123" s="199">
        <f>P74</f>
        <v>4164</v>
      </c>
      <c r="Q123" s="192">
        <f>P123/O123*100</f>
        <v>29.059948356479865</v>
      </c>
    </row>
    <row r="124" spans="1:23" x14ac:dyDescent="0.25">
      <c r="A124" s="97"/>
      <c r="B124" s="96"/>
      <c r="C124" s="149"/>
      <c r="D124" s="150"/>
      <c r="E124" s="150"/>
      <c r="F124" s="255"/>
      <c r="G124" s="202"/>
      <c r="H124" s="202"/>
      <c r="I124" s="259"/>
      <c r="J124" s="214" t="s">
        <v>105</v>
      </c>
      <c r="K124" s="303" t="s">
        <v>104</v>
      </c>
      <c r="L124" s="304"/>
      <c r="M124" s="304"/>
      <c r="N124" s="199">
        <v>0</v>
      </c>
      <c r="O124" s="199">
        <f>O75</f>
        <v>0</v>
      </c>
      <c r="P124" s="199"/>
      <c r="Q124" s="192"/>
    </row>
    <row r="125" spans="1:23" x14ac:dyDescent="0.25">
      <c r="A125" s="97"/>
      <c r="B125" s="63" t="s">
        <v>23</v>
      </c>
      <c r="C125" s="335" t="s">
        <v>45</v>
      </c>
      <c r="D125" s="336"/>
      <c r="E125" s="144"/>
      <c r="F125" s="202">
        <v>2817</v>
      </c>
      <c r="G125" s="202">
        <f>SUM(G76,G113)</f>
        <v>3732</v>
      </c>
      <c r="H125" s="202">
        <f>H76</f>
        <v>2479</v>
      </c>
      <c r="I125" s="259">
        <f t="shared" si="1"/>
        <v>66.425509110396575</v>
      </c>
      <c r="J125" s="21" t="s">
        <v>91</v>
      </c>
      <c r="K125" s="81" t="s">
        <v>21</v>
      </c>
      <c r="L125" s="82"/>
      <c r="M125" s="82"/>
      <c r="N125" s="199">
        <v>2368</v>
      </c>
      <c r="O125" s="199">
        <f>SUM(O76,O110)</f>
        <v>2368</v>
      </c>
      <c r="P125" s="199">
        <f>P76</f>
        <v>492</v>
      </c>
      <c r="Q125" s="192">
        <f>P125/O125*100</f>
        <v>20.777027027027025</v>
      </c>
    </row>
    <row r="126" spans="1:23" x14ac:dyDescent="0.25">
      <c r="A126" s="97"/>
      <c r="B126" s="126"/>
      <c r="C126" s="140"/>
      <c r="D126" s="141"/>
      <c r="E126" s="141"/>
      <c r="F126" s="202"/>
      <c r="G126" s="202"/>
      <c r="H126" s="202"/>
      <c r="I126" s="79"/>
      <c r="J126" s="21" t="s">
        <v>92</v>
      </c>
      <c r="K126" s="144" t="s">
        <v>22</v>
      </c>
      <c r="L126" s="144"/>
      <c r="M126" s="144"/>
      <c r="N126" s="199">
        <v>1242</v>
      </c>
      <c r="O126" s="199">
        <f>SUM(O77,O111)</f>
        <v>1242</v>
      </c>
      <c r="P126" s="199">
        <f>P77</f>
        <v>379</v>
      </c>
      <c r="Q126" s="192">
        <f>P126/O126*100</f>
        <v>30.515297906602257</v>
      </c>
      <c r="S126" s="58"/>
      <c r="T126" s="349"/>
      <c r="U126" s="349"/>
      <c r="V126" s="349"/>
      <c r="W126" s="59"/>
    </row>
    <row r="127" spans="1:23" x14ac:dyDescent="0.25">
      <c r="A127" s="97"/>
      <c r="B127" s="126"/>
      <c r="C127" s="127"/>
      <c r="D127" s="124"/>
      <c r="E127" s="124"/>
      <c r="F127" s="202"/>
      <c r="G127" s="238"/>
      <c r="H127" s="238"/>
      <c r="I127" s="128"/>
      <c r="J127" s="214" t="s">
        <v>116</v>
      </c>
      <c r="K127" s="10" t="s">
        <v>115</v>
      </c>
      <c r="L127" s="11"/>
      <c r="M127" s="11"/>
      <c r="N127" s="199">
        <v>20</v>
      </c>
      <c r="O127" s="199">
        <f>SUM(O78)</f>
        <v>20</v>
      </c>
      <c r="P127" s="199">
        <f>P78</f>
        <v>0</v>
      </c>
      <c r="Q127" s="192"/>
      <c r="S127" s="58"/>
      <c r="T127" s="62"/>
      <c r="U127" s="62"/>
      <c r="V127" s="62"/>
      <c r="W127" s="59"/>
    </row>
    <row r="128" spans="1:23" x14ac:dyDescent="0.25">
      <c r="A128" s="97"/>
      <c r="B128" s="126"/>
      <c r="C128" s="127"/>
      <c r="D128" s="124"/>
      <c r="E128" s="124"/>
      <c r="F128" s="202"/>
      <c r="G128" s="238"/>
      <c r="H128" s="238"/>
      <c r="I128" s="128"/>
      <c r="J128" s="21" t="s">
        <v>77</v>
      </c>
      <c r="K128" s="81" t="s">
        <v>78</v>
      </c>
      <c r="L128" s="82"/>
      <c r="M128" s="82"/>
      <c r="N128" s="199"/>
      <c r="O128" s="199"/>
      <c r="P128" s="199">
        <f>P79</f>
        <v>25</v>
      </c>
      <c r="Q128" s="192"/>
      <c r="S128" s="58"/>
      <c r="T128" s="62"/>
      <c r="U128" s="62"/>
      <c r="V128" s="62"/>
      <c r="W128" s="59"/>
    </row>
    <row r="129" spans="1:23" x14ac:dyDescent="0.25">
      <c r="A129" s="97"/>
      <c r="B129" s="126"/>
      <c r="C129" s="127"/>
      <c r="D129" s="124"/>
      <c r="E129" s="124"/>
      <c r="F129" s="202"/>
      <c r="G129" s="238"/>
      <c r="H129" s="238"/>
      <c r="I129" s="128"/>
      <c r="J129" s="20" t="s">
        <v>110</v>
      </c>
      <c r="K129" s="297" t="s">
        <v>111</v>
      </c>
      <c r="L129" s="279"/>
      <c r="M129" s="279"/>
      <c r="N129" s="206"/>
      <c r="O129" s="199"/>
      <c r="P129" s="199"/>
      <c r="Q129" s="192"/>
      <c r="S129" s="58"/>
      <c r="T129" s="62"/>
      <c r="U129" s="62"/>
      <c r="V129" s="62"/>
      <c r="W129" s="59"/>
    </row>
    <row r="130" spans="1:23" x14ac:dyDescent="0.25">
      <c r="A130" s="97"/>
      <c r="B130" s="126"/>
      <c r="C130" s="127"/>
      <c r="D130" s="124"/>
      <c r="E130" s="124"/>
      <c r="F130" s="202"/>
      <c r="G130" s="238"/>
      <c r="H130" s="238"/>
      <c r="I130" s="128"/>
      <c r="J130" s="21" t="s">
        <v>112</v>
      </c>
      <c r="K130" s="298" t="s">
        <v>113</v>
      </c>
      <c r="L130" s="299"/>
      <c r="M130" s="299"/>
      <c r="N130" s="199">
        <v>0</v>
      </c>
      <c r="O130" s="199">
        <f>SUM(O81)</f>
        <v>0</v>
      </c>
      <c r="P130" s="199">
        <f>P80</f>
        <v>0</v>
      </c>
      <c r="Q130" s="192"/>
      <c r="S130" s="58"/>
      <c r="T130" s="62"/>
      <c r="U130" s="62"/>
      <c r="V130" s="62"/>
      <c r="W130" s="59"/>
    </row>
    <row r="131" spans="1:23" x14ac:dyDescent="0.25">
      <c r="A131" s="97"/>
      <c r="B131" s="126"/>
      <c r="C131" s="127"/>
      <c r="D131" s="124"/>
      <c r="E131" s="124"/>
      <c r="F131" s="202"/>
      <c r="G131" s="238"/>
      <c r="H131" s="238"/>
      <c r="I131" s="128"/>
      <c r="J131" s="216" t="s">
        <v>100</v>
      </c>
      <c r="K131" s="300" t="s">
        <v>101</v>
      </c>
      <c r="L131" s="301"/>
      <c r="M131" s="301"/>
      <c r="N131" s="206"/>
      <c r="O131" s="199"/>
      <c r="P131" s="199">
        <f>P81</f>
        <v>0</v>
      </c>
      <c r="Q131" s="192"/>
      <c r="S131" s="58"/>
      <c r="T131" s="62"/>
      <c r="U131" s="62"/>
      <c r="V131" s="62"/>
      <c r="W131" s="59"/>
    </row>
    <row r="132" spans="1:23" x14ac:dyDescent="0.25">
      <c r="A132" s="97"/>
      <c r="B132" s="126"/>
      <c r="C132" s="127"/>
      <c r="D132" s="124"/>
      <c r="E132" s="124"/>
      <c r="F132" s="202"/>
      <c r="G132" s="238"/>
      <c r="H132" s="238"/>
      <c r="I132" s="128"/>
      <c r="J132" s="21" t="s">
        <v>97</v>
      </c>
      <c r="K132" s="298" t="s">
        <v>98</v>
      </c>
      <c r="L132" s="299"/>
      <c r="M132" s="299"/>
      <c r="N132" s="199">
        <v>0</v>
      </c>
      <c r="O132" s="199">
        <f>O83</f>
        <v>0</v>
      </c>
      <c r="P132" s="199">
        <f>P82</f>
        <v>0</v>
      </c>
      <c r="Q132" s="192"/>
      <c r="S132" s="58"/>
      <c r="T132" s="62"/>
      <c r="U132" s="62"/>
      <c r="V132" s="62"/>
      <c r="W132" s="59"/>
    </row>
    <row r="133" spans="1:23" x14ac:dyDescent="0.25">
      <c r="A133" s="97"/>
      <c r="B133" s="87"/>
      <c r="C133" s="98"/>
      <c r="D133" s="88"/>
      <c r="E133" s="88"/>
      <c r="F133" s="241"/>
      <c r="G133" s="252"/>
      <c r="H133" s="252"/>
      <c r="I133" s="99"/>
      <c r="J133" s="310" t="s">
        <v>50</v>
      </c>
      <c r="K133" s="310"/>
      <c r="L133" s="310"/>
      <c r="M133" s="310"/>
      <c r="N133" s="168"/>
      <c r="O133" s="199"/>
      <c r="P133" s="199">
        <f>P83</f>
        <v>0</v>
      </c>
      <c r="Q133" s="192"/>
    </row>
    <row r="134" spans="1:23" x14ac:dyDescent="0.25">
      <c r="A134" s="97"/>
      <c r="B134" s="87"/>
      <c r="C134" s="98"/>
      <c r="D134" s="88"/>
      <c r="E134" s="88"/>
      <c r="F134" s="241"/>
      <c r="G134" s="252"/>
      <c r="H134" s="252"/>
      <c r="I134" s="99"/>
      <c r="J134" s="21" t="s">
        <v>52</v>
      </c>
      <c r="K134" s="11" t="s">
        <v>34</v>
      </c>
      <c r="L134" s="141"/>
      <c r="M134" s="141"/>
      <c r="N134" s="199">
        <v>69029</v>
      </c>
      <c r="O134" s="199">
        <f>SUM(O85,O105)</f>
        <v>70838</v>
      </c>
      <c r="P134" s="199">
        <f>P113+P85</f>
        <v>65899</v>
      </c>
      <c r="Q134" s="192">
        <f>P134/O134*100</f>
        <v>93.02775346565403</v>
      </c>
    </row>
    <row r="135" spans="1:23" ht="16.5" thickBot="1" x14ac:dyDescent="0.3">
      <c r="A135" s="100"/>
      <c r="B135" s="129"/>
      <c r="C135" s="130"/>
      <c r="D135" s="130"/>
      <c r="E135" s="131"/>
      <c r="F135" s="235"/>
      <c r="G135" s="239"/>
      <c r="H135" s="235"/>
      <c r="I135" s="73"/>
      <c r="J135" s="214" t="s">
        <v>67</v>
      </c>
      <c r="K135" s="303" t="s">
        <v>68</v>
      </c>
      <c r="L135" s="304"/>
      <c r="M135" s="304"/>
      <c r="N135" s="202">
        <v>4306</v>
      </c>
      <c r="O135" s="202">
        <f>SUM(O86)</f>
        <v>2608</v>
      </c>
      <c r="P135" s="199">
        <f>P86</f>
        <v>2608</v>
      </c>
      <c r="Q135" s="192">
        <f>P135/O135*100</f>
        <v>100</v>
      </c>
    </row>
    <row r="136" spans="1:23" ht="16.5" thickBot="1" x14ac:dyDescent="0.3">
      <c r="A136" s="333" t="s">
        <v>43</v>
      </c>
      <c r="B136" s="334"/>
      <c r="C136" s="334"/>
      <c r="D136" s="334"/>
      <c r="E136" s="334"/>
      <c r="F136" s="179">
        <f>SUM(F117:F135)</f>
        <v>99401</v>
      </c>
      <c r="G136" s="179">
        <f>SUM(G117:G127)</f>
        <v>98060</v>
      </c>
      <c r="H136" s="179">
        <f>SUM(H117:H135)</f>
        <v>73064</v>
      </c>
      <c r="I136" s="260">
        <f>H136/G136*100</f>
        <v>74.509483989394241</v>
      </c>
      <c r="J136" s="319" t="s">
        <v>44</v>
      </c>
      <c r="K136" s="320"/>
      <c r="L136" s="320"/>
      <c r="M136" s="321"/>
      <c r="N136" s="179">
        <f>SUM(N117:N135)</f>
        <v>99401</v>
      </c>
      <c r="O136" s="179">
        <f>SUM(O117:O135)</f>
        <v>98060</v>
      </c>
      <c r="P136" s="179">
        <f>SUM(P117:P135)</f>
        <v>73574</v>
      </c>
      <c r="Q136" s="211">
        <f>P136/O136*100</f>
        <v>75.029573730369165</v>
      </c>
    </row>
    <row r="139" spans="1:23" x14ac:dyDescent="0.25">
      <c r="J139" s="39" t="s">
        <v>90</v>
      </c>
    </row>
    <row r="144" spans="1:23" ht="15.75" customHeight="1" x14ac:dyDescent="0.25"/>
    <row r="145" ht="15.75" customHeight="1" x14ac:dyDescent="0.25"/>
  </sheetData>
  <mergeCells count="121">
    <mergeCell ref="T48:V48"/>
    <mergeCell ref="K47:M47"/>
    <mergeCell ref="T77:V77"/>
    <mergeCell ref="J71:M71"/>
    <mergeCell ref="K67:M67"/>
    <mergeCell ref="K19:M19"/>
    <mergeCell ref="J33:M33"/>
    <mergeCell ref="J63:M63"/>
    <mergeCell ref="T14:V14"/>
    <mergeCell ref="C16:E16"/>
    <mergeCell ref="C17:D17"/>
    <mergeCell ref="C74:E74"/>
    <mergeCell ref="C76:D76"/>
    <mergeCell ref="J13:M13"/>
    <mergeCell ref="C46:E46"/>
    <mergeCell ref="C41:E41"/>
    <mergeCell ref="J25:M25"/>
    <mergeCell ref="J20:M20"/>
    <mergeCell ref="C92:E92"/>
    <mergeCell ref="K32:M32"/>
    <mergeCell ref="A67:E67"/>
    <mergeCell ref="C68:E68"/>
    <mergeCell ref="J89:M89"/>
    <mergeCell ref="T126:V126"/>
    <mergeCell ref="J120:M120"/>
    <mergeCell ref="K116:M116"/>
    <mergeCell ref="C109:E109"/>
    <mergeCell ref="J84:M84"/>
    <mergeCell ref="C94:E94"/>
    <mergeCell ref="K94:M94"/>
    <mergeCell ref="A107:E107"/>
    <mergeCell ref="K96:M96"/>
    <mergeCell ref="C97:E97"/>
    <mergeCell ref="K97:M97"/>
    <mergeCell ref="K99:M99"/>
    <mergeCell ref="B103:E103"/>
    <mergeCell ref="C91:E91"/>
    <mergeCell ref="A66:E66"/>
    <mergeCell ref="A136:E136"/>
    <mergeCell ref="A114:E114"/>
    <mergeCell ref="J136:M136"/>
    <mergeCell ref="C125:D125"/>
    <mergeCell ref="A108:E108"/>
    <mergeCell ref="J133:M133"/>
    <mergeCell ref="A115:E115"/>
    <mergeCell ref="J115:M115"/>
    <mergeCell ref="B90:E90"/>
    <mergeCell ref="K61:M61"/>
    <mergeCell ref="B57:E57"/>
    <mergeCell ref="J87:M87"/>
    <mergeCell ref="C26:E26"/>
    <mergeCell ref="B20:E20"/>
    <mergeCell ref="B39:E39"/>
    <mergeCell ref="J39:M39"/>
    <mergeCell ref="K22:M22"/>
    <mergeCell ref="K21:M21"/>
    <mergeCell ref="C93:E93"/>
    <mergeCell ref="A6:E6"/>
    <mergeCell ref="J6:M6"/>
    <mergeCell ref="J10:M10"/>
    <mergeCell ref="J8:M8"/>
    <mergeCell ref="A8:E8"/>
    <mergeCell ref="B33:E33"/>
    <mergeCell ref="K46:M46"/>
    <mergeCell ref="K34:M34"/>
    <mergeCell ref="C12:E12"/>
    <mergeCell ref="B89:E89"/>
    <mergeCell ref="K65:M65"/>
    <mergeCell ref="B62:E62"/>
    <mergeCell ref="J62:M62"/>
    <mergeCell ref="C64:E64"/>
    <mergeCell ref="K45:M45"/>
    <mergeCell ref="K56:M56"/>
    <mergeCell ref="K52:M52"/>
    <mergeCell ref="K53:M53"/>
    <mergeCell ref="K80:M80"/>
    <mergeCell ref="B44:E44"/>
    <mergeCell ref="K54:M54"/>
    <mergeCell ref="K135:M135"/>
    <mergeCell ref="C112:E112"/>
    <mergeCell ref="J112:M112"/>
    <mergeCell ref="C113:D113"/>
    <mergeCell ref="C120:E120"/>
    <mergeCell ref="A116:E116"/>
    <mergeCell ref="J114:M114"/>
    <mergeCell ref="C123:E123"/>
    <mergeCell ref="C121:E121"/>
    <mergeCell ref="C117:E117"/>
    <mergeCell ref="K131:M131"/>
    <mergeCell ref="J57:M57"/>
    <mergeCell ref="K98:M98"/>
    <mergeCell ref="J58:M58"/>
    <mergeCell ref="K60:M60"/>
    <mergeCell ref="J108:M108"/>
    <mergeCell ref="J90:M90"/>
    <mergeCell ref="K86:M86"/>
    <mergeCell ref="K132:M132"/>
    <mergeCell ref="K68:M68"/>
    <mergeCell ref="K117:M117"/>
    <mergeCell ref="K15:M15"/>
    <mergeCell ref="K75:M75"/>
    <mergeCell ref="K124:M124"/>
    <mergeCell ref="K42:M42"/>
    <mergeCell ref="J103:M103"/>
    <mergeCell ref="K106:M106"/>
    <mergeCell ref="J44:M44"/>
    <mergeCell ref="K81:M81"/>
    <mergeCell ref="K129:M129"/>
    <mergeCell ref="K130:M130"/>
    <mergeCell ref="K55:M55"/>
    <mergeCell ref="K82:M82"/>
    <mergeCell ref="K83:M83"/>
    <mergeCell ref="J107:M107"/>
    <mergeCell ref="G5:I5"/>
    <mergeCell ref="M1:Q1"/>
    <mergeCell ref="B2:Q2"/>
    <mergeCell ref="B3:Q3"/>
    <mergeCell ref="O5:Q5"/>
    <mergeCell ref="K12:M12"/>
    <mergeCell ref="B10:E10"/>
    <mergeCell ref="K11:M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3" orientation="landscape" r:id="rId1"/>
  <headerFooter alignWithMargins="0"/>
  <rowBreaks count="1" manualBreakCount="1">
    <brk id="6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5Mell2020Zárszám</vt:lpstr>
      <vt:lpstr>5aMell2020Zárszám</vt:lpstr>
      <vt:lpstr>'5aMell2020Zárszám'!Nyomtatási_terület</vt:lpstr>
      <vt:lpstr>'5Mell2020Zárszám'!Nyomtatási_terület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konyv6</dc:creator>
  <cp:lastModifiedBy>Salamon Irénke 2</cp:lastModifiedBy>
  <cp:lastPrinted>2021-05-11T10:42:00Z</cp:lastPrinted>
  <dcterms:created xsi:type="dcterms:W3CDTF">2012-02-13T11:24:25Z</dcterms:created>
  <dcterms:modified xsi:type="dcterms:W3CDTF">2021-05-21T10:03:55Z</dcterms:modified>
</cp:coreProperties>
</file>