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7B91D790-C68F-43DE-B252-1ADCF04E9DC8}" xr6:coauthVersionLast="46" xr6:coauthVersionMax="46" xr10:uidLastSave="{00000000-0000-0000-0000-000000000000}"/>
  <bookViews>
    <workbookView xWindow="-120" yWindow="-120" windowWidth="25440" windowHeight="15540" tabRatio="601"/>
  </bookViews>
  <sheets>
    <sheet name="8. mell2020Zárszám" sheetId="1" r:id="rId1"/>
  </sheets>
  <definedNames>
    <definedName name="_xlnm.Print_Area" localSheetId="0">'8. mell2020Zárszám'!$A$1:$R$198</definedName>
  </definedNames>
  <calcPr calcId="181029"/>
</workbook>
</file>

<file path=xl/calcChain.xml><?xml version="1.0" encoding="utf-8"?>
<calcChain xmlns="http://schemas.openxmlformats.org/spreadsheetml/2006/main">
  <c r="K12" i="1" l="1"/>
  <c r="P94" i="1"/>
  <c r="P97" i="1" s="1"/>
  <c r="P37" i="1"/>
  <c r="T159" i="1"/>
  <c r="O94" i="1"/>
  <c r="R193" i="1"/>
  <c r="P183" i="1"/>
  <c r="P193" i="1" s="1"/>
  <c r="K183" i="1"/>
  <c r="K192" i="1"/>
  <c r="L173" i="1"/>
  <c r="K174" i="1"/>
  <c r="N166" i="1"/>
  <c r="N194" i="1" s="1"/>
  <c r="N158" i="1"/>
  <c r="N134" i="1"/>
  <c r="N97" i="1"/>
  <c r="N80" i="1"/>
  <c r="N41" i="1"/>
  <c r="R96" i="1"/>
  <c r="K165" i="1"/>
  <c r="P41" i="1"/>
  <c r="P166" i="1" s="1"/>
  <c r="R41" i="1"/>
  <c r="L155" i="1"/>
  <c r="L136" i="1"/>
  <c r="L143" i="1"/>
  <c r="L86" i="1"/>
  <c r="L107" i="1"/>
  <c r="L115" i="1"/>
  <c r="L123" i="1"/>
  <c r="L45" i="1"/>
  <c r="L50" i="1"/>
  <c r="L55" i="1"/>
  <c r="L65" i="1"/>
  <c r="L66" i="1"/>
  <c r="L73" i="1"/>
  <c r="L20" i="1"/>
  <c r="L24" i="1"/>
  <c r="L29" i="1"/>
  <c r="L34" i="1"/>
  <c r="L38" i="1"/>
  <c r="L12" i="1"/>
  <c r="P165" i="1"/>
  <c r="Q165" i="1"/>
  <c r="R165" i="1"/>
  <c r="P134" i="1"/>
  <c r="R134" i="1"/>
  <c r="R97" i="1"/>
  <c r="P60" i="1"/>
  <c r="Q60" i="1"/>
  <c r="R60" i="1"/>
  <c r="P51" i="1"/>
  <c r="P194" i="1"/>
  <c r="J165" i="1"/>
  <c r="J134" i="1"/>
  <c r="J41" i="1"/>
  <c r="K162" i="1"/>
  <c r="K158" i="1"/>
  <c r="K151" i="1"/>
  <c r="K146" i="1"/>
  <c r="K143" i="1"/>
  <c r="K140" i="1"/>
  <c r="K137" i="1"/>
  <c r="K134" i="1"/>
  <c r="K100" i="1"/>
  <c r="K97" i="1"/>
  <c r="K80" i="1"/>
  <c r="K70" i="1"/>
  <c r="K67" i="1"/>
  <c r="K63" i="1"/>
  <c r="K60" i="1"/>
  <c r="K51" i="1"/>
  <c r="K45" i="1"/>
  <c r="K41" i="1"/>
  <c r="K14" i="1"/>
  <c r="E192" i="1"/>
  <c r="E183" i="1"/>
  <c r="E193" i="1" s="1"/>
  <c r="E194" i="1" s="1"/>
  <c r="E195" i="1" s="1"/>
  <c r="E174" i="1"/>
  <c r="E165" i="1"/>
  <c r="E162" i="1"/>
  <c r="E158" i="1"/>
  <c r="E151" i="1"/>
  <c r="E146" i="1"/>
  <c r="E143" i="1"/>
  <c r="E140" i="1"/>
  <c r="E137" i="1"/>
  <c r="E134" i="1"/>
  <c r="E100" i="1"/>
  <c r="E97" i="1"/>
  <c r="E80" i="1"/>
  <c r="E70" i="1"/>
  <c r="E67" i="1"/>
  <c r="E63" i="1"/>
  <c r="E60" i="1"/>
  <c r="E51" i="1"/>
  <c r="E45" i="1"/>
  <c r="E41" i="1"/>
  <c r="E14" i="1"/>
  <c r="E166" i="1" s="1"/>
  <c r="E167" i="1" s="1"/>
  <c r="M158" i="1"/>
  <c r="G117" i="1"/>
  <c r="G16" i="1"/>
  <c r="F16" i="1"/>
  <c r="G26" i="1"/>
  <c r="I26" i="1" s="1"/>
  <c r="L26" i="1" s="1"/>
  <c r="F26" i="1"/>
  <c r="G164" i="1"/>
  <c r="G165" i="1" s="1"/>
  <c r="F164" i="1"/>
  <c r="I164" i="1" s="1"/>
  <c r="H41" i="1"/>
  <c r="Q96" i="1"/>
  <c r="Q97" i="1" s="1"/>
  <c r="O96" i="1"/>
  <c r="O97" i="1" s="1"/>
  <c r="I95" i="1"/>
  <c r="O47" i="1"/>
  <c r="O51" i="1" s="1"/>
  <c r="O166" i="1" s="1"/>
  <c r="H165" i="1"/>
  <c r="H97" i="1"/>
  <c r="D97" i="1"/>
  <c r="M84" i="1"/>
  <c r="G84" i="1"/>
  <c r="F84" i="1"/>
  <c r="I84" i="1"/>
  <c r="B84" i="1" s="1"/>
  <c r="I83" i="1"/>
  <c r="I86" i="1"/>
  <c r="B86" i="1" s="1"/>
  <c r="I85" i="1"/>
  <c r="M93" i="1"/>
  <c r="G93" i="1"/>
  <c r="F93" i="1"/>
  <c r="M91" i="1"/>
  <c r="G91" i="1"/>
  <c r="B91" i="1"/>
  <c r="F91" i="1"/>
  <c r="I91" i="1" s="1"/>
  <c r="M94" i="1"/>
  <c r="M97" i="1" s="1"/>
  <c r="G94" i="1"/>
  <c r="F94" i="1"/>
  <c r="I94" i="1" s="1"/>
  <c r="M92" i="1"/>
  <c r="G92" i="1"/>
  <c r="F92" i="1"/>
  <c r="C166" i="1"/>
  <c r="F146" i="1"/>
  <c r="G146" i="1"/>
  <c r="D146" i="1"/>
  <c r="I145" i="1"/>
  <c r="G143" i="1"/>
  <c r="F143" i="1"/>
  <c r="I142" i="1"/>
  <c r="L142" i="1" s="1"/>
  <c r="B142" i="1"/>
  <c r="B143" i="1" s="1"/>
  <c r="F137" i="1"/>
  <c r="G137" i="1"/>
  <c r="D137" i="1"/>
  <c r="I136" i="1"/>
  <c r="I137" i="1"/>
  <c r="F162" i="1"/>
  <c r="G162" i="1"/>
  <c r="D162" i="1"/>
  <c r="I161" i="1"/>
  <c r="I160" i="1"/>
  <c r="B160" i="1" s="1"/>
  <c r="G48" i="1"/>
  <c r="I48" i="1" s="1"/>
  <c r="F48" i="1"/>
  <c r="G33" i="1"/>
  <c r="F33" i="1"/>
  <c r="I33" i="1"/>
  <c r="B33" i="1" s="1"/>
  <c r="G20" i="1"/>
  <c r="F20" i="1"/>
  <c r="I40" i="1"/>
  <c r="G77" i="1"/>
  <c r="M77" i="1" s="1"/>
  <c r="F77" i="1"/>
  <c r="G72" i="1"/>
  <c r="F72" i="1"/>
  <c r="F80" i="1" s="1"/>
  <c r="G114" i="1"/>
  <c r="I114" i="1"/>
  <c r="L114" i="1" s="1"/>
  <c r="F114" i="1"/>
  <c r="F117" i="1"/>
  <c r="I117" i="1" s="1"/>
  <c r="I133" i="1"/>
  <c r="I13" i="1"/>
  <c r="I182" i="1"/>
  <c r="D183" i="1"/>
  <c r="D193" i="1" s="1"/>
  <c r="I82" i="1"/>
  <c r="G124" i="1"/>
  <c r="F124" i="1"/>
  <c r="I125" i="1"/>
  <c r="I96" i="1"/>
  <c r="I39" i="1"/>
  <c r="B39" i="1" s="1"/>
  <c r="I38" i="1"/>
  <c r="B38" i="1" s="1"/>
  <c r="I37" i="1"/>
  <c r="G158" i="1"/>
  <c r="F158" i="1"/>
  <c r="I157" i="1"/>
  <c r="I156" i="1"/>
  <c r="G129" i="1"/>
  <c r="F129" i="1"/>
  <c r="I131" i="1"/>
  <c r="B131" i="1" s="1"/>
  <c r="I130" i="1"/>
  <c r="I180" i="1"/>
  <c r="B180" i="1" s="1"/>
  <c r="I36" i="1"/>
  <c r="G54" i="1"/>
  <c r="I54" i="1" s="1"/>
  <c r="L54" i="1" s="1"/>
  <c r="F54" i="1"/>
  <c r="G59" i="1"/>
  <c r="I59" i="1" s="1"/>
  <c r="F59" i="1"/>
  <c r="I128" i="1"/>
  <c r="F176" i="1"/>
  <c r="F183" i="1" s="1"/>
  <c r="G176" i="1"/>
  <c r="I179" i="1"/>
  <c r="B179" i="1" s="1"/>
  <c r="I178" i="1"/>
  <c r="B178" i="1" s="1"/>
  <c r="G188" i="1"/>
  <c r="G192" i="1" s="1"/>
  <c r="F188" i="1"/>
  <c r="F192" i="1" s="1"/>
  <c r="O53" i="1"/>
  <c r="O60" i="1" s="1"/>
  <c r="G19" i="1"/>
  <c r="F19" i="1"/>
  <c r="I90" i="1"/>
  <c r="I35" i="1"/>
  <c r="I127" i="1"/>
  <c r="G58" i="1"/>
  <c r="I58" i="1" s="1"/>
  <c r="L58" i="1" s="1"/>
  <c r="F58" i="1"/>
  <c r="I79" i="1"/>
  <c r="M79" i="1"/>
  <c r="I34" i="1"/>
  <c r="B34" i="1"/>
  <c r="I32" i="1"/>
  <c r="L32" i="1" s="1"/>
  <c r="B32" i="1"/>
  <c r="I31" i="1"/>
  <c r="L31" i="1" s="1"/>
  <c r="B31" i="1"/>
  <c r="G47" i="1"/>
  <c r="G51" i="1"/>
  <c r="F47" i="1"/>
  <c r="F51" i="1"/>
  <c r="I126" i="1"/>
  <c r="L126" i="1" s="1"/>
  <c r="B126" i="1"/>
  <c r="G116" i="1"/>
  <c r="F116" i="1"/>
  <c r="I116" i="1" s="1"/>
  <c r="G65" i="1"/>
  <c r="G67" i="1"/>
  <c r="F65" i="1"/>
  <c r="I89" i="1"/>
  <c r="G87" i="1"/>
  <c r="I87" i="1" s="1"/>
  <c r="L87" i="1" s="1"/>
  <c r="F87" i="1"/>
  <c r="I88" i="1"/>
  <c r="G25" i="1"/>
  <c r="I25" i="1" s="1"/>
  <c r="B25" i="1" s="1"/>
  <c r="F25" i="1"/>
  <c r="D51" i="1"/>
  <c r="I50" i="1"/>
  <c r="B50" i="1"/>
  <c r="I49" i="1"/>
  <c r="L49" i="1" s="1"/>
  <c r="B49" i="1"/>
  <c r="G10" i="1"/>
  <c r="G14" i="1"/>
  <c r="F10" i="1"/>
  <c r="F14" i="1"/>
  <c r="H134" i="1"/>
  <c r="M134" i="1"/>
  <c r="D117" i="1"/>
  <c r="D114" i="1"/>
  <c r="B114" i="1" s="1"/>
  <c r="G53" i="1"/>
  <c r="F53" i="1"/>
  <c r="D17" i="1"/>
  <c r="I17" i="1"/>
  <c r="D16" i="1"/>
  <c r="H80" i="1"/>
  <c r="O80" i="1"/>
  <c r="H60" i="1"/>
  <c r="M60" i="1"/>
  <c r="D20" i="1"/>
  <c r="F151" i="1"/>
  <c r="G151" i="1"/>
  <c r="H151" i="1"/>
  <c r="M151" i="1"/>
  <c r="D151" i="1"/>
  <c r="I150" i="1"/>
  <c r="D102" i="1"/>
  <c r="D19" i="1"/>
  <c r="D53" i="1"/>
  <c r="D60" i="1" s="1"/>
  <c r="I78" i="1"/>
  <c r="B78" i="1" s="1"/>
  <c r="M78" i="1"/>
  <c r="D72" i="1"/>
  <c r="M76" i="1"/>
  <c r="M73" i="1"/>
  <c r="M74" i="1"/>
  <c r="I123" i="1"/>
  <c r="B123" i="1"/>
  <c r="H193" i="1"/>
  <c r="I187" i="1"/>
  <c r="I190" i="1"/>
  <c r="B190" i="1" s="1"/>
  <c r="I29" i="1"/>
  <c r="B29" i="1" s="1"/>
  <c r="G132" i="1"/>
  <c r="I132" i="1" s="1"/>
  <c r="L132" i="1" s="1"/>
  <c r="F132" i="1"/>
  <c r="D67" i="1"/>
  <c r="H67" i="1"/>
  <c r="B66" i="1"/>
  <c r="I121" i="1"/>
  <c r="L121" i="1" s="1"/>
  <c r="B121" i="1"/>
  <c r="I75" i="1"/>
  <c r="L75" i="1" s="1"/>
  <c r="B75" i="1"/>
  <c r="I122" i="1"/>
  <c r="L122" i="1" s="1"/>
  <c r="B122" i="1"/>
  <c r="I12" i="1"/>
  <c r="B12" i="1"/>
  <c r="I57" i="1"/>
  <c r="L57" i="1" s="1"/>
  <c r="B57" i="1"/>
  <c r="I56" i="1"/>
  <c r="L56" i="1" s="1"/>
  <c r="B56" i="1"/>
  <c r="I43" i="1"/>
  <c r="F63" i="1"/>
  <c r="G63" i="1"/>
  <c r="H63" i="1"/>
  <c r="M63" i="1"/>
  <c r="D63" i="1"/>
  <c r="I62" i="1"/>
  <c r="L62" i="1" s="1"/>
  <c r="I120" i="1"/>
  <c r="G119" i="1"/>
  <c r="F119" i="1"/>
  <c r="I155" i="1"/>
  <c r="B155" i="1" s="1"/>
  <c r="I30" i="1"/>
  <c r="I111" i="1"/>
  <c r="B111" i="1" s="1"/>
  <c r="I110" i="1"/>
  <c r="I55" i="1"/>
  <c r="B55" i="1" s="1"/>
  <c r="I11" i="1"/>
  <c r="D14" i="1"/>
  <c r="D22" i="1"/>
  <c r="O165" i="1"/>
  <c r="I115" i="1"/>
  <c r="B115" i="1"/>
  <c r="I28" i="1"/>
  <c r="L28" i="1" s="1"/>
  <c r="B28" i="1"/>
  <c r="I27" i="1"/>
  <c r="L27" i="1" s="1"/>
  <c r="B27" i="1"/>
  <c r="G70" i="1"/>
  <c r="F70" i="1"/>
  <c r="G45" i="1"/>
  <c r="F45" i="1"/>
  <c r="I118" i="1"/>
  <c r="L118" i="1" s="1"/>
  <c r="B118" i="1"/>
  <c r="I177" i="1"/>
  <c r="B177" i="1"/>
  <c r="D165" i="1"/>
  <c r="G107" i="1"/>
  <c r="F107" i="1"/>
  <c r="G140" i="1"/>
  <c r="F140" i="1"/>
  <c r="G102" i="1"/>
  <c r="F102" i="1"/>
  <c r="G100" i="1"/>
  <c r="F100" i="1"/>
  <c r="I103" i="1"/>
  <c r="B103" i="1" s="1"/>
  <c r="I9" i="1"/>
  <c r="I113" i="1"/>
  <c r="I108" i="1"/>
  <c r="I109" i="1"/>
  <c r="I112" i="1"/>
  <c r="I104" i="1"/>
  <c r="I139" i="1"/>
  <c r="I74" i="1"/>
  <c r="L74" i="1" s="1"/>
  <c r="B74" i="1"/>
  <c r="I73" i="1"/>
  <c r="B73" i="1"/>
  <c r="I76" i="1"/>
  <c r="L76" i="1" s="1"/>
  <c r="B76" i="1"/>
  <c r="I23" i="1"/>
  <c r="L23" i="1" s="1"/>
  <c r="B23" i="1"/>
  <c r="H70" i="1"/>
  <c r="I69" i="1"/>
  <c r="D45" i="1"/>
  <c r="H45" i="1"/>
  <c r="M183" i="1"/>
  <c r="M193" i="1" s="1"/>
  <c r="O183" i="1"/>
  <c r="O193" i="1" s="1"/>
  <c r="Q183" i="1"/>
  <c r="Q193" i="1" s="1"/>
  <c r="I22" i="1"/>
  <c r="L22" i="1" s="1"/>
  <c r="Q114" i="1"/>
  <c r="Q134" i="1" s="1"/>
  <c r="O114" i="1"/>
  <c r="O134" i="1" s="1"/>
  <c r="Q20" i="1"/>
  <c r="O20" i="1"/>
  <c r="O41" i="1"/>
  <c r="Q19" i="1"/>
  <c r="I154" i="1"/>
  <c r="I191" i="1"/>
  <c r="I44" i="1"/>
  <c r="F172" i="1"/>
  <c r="I153" i="1"/>
  <c r="I149" i="1"/>
  <c r="G174" i="1"/>
  <c r="I173" i="1"/>
  <c r="B173" i="1"/>
  <c r="Q158" i="1"/>
  <c r="O158" i="1"/>
  <c r="I148" i="1"/>
  <c r="L148" i="1" s="1"/>
  <c r="B148" i="1"/>
  <c r="Q100" i="1"/>
  <c r="O100" i="1"/>
  <c r="M100" i="1"/>
  <c r="I21" i="1"/>
  <c r="I18" i="1"/>
  <c r="H14" i="1"/>
  <c r="I8" i="1"/>
  <c r="L8" i="1" s="1"/>
  <c r="B8" i="1"/>
  <c r="I186" i="1"/>
  <c r="B186" i="1"/>
  <c r="I106" i="1"/>
  <c r="L106" i="1" s="1"/>
  <c r="B106" i="1"/>
  <c r="I99" i="1"/>
  <c r="L99" i="1" s="1"/>
  <c r="I100" i="1"/>
  <c r="I105" i="1"/>
  <c r="L105" i="1" s="1"/>
  <c r="B105" i="1"/>
  <c r="I24" i="1"/>
  <c r="B24" i="1"/>
  <c r="D100" i="1"/>
  <c r="I181" i="1"/>
  <c r="M72" i="1"/>
  <c r="M80" i="1" s="1"/>
  <c r="B26" i="1"/>
  <c r="I65" i="1"/>
  <c r="I10" i="1"/>
  <c r="L10" i="1" s="1"/>
  <c r="B10" i="1"/>
  <c r="B87" i="1"/>
  <c r="B136" i="1"/>
  <c r="B137" i="1" s="1"/>
  <c r="F67" i="1"/>
  <c r="I107" i="1"/>
  <c r="B107" i="1" s="1"/>
  <c r="I119" i="1"/>
  <c r="I77" i="1"/>
  <c r="B77" i="1" s="1"/>
  <c r="I92" i="1"/>
  <c r="B92" i="1" s="1"/>
  <c r="I47" i="1"/>
  <c r="L47" i="1" s="1"/>
  <c r="I143" i="1"/>
  <c r="I102" i="1"/>
  <c r="L102" i="1" s="1"/>
  <c r="G60" i="1"/>
  <c r="I124" i="1"/>
  <c r="G80" i="1"/>
  <c r="I20" i="1"/>
  <c r="B99" i="1"/>
  <c r="B100" i="1"/>
  <c r="F165" i="1"/>
  <c r="B58" i="1"/>
  <c r="B54" i="1"/>
  <c r="B65" i="1"/>
  <c r="B67" i="1" s="1"/>
  <c r="I67" i="1"/>
  <c r="L67" i="1" s="1"/>
  <c r="D80" i="1"/>
  <c r="B43" i="1"/>
  <c r="I45" i="1"/>
  <c r="B62" i="1"/>
  <c r="B63" i="1"/>
  <c r="I63" i="1"/>
  <c r="F134" i="1"/>
  <c r="B132" i="1"/>
  <c r="I19" i="1"/>
  <c r="B19" i="1" s="1"/>
  <c r="F41" i="1"/>
  <c r="B22" i="1"/>
  <c r="D134" i="1"/>
  <c r="I188" i="1"/>
  <c r="I151" i="1"/>
  <c r="L151" i="1" s="1"/>
  <c r="M16" i="1"/>
  <c r="M41" i="1" s="1"/>
  <c r="I72" i="1"/>
  <c r="L72" i="1" s="1"/>
  <c r="I80" i="1"/>
  <c r="B47" i="1"/>
  <c r="I51" i="1"/>
  <c r="B72" i="1"/>
  <c r="I192" i="1"/>
  <c r="T195" i="1"/>
  <c r="K166" i="1"/>
  <c r="L94" i="1" l="1"/>
  <c r="B94" i="1"/>
  <c r="K167" i="1"/>
  <c r="L188" i="1"/>
  <c r="B188" i="1"/>
  <c r="B119" i="1"/>
  <c r="L119" i="1"/>
  <c r="L145" i="1"/>
  <c r="B145" i="1"/>
  <c r="B146" i="1" s="1"/>
  <c r="I146" i="1"/>
  <c r="B85" i="1"/>
  <c r="L85" i="1"/>
  <c r="L83" i="1"/>
  <c r="B83" i="1"/>
  <c r="L164" i="1"/>
  <c r="B164" i="1"/>
  <c r="B165" i="1" s="1"/>
  <c r="I165" i="1"/>
  <c r="L165" i="1" s="1"/>
  <c r="L146" i="1"/>
  <c r="M166" i="1"/>
  <c r="M194" i="1" s="1"/>
  <c r="L18" i="1"/>
  <c r="B18" i="1"/>
  <c r="B149" i="1"/>
  <c r="B151" i="1" s="1"/>
  <c r="L149" i="1"/>
  <c r="F174" i="1"/>
  <c r="F193" i="1" s="1"/>
  <c r="I172" i="1"/>
  <c r="B191" i="1"/>
  <c r="L191" i="1"/>
  <c r="O194" i="1"/>
  <c r="L69" i="1"/>
  <c r="I70" i="1"/>
  <c r="L70" i="1" s="1"/>
  <c r="B69" i="1"/>
  <c r="B70" i="1" s="1"/>
  <c r="L139" i="1"/>
  <c r="B139" i="1"/>
  <c r="B140" i="1" s="1"/>
  <c r="I140" i="1"/>
  <c r="L140" i="1" s="1"/>
  <c r="L112" i="1"/>
  <c r="B112" i="1"/>
  <c r="L108" i="1"/>
  <c r="B108" i="1"/>
  <c r="L9" i="1"/>
  <c r="B9" i="1"/>
  <c r="I14" i="1"/>
  <c r="L11" i="1"/>
  <c r="B11" i="1"/>
  <c r="L110" i="1"/>
  <c r="B110" i="1"/>
  <c r="L30" i="1"/>
  <c r="B30" i="1"/>
  <c r="L120" i="1"/>
  <c r="B120" i="1"/>
  <c r="L150" i="1"/>
  <c r="B150" i="1"/>
  <c r="B20" i="1"/>
  <c r="D41" i="1"/>
  <c r="D166" i="1" s="1"/>
  <c r="L17" i="1"/>
  <c r="B17" i="1"/>
  <c r="F60" i="1"/>
  <c r="I53" i="1"/>
  <c r="L89" i="1"/>
  <c r="B89" i="1"/>
  <c r="L116" i="1"/>
  <c r="B116" i="1"/>
  <c r="B127" i="1"/>
  <c r="L127" i="1"/>
  <c r="B90" i="1"/>
  <c r="L90" i="1"/>
  <c r="G183" i="1"/>
  <c r="G193" i="1" s="1"/>
  <c r="I176" i="1"/>
  <c r="L128" i="1"/>
  <c r="B128" i="1"/>
  <c r="L59" i="1"/>
  <c r="B59" i="1"/>
  <c r="I129" i="1"/>
  <c r="G134" i="1"/>
  <c r="L157" i="1"/>
  <c r="B157" i="1"/>
  <c r="L96" i="1"/>
  <c r="B96" i="1"/>
  <c r="L82" i="1"/>
  <c r="B82" i="1"/>
  <c r="I97" i="1"/>
  <c r="L97" i="1" s="1"/>
  <c r="L182" i="1"/>
  <c r="B182" i="1"/>
  <c r="L133" i="1"/>
  <c r="B133" i="1"/>
  <c r="L48" i="1"/>
  <c r="B48" i="1"/>
  <c r="B51" i="1" s="1"/>
  <c r="L161" i="1"/>
  <c r="B161" i="1"/>
  <c r="B162" i="1" s="1"/>
  <c r="I162" i="1"/>
  <c r="L78" i="1"/>
  <c r="L131" i="1"/>
  <c r="L124" i="1"/>
  <c r="B124" i="1"/>
  <c r="L181" i="1"/>
  <c r="B181" i="1"/>
  <c r="H166" i="1"/>
  <c r="L21" i="1"/>
  <c r="B21" i="1"/>
  <c r="L153" i="1"/>
  <c r="B153" i="1"/>
  <c r="I158" i="1"/>
  <c r="L158" i="1" s="1"/>
  <c r="L44" i="1"/>
  <c r="B44" i="1"/>
  <c r="B45" i="1" s="1"/>
  <c r="L154" i="1"/>
  <c r="B154" i="1"/>
  <c r="L104" i="1"/>
  <c r="B104" i="1"/>
  <c r="L109" i="1"/>
  <c r="B109" i="1"/>
  <c r="L113" i="1"/>
  <c r="B113" i="1"/>
  <c r="L187" i="1"/>
  <c r="B187" i="1"/>
  <c r="B102" i="1"/>
  <c r="L88" i="1"/>
  <c r="B88" i="1"/>
  <c r="L79" i="1"/>
  <c r="B79" i="1"/>
  <c r="B80" i="1" s="1"/>
  <c r="L35" i="1"/>
  <c r="B35" i="1"/>
  <c r="L36" i="1"/>
  <c r="B36" i="1"/>
  <c r="L130" i="1"/>
  <c r="B130" i="1"/>
  <c r="L156" i="1"/>
  <c r="B156" i="1"/>
  <c r="L37" i="1"/>
  <c r="B37" i="1"/>
  <c r="L125" i="1"/>
  <c r="B125" i="1"/>
  <c r="L13" i="1"/>
  <c r="B13" i="1"/>
  <c r="B14" i="1" s="1"/>
  <c r="L117" i="1"/>
  <c r="B117" i="1"/>
  <c r="L40" i="1"/>
  <c r="B40" i="1"/>
  <c r="I93" i="1"/>
  <c r="B93" i="1" s="1"/>
  <c r="F97" i="1"/>
  <c r="F166" i="1" s="1"/>
  <c r="F167" i="1" s="1"/>
  <c r="I167" i="1" s="1"/>
  <c r="G97" i="1"/>
  <c r="L95" i="1"/>
  <c r="B95" i="1"/>
  <c r="G41" i="1"/>
  <c r="G166" i="1" s="1"/>
  <c r="G167" i="1" s="1"/>
  <c r="I16" i="1"/>
  <c r="L14" i="1"/>
  <c r="L80" i="1"/>
  <c r="L100" i="1"/>
  <c r="L137" i="1"/>
  <c r="L162" i="1"/>
  <c r="L39" i="1"/>
  <c r="L111" i="1"/>
  <c r="L103" i="1"/>
  <c r="L160" i="1"/>
  <c r="L179" i="1"/>
  <c r="Q41" i="1"/>
  <c r="Q166" i="1" s="1"/>
  <c r="Q194" i="1" s="1"/>
  <c r="L51" i="1"/>
  <c r="L63" i="1"/>
  <c r="J166" i="1"/>
  <c r="R166" i="1"/>
  <c r="R194" i="1" s="1"/>
  <c r="K193" i="1"/>
  <c r="L192" i="1"/>
  <c r="P199" i="1" l="1"/>
  <c r="P200" i="1" s="1"/>
  <c r="T194" i="1"/>
  <c r="F194" i="1"/>
  <c r="F195" i="1" s="1"/>
  <c r="L129" i="1"/>
  <c r="B129" i="1"/>
  <c r="B134" i="1" s="1"/>
  <c r="G194" i="1"/>
  <c r="G195" i="1" s="1"/>
  <c r="I134" i="1"/>
  <c r="L134" i="1" s="1"/>
  <c r="J194" i="1"/>
  <c r="J196" i="1" s="1"/>
  <c r="J168" i="1"/>
  <c r="L16" i="1"/>
  <c r="B16" i="1"/>
  <c r="B41" i="1" s="1"/>
  <c r="B166" i="1" s="1"/>
  <c r="I41" i="1"/>
  <c r="L41" i="1" s="1"/>
  <c r="B192" i="1"/>
  <c r="B158" i="1"/>
  <c r="H194" i="1"/>
  <c r="H196" i="1" s="1"/>
  <c r="H168" i="1"/>
  <c r="B97" i="1"/>
  <c r="L176" i="1"/>
  <c r="B176" i="1"/>
  <c r="B183" i="1" s="1"/>
  <c r="I183" i="1"/>
  <c r="L53" i="1"/>
  <c r="I60" i="1"/>
  <c r="L60" i="1" s="1"/>
  <c r="B53" i="1"/>
  <c r="B60" i="1" s="1"/>
  <c r="D194" i="1"/>
  <c r="D195" i="1" s="1"/>
  <c r="D167" i="1"/>
  <c r="L172" i="1"/>
  <c r="B172" i="1"/>
  <c r="B174" i="1" s="1"/>
  <c r="I174" i="1"/>
  <c r="L174" i="1" s="1"/>
  <c r="K194" i="1"/>
  <c r="B193" i="1" l="1"/>
  <c r="B194" i="1" s="1"/>
  <c r="K195" i="1"/>
  <c r="I166" i="1"/>
  <c r="L166" i="1" s="1"/>
  <c r="I193" i="1"/>
  <c r="L183" i="1"/>
  <c r="I194" i="1" l="1"/>
  <c r="L193" i="1"/>
  <c r="I195" i="1" l="1"/>
  <c r="L194" i="1"/>
</calcChain>
</file>

<file path=xl/sharedStrings.xml><?xml version="1.0" encoding="utf-8"?>
<sst xmlns="http://schemas.openxmlformats.org/spreadsheetml/2006/main" count="347" uniqueCount="199">
  <si>
    <t>ezer Ft-ban</t>
  </si>
  <si>
    <t>Beruházás  megnevezése</t>
  </si>
  <si>
    <t>Teljes költség</t>
  </si>
  <si>
    <t>Kivitelezés kezdési és befejezési éve</t>
  </si>
  <si>
    <t>011130 Önkormányzatok és önkormányzati hivatalok jogalkotó és ált. igazg.-i tev.-e</t>
  </si>
  <si>
    <t>Kormányzati funkció összesen:</t>
  </si>
  <si>
    <t>013350 Önkormányzati vagyonnal való gazdálkodással kapcsolatos feladatok</t>
  </si>
  <si>
    <t>045120 Út, autópálya építése</t>
  </si>
  <si>
    <t>052020 Szennyvíz gyűjtése, tisztítása, elhelyezése</t>
  </si>
  <si>
    <t>063020 Víztermelés, -kezelés, -ellátás</t>
  </si>
  <si>
    <t>064010 Közvilágítás</t>
  </si>
  <si>
    <t>066020 Város és községgazdálkodási egyéb szolgáltatások</t>
  </si>
  <si>
    <t>1) Rendezési terv módosítása</t>
  </si>
  <si>
    <t>081030 Sportlétesítmények működtetése és fejlesztése</t>
  </si>
  <si>
    <t>081061 Szabadidős park, fürdő- és strandszolgáltatás</t>
  </si>
  <si>
    <t>041233 Hosszabb időtartamú közfoglakoztatás</t>
  </si>
  <si>
    <t>Önkormányzat összesen:</t>
  </si>
  <si>
    <t>Előzőből:  beruházásként elszámolt</t>
  </si>
  <si>
    <t xml:space="preserve">                  dologi kiadásként elszámolt</t>
  </si>
  <si>
    <t>INTÉZMÉNYEK</t>
  </si>
  <si>
    <t>011130 Önkormányzatok és önkormányzati hivatalok jogalkotó és általános igazgatási tevékenysége</t>
  </si>
  <si>
    <t>1) Önkormányzati Hivatalhoz számítástechnikai eszközök beszerzése (kisértékű és nagyértékű eszköz beszerzés)</t>
  </si>
  <si>
    <t>2) Kisértékű(200 e Ft alatti) tárgyieszköz beszerzés</t>
  </si>
  <si>
    <t>Tamási Közös Önkormányzati Hivatal  beruházás összesen:</t>
  </si>
  <si>
    <t>Tamási Művelődési Központ és Könnyü László Könyvtár:</t>
  </si>
  <si>
    <t>Könnyü László Városi Könyvtár és Helytörténeti Gyűjtemény beruházás összesen:</t>
  </si>
  <si>
    <t>Tamási Aranyerdő Óvoda és Bölcsőde</t>
  </si>
  <si>
    <t>Intézmények összesen:</t>
  </si>
  <si>
    <t>ÖSSZESEN:</t>
  </si>
  <si>
    <t>Tamási Aranyerdő Óvoda és Bölcsőde összesen:</t>
  </si>
  <si>
    <t>2) Egyéb kisértékű eszközbeszerzés</t>
  </si>
  <si>
    <t>045170 Parkoló, garázs üzemeltetése, fenntartása</t>
  </si>
  <si>
    <t>1) TOP-2.1.1-15-TL1-2016-00003 Sportok Háza kialakítása Tamásiban pályázat</t>
  </si>
  <si>
    <t>Óvoda:</t>
  </si>
  <si>
    <t>Bölcsőde:</t>
  </si>
  <si>
    <t>041237 Közfoglalkoztatási mintaprogram</t>
  </si>
  <si>
    <t>ÖNKORMÁNYZAT</t>
  </si>
  <si>
    <t>051030 Nem veszélyes (települési) hulladék vegyes (ömlesztett) begyűjtése, szállítása, átrakása</t>
  </si>
  <si>
    <t>1) Hulladékgyűjtő szigeteknél alépítmény kiépítése (12 db)</t>
  </si>
  <si>
    <t>1) Jegyszedő bódé vásárlása</t>
  </si>
  <si>
    <t>5) Szennyvíz vezeték tervezése Szabadság utca-Páva utca</t>
  </si>
  <si>
    <t>1) Külterületi ivóvízhálózat tervezése</t>
  </si>
  <si>
    <t>1) Aquaplus Kft. Ivóvízvezeték hálózat cseréje fürdő területén</t>
  </si>
  <si>
    <t>2)TOP-2.1.1-15-TL1-2016-00003 Sportok Háza kialakítása Tamásiban (közmű és kert hitelből)</t>
  </si>
  <si>
    <t>4) TOP-1.1.1-15 Északi területi ipari park kialakítása, meglévő fejlesztése pályázat</t>
  </si>
  <si>
    <t>5) TOP-1.2.1-15 Tamási város fenntartható ökoturisztikai fejlesztése pályázat (Látogató központ, rendezvényhelyszín fejlesztés,parkoló építés fürdő mellé)</t>
  </si>
  <si>
    <t>1) Petőfi utcai parkoló tervezése és építése</t>
  </si>
  <si>
    <t>2) ITS felülvizsgálata Okosváros Stratégia miatt</t>
  </si>
  <si>
    <t>4) Díszvilágítás</t>
  </si>
  <si>
    <t>6) Buszváró készítése Rákóczi utcában</t>
  </si>
  <si>
    <t>7) Közlekedési táblák beszerzése</t>
  </si>
  <si>
    <t>8) Utcanévtáblák beszerzése</t>
  </si>
  <si>
    <t>104031 Gyermekek bölcsődei ellátása</t>
  </si>
  <si>
    <t>Önként vállalt feladat</t>
  </si>
  <si>
    <t>Megjegyzés:</t>
  </si>
  <si>
    <t>2018.-2021.</t>
  </si>
  <si>
    <t>TAMÁSI VÁROS ÖNKORMÁNYZAT 2020. ÉVI FELHALMOZÁSI, BERUHÁZÁSI KIADÁSI ELŐIRÁNYZATA FELADATONKÉNT, CÉLONKÉNT ÖNKORMÁNYZAT ÉS KÖLTSÉGVETÉSI SZERVEK TAGOLÁSÁBAN</t>
  </si>
  <si>
    <t>Felhaszná- lás
2019. XII.31-ig</t>
  </si>
  <si>
    <t>2020. évi visszaigé- nyelhető ÁFA</t>
  </si>
  <si>
    <t>várható pályázati támogatás 2020. évben</t>
  </si>
  <si>
    <t>2020.</t>
  </si>
  <si>
    <t>2) Díszterembe hangosítás, szavazatszámláló rendszer beszerzése</t>
  </si>
  <si>
    <t>3) Gépkocsi beszerzés</t>
  </si>
  <si>
    <t>2) Szauna és sószoba kialakítása fürdő épületében</t>
  </si>
  <si>
    <t>3) Információs térkép fürdő mellé</t>
  </si>
  <si>
    <t>3) Győgyfürdővé minősítés</t>
  </si>
  <si>
    <t>5) "Tamási" feliratú napelemes üdvözlő tábla</t>
  </si>
  <si>
    <t>045161 Kerékpárutak üzemeltetése, fenntartása</t>
  </si>
  <si>
    <t>1) Kerékpárutak mellé pollerek, sorompók beszerzése</t>
  </si>
  <si>
    <t>4) Új telefonközpont és telefonok</t>
  </si>
  <si>
    <t>5) Egyéb kisértékű eszközbeszerzés</t>
  </si>
  <si>
    <t>2) Parkoló órák beszerzése</t>
  </si>
  <si>
    <t>2019.-2020.</t>
  </si>
  <si>
    <t>3) Telekvásárlás</t>
  </si>
  <si>
    <t>1) Fedett szín építése önjáró munkagépeknek</t>
  </si>
  <si>
    <t>1) Haszongépjármű beszerzés "Helyi sajátosságok" program keretében</t>
  </si>
  <si>
    <t>3) Holik-féle szennyvízbekötés</t>
  </si>
  <si>
    <t>4) Üdülőterület szennyvízhálózat terveztetése, koncepció</t>
  </si>
  <si>
    <t xml:space="preserve">1) Közvilágítás kiegészítése napelemes lámpákkal </t>
  </si>
  <si>
    <t>9) Fornádra játszótéri elemek beszerzése</t>
  </si>
  <si>
    <t>10) Fenyvesbe Bio-WC létesítése</t>
  </si>
  <si>
    <t>11) Utcabútorok vásárlása</t>
  </si>
  <si>
    <t>12) Rókacsapda</t>
  </si>
  <si>
    <t>1) Asztali számítógép beszerzése vezetői irodába</t>
  </si>
  <si>
    <t>1) Telefonvonal kiépítése egyházi csoportokba</t>
  </si>
  <si>
    <t>2) Internet hozzáférés kiépítése az alsó épületben</t>
  </si>
  <si>
    <t>2) Egyéb kisértékű tárgyi eszköz beszerzés (udvari játékok, gyermekheverő, pelenkázó asztalok és betétek, fejlesztő- és játékeszközök stb.)</t>
  </si>
  <si>
    <t>3) Egyéb kisértékű tárgyi eszköz beszerzés (motoros fűkasza, szegélynyíró, párakapu, csúszda, homokozó keret, gyermekfektető, gyerekszékek, irodaszék, CD lejátszók stb.)</t>
  </si>
  <si>
    <r>
      <t>1)</t>
    </r>
    <r>
      <rPr>
        <sz val="12"/>
        <rFont val="Calibri"/>
        <family val="2"/>
        <charset val="238"/>
      </rPr>
      <t xml:space="preserve"> TOP-1.4.1-19-TL1-2019-00002 "Bölcsőde építése hozzáépítéssel" projekt kapcsán felmerülő kiadások (támogatás és önerő)</t>
    </r>
  </si>
  <si>
    <t>1) Könyvbeszerzés (082042 korm.-i funkció)</t>
  </si>
  <si>
    <t>1) Városi honlap fejlesztése</t>
  </si>
  <si>
    <t>1) Egyéb kisértékű tárgyi eszköz beszerzés (szemvizsgálathoz tábla 2 db, fotelágy, fali dekoráció)</t>
  </si>
  <si>
    <t>2018.-2020.</t>
  </si>
  <si>
    <t>1) A Koppány patak hídján lévő szennyvízvezeték meder alatti átsajtolással történő kiváltása GFT</t>
  </si>
  <si>
    <t>2) Koppányparti üzletsor szennyvízbekötése GFT</t>
  </si>
  <si>
    <t>6) Tamási Vasút utcai átemelő nyomóvezeték cseréje 67 fm hosszban GFT</t>
  </si>
  <si>
    <t>7) 2 db intelligens szennyvíz szivattyú beszerzése GFT</t>
  </si>
  <si>
    <t>6) Hivatal épületében villámvédelem kiépítése</t>
  </si>
  <si>
    <t xml:space="preserve">7) Tamási, 822 hrsz. ingatlan megvásárlása </t>
  </si>
  <si>
    <t>8) 1880/1 hrsz. megvásárlása</t>
  </si>
  <si>
    <t>9) Légkondícionáló beszerzése</t>
  </si>
  <si>
    <t>10) TOP-4.3.1 pályázathoz kapcsolódóan vállalt felújítási munkák</t>
  </si>
  <si>
    <t>11) TOP-2.1.1-15-TL1-2018-00006 Zöld Pont és Civilház kialakítása Tamásiban</t>
  </si>
  <si>
    <t>12) Tamási belterület 394 hrsz. alatti ingatlan megvásárlása (Katolikus Negyed)</t>
  </si>
  <si>
    <t>13) Okosvároshoz kapcsolódó beszerzések</t>
  </si>
  <si>
    <t>15) Leánykollégium bontása</t>
  </si>
  <si>
    <t>1) VP 6-7.2.1-7.4.1.2.16 földutas pályázat (stabilizálás, gépbeszerzés)</t>
  </si>
  <si>
    <t>2) Forgalmi rend felülvizsgálata a város főbb pontjain</t>
  </si>
  <si>
    <t>3) 2 db árok, meder burkolása (Miklósvár)</t>
  </si>
  <si>
    <t>4) Fekvőrendőr (Dózsa Gy. Utca)</t>
  </si>
  <si>
    <t>5) Homorú tükör beszerzés</t>
  </si>
  <si>
    <t>2) Egyéb kisértékű eszközbeszerzés (Sportpálya)</t>
  </si>
  <si>
    <t>3) Egyéb kisértékű eszközbeszerzés (Sportok Háza)</t>
  </si>
  <si>
    <t>2016.-2020.</t>
  </si>
  <si>
    <t>13)TOP-2.1.2-15  Zöld város kialakítása projekt</t>
  </si>
  <si>
    <t>14) Kamerarendszer bővítése (3 db)</t>
  </si>
  <si>
    <t>15) Koppány-patak melletti zsilip kivitelezése (Árvai köz csap. és talajvíz)</t>
  </si>
  <si>
    <t xml:space="preserve">16) TOP-4.3.1-15-TL1-2016-00001 Tamási "Budai városrész" rehabilitációja projekt </t>
  </si>
  <si>
    <t>17) KEHOP-1.2.1-18-2018-00203 Helyi klímastratégia kidolgozása projekt</t>
  </si>
  <si>
    <t>18) Elkerülő sétány kialakítása gimnáziumnál lévő buszmegálló mögött</t>
  </si>
  <si>
    <t xml:space="preserve">19) Gimnáziumhoz új buszmegálló </t>
  </si>
  <si>
    <t>20) Buszmegálló áthelyezés Signify gyár elé gimnáziumtól</t>
  </si>
  <si>
    <t>21) Nyomkövető önkormányzati autókra (10 db)</t>
  </si>
  <si>
    <t>22) Egyéb kisértékű eszközbeszerzés (geotermia)</t>
  </si>
  <si>
    <t>23)Biomasszához tüzelőtároló kialakítása</t>
  </si>
  <si>
    <t>2017.-2020.</t>
  </si>
  <si>
    <t>2) Szociális jellegű mintaprogramhoz kapcsolódó beruházások</t>
  </si>
  <si>
    <t>3) Helyi sajátosságokra épülő közfoglalkoztatás programhoz kapcsolódó beruházások</t>
  </si>
  <si>
    <t xml:space="preserve">4) Mezőgazdasági programhoz kapcsolódó beruházások </t>
  </si>
  <si>
    <t>6) Gimnázium sétány kivitelezés munkái II. ütem (kommunális adó terhére)</t>
  </si>
  <si>
    <t xml:space="preserve">16) A tamási 861. hrsz. alatt lévő (Tamási, Szabadság utca 11.) kivett irodaház megvásárlása ÉVÜ Kft.-től </t>
  </si>
  <si>
    <t>17) A Tamási Polgármesteri Hivatal épületének ügyfélforgalom szabályozása érdekében szükséges beléptetőrendszer, valamint kapuzat telepítésének, kiépítésének költségei</t>
  </si>
  <si>
    <t>18) Bojler beszerzés óvodába</t>
  </si>
  <si>
    <t>19) A tamási Fornád-puszta 0307/74 hrsz. ingatlan egy részének megvásárlása</t>
  </si>
  <si>
    <t>8) Szennyvíz szivattyúk cseréje GFT</t>
  </si>
  <si>
    <t xml:space="preserve">20) Eszközbeszerzés kempingbe </t>
  </si>
  <si>
    <t>14) Ingatlanvásárlás (011/138 hrsz., 011/49 hrsz.)</t>
  </si>
  <si>
    <t>3) "Tamási bakancslista mobilalkalmazás" megvalósítása (LEADER pályázat) önereje (082092 korm-i funkció)</t>
  </si>
  <si>
    <t>4) Könyvtári érdekeltségnövelő támogatás (082042 korm-i funkció)</t>
  </si>
  <si>
    <t>7)Kossuth tér járdaépítési munkálatai</t>
  </si>
  <si>
    <t>21) Tamási belterület 1181/A hrsz. ingatlan megvásárlása</t>
  </si>
  <si>
    <t>6) Egyéb kisértékű tárgyi eszköz beszerzés (zászlók, szerszámok, poroltók, tűzcsapok, színpadi munkafény, telefonközpont készülékekkel, projektor, stb.)(082092 korm.-i funkció)</t>
  </si>
  <si>
    <t>5) Közművelődési érdekeltségnövelő támogatás (082092 korm.-i funkció)</t>
  </si>
  <si>
    <t>4) Túrapont épület konyhatechnológiai eszközeinek beszerzése</t>
  </si>
  <si>
    <t>5)"Gyógyfürdőfejlesztés Tamásiban" projektnél tervező beszerzésére vonatkozó közbeszerzési feladatok költsége</t>
  </si>
  <si>
    <t>22) Iskolabővítés, -felújítás előkészítése, tervezése (Katolikus Oktatási Negyed)</t>
  </si>
  <si>
    <t>23) A Sportok Háza épület játszóház és büfé helyiségeibe a jelenlegi bérlő által beszerzett eszközök megvásárlása</t>
  </si>
  <si>
    <t>24) "Tamási Polgármesteri Hivatal korszerűsítése" -  "Intelligens Hivatal" tervezési feladatai</t>
  </si>
  <si>
    <t>2) Informatikai eszközök beszerzése (operációs rendszerek, vírusírtók, számítógép)(082044 korm-i funkció)</t>
  </si>
  <si>
    <t>7) Egyéb kisértékű tárgyi eszköz beszerzés (infravörös testhőmérő, szappanadagoló)</t>
  </si>
  <si>
    <t>6) Tamási Innovációs Központ Nkft.-től megvásárolt kisértékű eszközök</t>
  </si>
  <si>
    <t>25) Tamási Vagyongazdálkodó Kft. alapítása (törzstőke)</t>
  </si>
  <si>
    <t>091140 Óvodai nevelés, ellátás működtetési feladatai</t>
  </si>
  <si>
    <t>1) Bojler beszerzés óvodába</t>
  </si>
  <si>
    <t>2) Csapadékelvezetés óvodánál</t>
  </si>
  <si>
    <t>072210 Járóbetegek gyógyító szakellátása</t>
  </si>
  <si>
    <t>1) Egyéb kisértékű tárgyi eszköz beszerzés (telefonkészülék vásárlása háziorvosnak)</t>
  </si>
  <si>
    <t>074032 Ifjúsági eü. gondozás</t>
  </si>
  <si>
    <t>1) Egyéb kisértékű tárgyi eszköz beszerzése (vérnyomásmérő)</t>
  </si>
  <si>
    <t xml:space="preserve">074040 Fertőző megbetegedések megelőzése, járványügyi ellátás </t>
  </si>
  <si>
    <t>1) Egyéb kisértékű eszközbeszerzés (lázmérő, fertőtlenítő adagoló)</t>
  </si>
  <si>
    <t>15) KEHOP-2.1.3-15-2016-00033 Tamási, Pincsehely, Kölesd, Kistormás települések ivóvízminőség-javító programja elnevezésű projekt beruházási része</t>
  </si>
  <si>
    <t>2) A 65-ös főút és Újvárhegy utca közötti ivóvíz hálózat szakasz kivitelezésének és a műszaki ellenőri tevékenységnek költségei (I. ütem)</t>
  </si>
  <si>
    <t>3) A 65-ös főút és Újvárhegy utca közötti ivóvíz hálózat szakasz kivitelezésének és a műszaki ellenőri tevékenységnek költségei (II. ütem)</t>
  </si>
  <si>
    <t>24) Egyéb kisértékű eszközbeszerzés biomasszához</t>
  </si>
  <si>
    <t>25) Munkásszállás kialakítása pályázat benyújtásához szükséges tervdokumentáció és üzleti terv költségei</t>
  </si>
  <si>
    <t>26) "Fornád településrészen játszótér kialakítása pályázat (LEADER/önerő)</t>
  </si>
  <si>
    <t>27) Kossuth tér gyalogos közlekedésének kijelölése</t>
  </si>
  <si>
    <r>
      <t xml:space="preserve">28) Látogatóközpont épülete üzemeltetéséhez szükséges tárgyi eszközök, </t>
    </r>
    <r>
      <rPr>
        <sz val="12"/>
        <rFont val="Calibri"/>
        <family val="2"/>
        <charset val="238"/>
      </rPr>
      <t>egyedi terasz bútorok beszerzése</t>
    </r>
  </si>
  <si>
    <t>29) Cser László utcai csapadékvíz elvezető áteresz terveinek elkészíttetése</t>
  </si>
  <si>
    <t>30) Egyéb kisértékű tárgyi eszközök beszerzése (ESMA Zrt.)</t>
  </si>
  <si>
    <t>31) Egyéb kisértékű eszközbeszerzés</t>
  </si>
  <si>
    <t>32) Tamási Innovációs Központ Nkft.-től megvásárolt kisértékű eszközök</t>
  </si>
  <si>
    <t>4) Tamási, Adorjánújtelep utca ivóvíz hálózatának kiépítése tárgyú engedélyes tervdokumentáció elkészítettésének költsége</t>
  </si>
  <si>
    <t>5) Tamási I.-II. Vízmű telep magaslati medence irányítástechnikai rendszer kiépítése (GFT)</t>
  </si>
  <si>
    <t>6) Északi iparterület Dózsa Gy. utca ivóvíz hálózat bővítési terv (GFT)</t>
  </si>
  <si>
    <t>7) A Tamási Rákóczi utca 35. szám alatti vízmű telephelyen 60 m mélységű új kút létesítése</t>
  </si>
  <si>
    <t>8) Tamási Czuczor utca és Szabadság utca vezeték kiváltás (GFT)</t>
  </si>
  <si>
    <t>9) Hunyadi tér - Hunyadi utca közötti ivóvíz nyomóvezeték kiváltása (GFT)</t>
  </si>
  <si>
    <t>10) Kiviteli tervek (Újvárhegy-, Kosba-, Tuskós- és az Adorjánújtelep), valamint Adorjánpuszta vízellátásának engedélyezési- és kiviteli tervei elkészíttetése</t>
  </si>
  <si>
    <t>11) Az Újvárhegy-, Kosba-, Tuskós- és az Adorjánújtelep területek ivóvízellátását biztosító hálózat kialakításához kapcsolódó feltételes közbeszerzés lefolytatása</t>
  </si>
  <si>
    <t>12) Tamási Öreghenye településrész ivóvízellátását biztosító hálózat engedélyezési- és kiviteli tervei elkészíttetésének költsége</t>
  </si>
  <si>
    <t>14) KEHOP-2.1.3-15-2016-000033 "Tolna Megyei Tamási település ivóvízminőség-javító programja" projekt megvalósítása kapcsán felmerülő kiadások (önerőből)</t>
  </si>
  <si>
    <t>8. számú melléklet</t>
  </si>
  <si>
    <t>13)"Tamási külterületi lakott helyek ivóvízellátásának kiépítése" projekt beruházási része</t>
  </si>
  <si>
    <t>074031 Család- és nővédelmi eü. gondozás</t>
  </si>
  <si>
    <t>2020. évi  módosított beruházási előirányzat (nettó)</t>
  </si>
  <si>
    <t>2020. évi módosított beruházási előirányzat ÁFA</t>
  </si>
  <si>
    <t>2020. évi módosított előirányzat fordított ÁFA(működési kiadás)</t>
  </si>
  <si>
    <t>2020. évi módosított bruttó előirányzat (5+6+7)</t>
  </si>
  <si>
    <t>Teljesítés %-a</t>
  </si>
  <si>
    <t>Teljesítés 2020.12.31. FAD</t>
  </si>
  <si>
    <t>Teljesítés 2020.12.31. Beruházás</t>
  </si>
  <si>
    <t>2020.évi visszaigényelt ÁFA</t>
  </si>
  <si>
    <t>Kapott támogatás 2020.évben</t>
  </si>
  <si>
    <t>15. oszlopból európai uniós támogatás</t>
  </si>
  <si>
    <t>16. oszlopból európai uniós támogatás</t>
  </si>
  <si>
    <t>2020. évi eredeti beruházási előirányzat (bruttó)</t>
  </si>
  <si>
    <t>Tamási Polgármesteri Hivatal: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</si>
</sst>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#"/>
    <numFmt numFmtId="167" formatCode="0.0%"/>
    <numFmt numFmtId="168" formatCode="#,##0.0"/>
    <numFmt numFmtId="170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314">
    <xf numFmtId="0" fontId="0" fillId="0" borderId="0" xfId="0"/>
    <xf numFmtId="166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0" applyFont="1" applyFill="1"/>
    <xf numFmtId="3" fontId="5" fillId="0" borderId="0" xfId="0" applyNumberFormat="1" applyFont="1" applyFill="1"/>
    <xf numFmtId="166" fontId="5" fillId="0" borderId="0" xfId="1" applyNumberFormat="1" applyFont="1" applyFill="1" applyAlignment="1">
      <alignment horizontal="center" vertical="center" wrapText="1"/>
    </xf>
    <xf numFmtId="166" fontId="5" fillId="0" borderId="0" xfId="1" applyNumberFormat="1" applyFont="1" applyFill="1" applyAlignment="1">
      <alignment vertical="center" wrapText="1"/>
    </xf>
    <xf numFmtId="3" fontId="5" fillId="0" borderId="0" xfId="1" applyNumberFormat="1" applyFont="1" applyFill="1" applyAlignment="1">
      <alignment vertical="center" wrapText="1"/>
    </xf>
    <xf numFmtId="166" fontId="5" fillId="0" borderId="2" xfId="1" applyNumberFormat="1" applyFont="1" applyFill="1" applyBorder="1" applyAlignment="1">
      <alignment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 applyProtection="1">
      <alignment horizontal="center" vertical="center" wrapText="1"/>
    </xf>
    <xf numFmtId="166" fontId="6" fillId="0" borderId="7" xfId="1" applyNumberFormat="1" applyFont="1" applyFill="1" applyBorder="1" applyAlignment="1" applyProtection="1">
      <alignment horizontal="center" vertical="center" wrapText="1"/>
    </xf>
    <xf numFmtId="166" fontId="6" fillId="0" borderId="8" xfId="1" applyNumberFormat="1" applyFont="1" applyFill="1" applyBorder="1" applyAlignment="1" applyProtection="1">
      <alignment horizontal="center" vertical="center" wrapText="1"/>
    </xf>
    <xf numFmtId="3" fontId="6" fillId="0" borderId="8" xfId="1" applyNumberFormat="1" applyFont="1" applyFill="1" applyBorder="1" applyAlignment="1" applyProtection="1">
      <alignment horizontal="center" vertical="center" wrapText="1"/>
    </xf>
    <xf numFmtId="3" fontId="6" fillId="0" borderId="9" xfId="1" applyNumberFormat="1" applyFont="1" applyFill="1" applyBorder="1" applyAlignment="1" applyProtection="1">
      <alignment horizontal="center" vertical="center" wrapText="1"/>
    </xf>
    <xf numFmtId="166" fontId="7" fillId="2" borderId="10" xfId="1" applyNumberFormat="1" applyFont="1" applyFill="1" applyBorder="1" applyAlignment="1" applyProtection="1">
      <alignment horizontal="left" vertical="center" wrapText="1"/>
    </xf>
    <xf numFmtId="166" fontId="6" fillId="0" borderId="11" xfId="1" applyNumberFormat="1" applyFont="1" applyFill="1" applyBorder="1" applyAlignment="1" applyProtection="1">
      <alignment horizontal="center" vertical="center" wrapText="1"/>
    </xf>
    <xf numFmtId="3" fontId="6" fillId="0" borderId="11" xfId="1" applyNumberFormat="1" applyFont="1" applyFill="1" applyBorder="1" applyAlignment="1" applyProtection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 wrapText="1"/>
    </xf>
    <xf numFmtId="166" fontId="7" fillId="5" borderId="13" xfId="1" applyNumberFormat="1" applyFont="1" applyFill="1" applyBorder="1" applyAlignment="1" applyProtection="1">
      <alignment horizontal="left" vertical="center" wrapText="1"/>
    </xf>
    <xf numFmtId="166" fontId="6" fillId="0" borderId="14" xfId="1" applyNumberFormat="1" applyFont="1" applyFill="1" applyBorder="1" applyAlignment="1" applyProtection="1">
      <alignment horizontal="center" vertical="center" wrapText="1"/>
    </xf>
    <xf numFmtId="3" fontId="6" fillId="0" borderId="14" xfId="1" applyNumberFormat="1" applyFont="1" applyFill="1" applyBorder="1" applyAlignment="1" applyProtection="1">
      <alignment horizontal="center" vertical="center" wrapText="1"/>
    </xf>
    <xf numFmtId="166" fontId="6" fillId="0" borderId="15" xfId="1" applyNumberFormat="1" applyFont="1" applyFill="1" applyBorder="1" applyAlignment="1" applyProtection="1">
      <alignment horizontal="center" vertical="center" wrapText="1"/>
    </xf>
    <xf numFmtId="166" fontId="5" fillId="0" borderId="16" xfId="1" applyNumberFormat="1" applyFont="1" applyFill="1" applyBorder="1" applyAlignment="1" applyProtection="1">
      <alignment horizontal="left" vertical="center" wrapText="1"/>
    </xf>
    <xf numFmtId="3" fontId="5" fillId="0" borderId="17" xfId="1" applyNumberFormat="1" applyFont="1" applyFill="1" applyBorder="1" applyAlignment="1" applyProtection="1">
      <alignment horizontal="right" vertical="center" wrapText="1"/>
    </xf>
    <xf numFmtId="166" fontId="6" fillId="0" borderId="3" xfId="1" applyNumberFormat="1" applyFont="1" applyFill="1" applyBorder="1" applyAlignment="1" applyProtection="1">
      <alignment horizontal="left" vertical="center" wrapText="1"/>
    </xf>
    <xf numFmtId="3" fontId="6" fillId="0" borderId="4" xfId="1" applyNumberFormat="1" applyFont="1" applyFill="1" applyBorder="1" applyAlignment="1" applyProtection="1">
      <alignment horizontal="right" vertical="center" wrapText="1"/>
    </xf>
    <xf numFmtId="3" fontId="6" fillId="0" borderId="5" xfId="1" applyNumberFormat="1" applyFont="1" applyFill="1" applyBorder="1" applyAlignment="1" applyProtection="1">
      <alignment horizontal="right" vertical="center" wrapText="1"/>
    </xf>
    <xf numFmtId="3" fontId="6" fillId="0" borderId="9" xfId="0" applyNumberFormat="1" applyFont="1" applyFill="1" applyBorder="1" applyAlignment="1">
      <alignment horizontal="right" vertical="center"/>
    </xf>
    <xf numFmtId="166" fontId="7" fillId="5" borderId="1" xfId="1" applyNumberFormat="1" applyFont="1" applyFill="1" applyBorder="1" applyAlignment="1" applyProtection="1">
      <alignment horizontal="left" vertical="center" wrapText="1"/>
    </xf>
    <xf numFmtId="3" fontId="6" fillId="0" borderId="18" xfId="1" applyNumberFormat="1" applyFont="1" applyFill="1" applyBorder="1" applyAlignment="1" applyProtection="1">
      <alignment horizontal="center" vertical="center" wrapText="1"/>
    </xf>
    <xf numFmtId="3" fontId="5" fillId="0" borderId="17" xfId="1" applyNumberFormat="1" applyFont="1" applyFill="1" applyBorder="1" applyAlignment="1" applyProtection="1">
      <alignment horizontal="center" vertical="center" wrapText="1"/>
    </xf>
    <xf numFmtId="3" fontId="5" fillId="0" borderId="19" xfId="1" applyNumberFormat="1" applyFont="1" applyFill="1" applyBorder="1" applyAlignment="1" applyProtection="1">
      <alignment horizontal="right" vertical="center" wrapText="1"/>
    </xf>
    <xf numFmtId="3" fontId="5" fillId="0" borderId="20" xfId="0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/>
    <xf numFmtId="166" fontId="5" fillId="6" borderId="16" xfId="1" applyNumberFormat="1" applyFont="1" applyFill="1" applyBorder="1" applyAlignment="1" applyProtection="1">
      <alignment horizontal="left" vertical="center" wrapText="1"/>
    </xf>
    <xf numFmtId="3" fontId="5" fillId="6" borderId="17" xfId="1" applyNumberFormat="1" applyFont="1" applyFill="1" applyBorder="1" applyAlignment="1" applyProtection="1">
      <alignment horizontal="center" vertical="center" wrapText="1"/>
    </xf>
    <xf numFmtId="3" fontId="5" fillId="6" borderId="17" xfId="1" applyNumberFormat="1" applyFont="1" applyFill="1" applyBorder="1" applyAlignment="1" applyProtection="1">
      <alignment horizontal="right" vertical="center" wrapText="1"/>
    </xf>
    <xf numFmtId="1" fontId="5" fillId="0" borderId="0" xfId="0" applyNumberFormat="1" applyFont="1" applyFill="1"/>
    <xf numFmtId="3" fontId="6" fillId="0" borderId="14" xfId="1" applyNumberFormat="1" applyFont="1" applyFill="1" applyBorder="1" applyAlignment="1" applyProtection="1">
      <alignment horizontal="right" vertical="center" wrapText="1"/>
      <protection locked="0"/>
    </xf>
    <xf numFmtId="166" fontId="5" fillId="0" borderId="21" xfId="1" applyNumberFormat="1" applyFont="1" applyFill="1" applyBorder="1" applyAlignment="1" applyProtection="1">
      <alignment horizontal="left" vertical="center" wrapText="1"/>
    </xf>
    <xf numFmtId="3" fontId="5" fillId="0" borderId="22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18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17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166" fontId="7" fillId="5" borderId="21" xfId="1" applyNumberFormat="1" applyFont="1" applyFill="1" applyBorder="1" applyAlignment="1" applyProtection="1">
      <alignment horizontal="left" vertical="center" wrapText="1"/>
    </xf>
    <xf numFmtId="3" fontId="5" fillId="0" borderId="22" xfId="1" applyNumberFormat="1" applyFont="1" applyFill="1" applyBorder="1" applyAlignment="1" applyProtection="1">
      <alignment horizontal="right" vertical="center" wrapText="1"/>
    </xf>
    <xf numFmtId="3" fontId="5" fillId="0" borderId="23" xfId="0" applyNumberFormat="1" applyFont="1" applyFill="1" applyBorder="1" applyAlignment="1">
      <alignment horizontal="right" vertical="center"/>
    </xf>
    <xf numFmtId="3" fontId="5" fillId="6" borderId="17" xfId="1" applyNumberFormat="1" applyFont="1" applyFill="1" applyBorder="1" applyAlignment="1" applyProtection="1">
      <alignment horizontal="right" vertical="center" wrapText="1"/>
      <protection locked="0"/>
    </xf>
    <xf numFmtId="166" fontId="5" fillId="0" borderId="16" xfId="1" applyNumberFormat="1" applyFont="1" applyFill="1" applyBorder="1" applyAlignment="1" applyProtection="1">
      <alignment horizontal="left" vertical="center" wrapText="1"/>
      <protection locked="0"/>
    </xf>
    <xf numFmtId="3" fontId="5" fillId="0" borderId="19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 applyProtection="1">
      <alignment horizontal="left"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/>
    </xf>
    <xf numFmtId="0" fontId="7" fillId="5" borderId="13" xfId="1" applyFont="1" applyFill="1" applyBorder="1" applyAlignment="1"/>
    <xf numFmtId="3" fontId="6" fillId="0" borderId="24" xfId="1" applyNumberFormat="1" applyFont="1" applyFill="1" applyBorder="1" applyAlignment="1" applyProtection="1">
      <alignment horizontal="right" vertical="center" wrapText="1"/>
    </xf>
    <xf numFmtId="3" fontId="5" fillId="0" borderId="0" xfId="1" applyNumberFormat="1" applyFont="1" applyFill="1" applyBorder="1" applyAlignment="1" applyProtection="1">
      <alignment horizontal="right" vertical="center" wrapText="1"/>
    </xf>
    <xf numFmtId="0" fontId="7" fillId="5" borderId="10" xfId="1" applyFont="1" applyFill="1" applyBorder="1" applyAlignment="1">
      <alignment wrapText="1"/>
    </xf>
    <xf numFmtId="3" fontId="6" fillId="0" borderId="15" xfId="1" applyNumberFormat="1" applyFont="1" applyFill="1" applyBorder="1" applyAlignment="1" applyProtection="1">
      <alignment horizontal="right" vertical="center" wrapText="1"/>
    </xf>
    <xf numFmtId="166" fontId="5" fillId="0" borderId="25" xfId="1" applyNumberFormat="1" applyFont="1" applyFill="1" applyBorder="1" applyAlignment="1" applyProtection="1">
      <alignment horizontal="left" vertical="center" wrapText="1"/>
    </xf>
    <xf numFmtId="3" fontId="5" fillId="0" borderId="26" xfId="1" applyNumberFormat="1" applyFont="1" applyFill="1" applyBorder="1" applyAlignment="1" applyProtection="1">
      <alignment horizontal="right" vertical="center" wrapText="1"/>
    </xf>
    <xf numFmtId="3" fontId="5" fillId="0" borderId="27" xfId="1" applyNumberFormat="1" applyFont="1" applyFill="1" applyBorder="1" applyAlignment="1" applyProtection="1">
      <alignment horizontal="right" vertical="center" wrapText="1"/>
    </xf>
    <xf numFmtId="0" fontId="7" fillId="5" borderId="10" xfId="1" applyFont="1" applyFill="1" applyBorder="1" applyAlignment="1"/>
    <xf numFmtId="3" fontId="5" fillId="0" borderId="28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18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29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29" xfId="1" applyNumberFormat="1" applyFont="1" applyFill="1" applyBorder="1" applyAlignment="1" applyProtection="1">
      <alignment horizontal="right" vertical="center" wrapText="1"/>
      <protection locked="0"/>
    </xf>
    <xf numFmtId="0" fontId="5" fillId="6" borderId="16" xfId="0" applyFont="1" applyFill="1" applyBorder="1" applyAlignment="1">
      <alignment wrapText="1"/>
    </xf>
    <xf numFmtId="3" fontId="5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20" xfId="0" applyNumberFormat="1" applyFont="1" applyFill="1" applyBorder="1" applyAlignment="1">
      <alignment horizontal="right" vertical="center"/>
    </xf>
    <xf numFmtId="0" fontId="5" fillId="6" borderId="16" xfId="0" applyFont="1" applyFill="1" applyBorder="1" applyAlignment="1"/>
    <xf numFmtId="0" fontId="5" fillId="0" borderId="16" xfId="0" applyFont="1" applyFill="1" applyBorder="1" applyAlignment="1">
      <alignment wrapText="1"/>
    </xf>
    <xf numFmtId="3" fontId="6" fillId="0" borderId="11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20" xfId="1" applyNumberFormat="1" applyFont="1" applyFill="1" applyBorder="1" applyAlignment="1" applyProtection="1">
      <alignment horizontal="right" vertical="center" wrapText="1"/>
      <protection locked="0"/>
    </xf>
    <xf numFmtId="166" fontId="6" fillId="4" borderId="3" xfId="1" applyNumberFormat="1" applyFont="1" applyFill="1" applyBorder="1" applyAlignment="1" applyProtection="1">
      <alignment horizontal="left" vertical="center" wrapText="1"/>
      <protection locked="0"/>
    </xf>
    <xf numFmtId="166" fontId="6" fillId="3" borderId="3" xfId="1" applyNumberFormat="1" applyFont="1" applyFill="1" applyBorder="1" applyAlignment="1" applyProtection="1">
      <alignment horizontal="left" vertical="center" wrapText="1"/>
      <protection locked="0"/>
    </xf>
    <xf numFmtId="3" fontId="6" fillId="3" borderId="5" xfId="1" applyNumberFormat="1" applyFont="1" applyFill="1" applyBorder="1" applyAlignment="1" applyProtection="1">
      <alignment horizontal="right" vertical="center" wrapText="1"/>
      <protection locked="0"/>
    </xf>
    <xf numFmtId="166" fontId="7" fillId="7" borderId="1" xfId="1" applyNumberFormat="1" applyFont="1" applyFill="1" applyBorder="1" applyAlignment="1" applyProtection="1">
      <alignment horizontal="left" vertical="center" wrapText="1"/>
      <protection locked="0"/>
    </xf>
    <xf numFmtId="3" fontId="6" fillId="8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8" borderId="28" xfId="1" applyNumberFormat="1" applyFont="1" applyFill="1" applyBorder="1" applyAlignment="1" applyProtection="1">
      <alignment horizontal="right" vertical="center" wrapText="1"/>
      <protection locked="0"/>
    </xf>
    <xf numFmtId="0" fontId="5" fillId="8" borderId="0" xfId="0" applyFont="1" applyFill="1"/>
    <xf numFmtId="166" fontId="7" fillId="9" borderId="1" xfId="1" applyNumberFormat="1" applyFont="1" applyFill="1" applyBorder="1" applyAlignment="1" applyProtection="1">
      <alignment horizontal="left" vertical="center" wrapText="1"/>
      <protection locked="0"/>
    </xf>
    <xf numFmtId="166" fontId="7" fillId="0" borderId="1" xfId="1" applyNumberFormat="1" applyFont="1" applyFill="1" applyBorder="1" applyAlignment="1" applyProtection="1">
      <alignment horizontal="left" vertical="center" wrapText="1"/>
    </xf>
    <xf numFmtId="166" fontId="5" fillId="0" borderId="1" xfId="1" applyNumberFormat="1" applyFont="1" applyFill="1" applyBorder="1" applyAlignment="1" applyProtection="1">
      <alignment horizontal="left" vertical="center" wrapText="1"/>
      <protection locked="0"/>
    </xf>
    <xf numFmtId="3" fontId="6" fillId="0" borderId="28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/>
    <xf numFmtId="166" fontId="6" fillId="0" borderId="3" xfId="1" applyNumberFormat="1" applyFont="1" applyFill="1" applyBorder="1" applyAlignment="1" applyProtection="1">
      <alignment horizontal="left" vertical="center" wrapText="1"/>
      <protection locked="0"/>
    </xf>
    <xf numFmtId="166" fontId="7" fillId="9" borderId="25" xfId="1" applyNumberFormat="1" applyFont="1" applyFill="1" applyBorder="1" applyAlignment="1" applyProtection="1">
      <alignment horizontal="left" vertical="center" wrapText="1"/>
      <protection locked="0"/>
    </xf>
    <xf numFmtId="3" fontId="6" fillId="0" borderId="30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1" xfId="0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Fill="1"/>
    <xf numFmtId="166" fontId="7" fillId="9" borderId="10" xfId="1" applyNumberFormat="1" applyFont="1" applyFill="1" applyBorder="1" applyAlignment="1" applyProtection="1">
      <alignment horizontal="left" vertical="center" wrapText="1"/>
      <protection locked="0"/>
    </xf>
    <xf numFmtId="166" fontId="7" fillId="0" borderId="1" xfId="1" applyNumberFormat="1" applyFont="1" applyFill="1" applyBorder="1" applyAlignment="1" applyProtection="1">
      <alignment horizontal="left" vertical="center" wrapText="1"/>
      <protection locked="0"/>
    </xf>
    <xf numFmtId="3" fontId="6" fillId="4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4" borderId="9" xfId="1" applyNumberFormat="1" applyFont="1" applyFill="1" applyBorder="1" applyAlignment="1" applyProtection="1">
      <alignment horizontal="right" vertical="center" wrapText="1"/>
      <protection locked="0"/>
    </xf>
    <xf numFmtId="166" fontId="6" fillId="4" borderId="3" xfId="1" applyNumberFormat="1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>
      <alignment wrapText="1"/>
    </xf>
    <xf numFmtId="3" fontId="5" fillId="0" borderId="20" xfId="0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 applyProtection="1">
      <alignment horizontal="left" vertical="center" wrapText="1"/>
    </xf>
    <xf numFmtId="3" fontId="5" fillId="0" borderId="18" xfId="1" applyNumberFormat="1" applyFont="1" applyFill="1" applyBorder="1" applyAlignment="1" applyProtection="1">
      <alignment horizontal="right" vertical="center" wrapText="1"/>
    </xf>
    <xf numFmtId="166" fontId="2" fillId="0" borderId="16" xfId="1" applyNumberFormat="1" applyFont="1" applyFill="1" applyBorder="1" applyAlignment="1" applyProtection="1">
      <alignment horizontal="left" vertical="center" wrapText="1"/>
    </xf>
    <xf numFmtId="3" fontId="5" fillId="0" borderId="18" xfId="1" applyNumberFormat="1" applyFont="1" applyFill="1" applyBorder="1" applyAlignment="1" applyProtection="1">
      <alignment horizontal="center" vertical="center" wrapText="1"/>
    </xf>
    <xf numFmtId="3" fontId="5" fillId="0" borderId="28" xfId="1" applyNumberFormat="1" applyFont="1" applyFill="1" applyBorder="1" applyAlignment="1" applyProtection="1">
      <alignment horizontal="right" vertical="center" wrapText="1"/>
    </xf>
    <xf numFmtId="3" fontId="5" fillId="0" borderId="28" xfId="1" applyNumberFormat="1" applyFont="1" applyFill="1" applyBorder="1" applyAlignment="1" applyProtection="1">
      <alignment horizontal="center" vertical="center" wrapText="1"/>
    </xf>
    <xf numFmtId="3" fontId="5" fillId="0" borderId="12" xfId="1" applyNumberFormat="1" applyFont="1" applyFill="1" applyBorder="1" applyAlignment="1" applyProtection="1">
      <alignment horizontal="right" vertical="center" wrapText="1"/>
    </xf>
    <xf numFmtId="3" fontId="5" fillId="0" borderId="33" xfId="1" applyNumberFormat="1" applyFont="1" applyFill="1" applyBorder="1" applyAlignment="1" applyProtection="1">
      <alignment horizontal="right" vertical="center" wrapText="1"/>
    </xf>
    <xf numFmtId="0" fontId="5" fillId="0" borderId="21" xfId="0" applyFont="1" applyFill="1" applyBorder="1" applyAlignment="1">
      <alignment wrapText="1"/>
    </xf>
    <xf numFmtId="0" fontId="5" fillId="0" borderId="34" xfId="0" applyFont="1" applyFill="1" applyBorder="1"/>
    <xf numFmtId="0" fontId="5" fillId="0" borderId="32" xfId="0" applyFont="1" applyFill="1" applyBorder="1"/>
    <xf numFmtId="3" fontId="5" fillId="0" borderId="30" xfId="1" applyNumberFormat="1" applyFont="1" applyFill="1" applyBorder="1" applyAlignment="1" applyProtection="1">
      <alignment horizontal="right" vertical="center" wrapText="1"/>
      <protection locked="0"/>
    </xf>
    <xf numFmtId="0" fontId="5" fillId="6" borderId="21" xfId="0" applyFont="1" applyFill="1" applyBorder="1" applyAlignment="1">
      <alignment wrapText="1"/>
    </xf>
    <xf numFmtId="3" fontId="5" fillId="6" borderId="2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>
      <alignment wrapText="1"/>
    </xf>
    <xf numFmtId="166" fontId="5" fillId="0" borderId="32" xfId="1" applyNumberFormat="1" applyFont="1" applyFill="1" applyBorder="1" applyAlignment="1" applyProtection="1">
      <alignment horizontal="left" vertical="center" wrapText="1"/>
    </xf>
    <xf numFmtId="166" fontId="5" fillId="0" borderId="35" xfId="1" applyNumberFormat="1" applyFont="1" applyFill="1" applyBorder="1" applyAlignment="1" applyProtection="1">
      <alignment horizontal="left" vertical="center" wrapText="1"/>
    </xf>
    <xf numFmtId="0" fontId="5" fillId="0" borderId="35" xfId="0" applyFont="1" applyFill="1" applyBorder="1"/>
    <xf numFmtId="0" fontId="2" fillId="0" borderId="21" xfId="0" applyFont="1" applyFill="1" applyBorder="1" applyAlignment="1">
      <alignment wrapText="1"/>
    </xf>
    <xf numFmtId="0" fontId="5" fillId="0" borderId="34" xfId="0" applyFont="1" applyFill="1" applyBorder="1" applyAlignment="1">
      <alignment wrapText="1"/>
    </xf>
    <xf numFmtId="3" fontId="5" fillId="6" borderId="22" xfId="1" applyNumberFormat="1" applyFont="1" applyFill="1" applyBorder="1" applyAlignment="1" applyProtection="1">
      <alignment horizontal="right" vertical="center" wrapText="1"/>
    </xf>
    <xf numFmtId="0" fontId="5" fillId="0" borderId="35" xfId="0" applyFont="1" applyFill="1" applyBorder="1" applyAlignment="1">
      <alignment wrapText="1"/>
    </xf>
    <xf numFmtId="166" fontId="2" fillId="0" borderId="1" xfId="1" applyNumberFormat="1" applyFont="1" applyFill="1" applyBorder="1" applyAlignment="1" applyProtection="1">
      <alignment horizontal="left" vertical="center" wrapText="1"/>
      <protection locked="0"/>
    </xf>
    <xf numFmtId="3" fontId="5" fillId="0" borderId="7" xfId="1" applyNumberFormat="1" applyFont="1" applyFill="1" applyBorder="1" applyAlignment="1" applyProtection="1">
      <alignment horizontal="center" vertical="center" wrapText="1"/>
    </xf>
    <xf numFmtId="3" fontId="5" fillId="0" borderId="30" xfId="1" applyNumberFormat="1" applyFont="1" applyFill="1" applyBorder="1" applyAlignment="1" applyProtection="1">
      <alignment horizontal="center" vertical="center" wrapText="1"/>
    </xf>
    <xf numFmtId="3" fontId="6" fillId="0" borderId="9" xfId="1" applyNumberFormat="1" applyFont="1" applyFill="1" applyBorder="1" applyAlignment="1" applyProtection="1">
      <alignment horizontal="right" vertical="center" wrapText="1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23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22" xfId="1" applyNumberFormat="1" applyFont="1" applyFill="1" applyBorder="1" applyAlignment="1" applyProtection="1">
      <alignment horizontal="center" vertical="center" wrapText="1"/>
    </xf>
    <xf numFmtId="3" fontId="5" fillId="0" borderId="29" xfId="1" applyNumberFormat="1" applyFont="1" applyFill="1" applyBorder="1" applyAlignment="1" applyProtection="1">
      <alignment horizontal="right" vertical="center" wrapText="1"/>
    </xf>
    <xf numFmtId="3" fontId="5" fillId="0" borderId="20" xfId="1" applyNumberFormat="1" applyFont="1" applyFill="1" applyBorder="1" applyAlignment="1" applyProtection="1">
      <alignment horizontal="right" vertical="center" wrapText="1"/>
    </xf>
    <xf numFmtId="3" fontId="5" fillId="0" borderId="31" xfId="1" applyNumberFormat="1" applyFont="1" applyFill="1" applyBorder="1" applyAlignment="1" applyProtection="1">
      <alignment horizontal="right" vertical="center" wrapText="1"/>
    </xf>
    <xf numFmtId="3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36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37" xfId="1" applyNumberFormat="1" applyFont="1" applyFill="1" applyBorder="1" applyAlignment="1" applyProtection="1">
      <alignment horizontal="center" vertical="center" wrapText="1"/>
    </xf>
    <xf numFmtId="3" fontId="5" fillId="0" borderId="37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38" xfId="1" applyNumberFormat="1" applyFont="1" applyFill="1" applyBorder="1" applyAlignment="1" applyProtection="1">
      <alignment horizontal="center" vertical="center" wrapText="1"/>
      <protection locked="0"/>
    </xf>
    <xf numFmtId="3" fontId="5" fillId="6" borderId="37" xfId="1" applyNumberFormat="1" applyFont="1" applyFill="1" applyBorder="1" applyAlignment="1" applyProtection="1">
      <alignment horizontal="center" vertical="center" wrapText="1"/>
      <protection locked="0"/>
    </xf>
    <xf numFmtId="3" fontId="5" fillId="6" borderId="36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5" fillId="0" borderId="27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9" xfId="1" applyNumberFormat="1" applyFont="1" applyFill="1" applyBorder="1" applyAlignment="1" applyProtection="1">
      <alignment horizontal="right" vertical="center" wrapText="1"/>
      <protection locked="0"/>
    </xf>
    <xf numFmtId="3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right" vertical="center" wrapText="1"/>
    </xf>
    <xf numFmtId="3" fontId="6" fillId="0" borderId="18" xfId="1" applyNumberFormat="1" applyFont="1" applyFill="1" applyBorder="1" applyAlignment="1" applyProtection="1">
      <alignment horizontal="right" vertical="center" wrapText="1"/>
    </xf>
    <xf numFmtId="3" fontId="6" fillId="0" borderId="28" xfId="1" applyNumberFormat="1" applyFont="1" applyFill="1" applyBorder="1" applyAlignment="1" applyProtection="1">
      <alignment horizontal="right" vertical="center" wrapText="1"/>
    </xf>
    <xf numFmtId="3" fontId="6" fillId="0" borderId="12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 applyProtection="1">
      <alignment horizontal="center" vertical="center" wrapText="1"/>
    </xf>
    <xf numFmtId="3" fontId="6" fillId="0" borderId="12" xfId="1" applyNumberFormat="1" applyFont="1" applyFill="1" applyBorder="1" applyAlignment="1" applyProtection="1">
      <alignment horizontal="center" vertical="center" wrapText="1"/>
    </xf>
    <xf numFmtId="3" fontId="6" fillId="0" borderId="5" xfId="1" applyNumberFormat="1" applyFont="1" applyFill="1" applyBorder="1" applyAlignment="1" applyProtection="1">
      <alignment horizontal="center" vertical="center" wrapText="1"/>
    </xf>
    <xf numFmtId="3" fontId="6" fillId="0" borderId="11" xfId="1" applyNumberFormat="1" applyFont="1" applyFill="1" applyBorder="1" applyAlignment="1">
      <alignment horizontal="center"/>
    </xf>
    <xf numFmtId="3" fontId="6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4" xfId="1" applyNumberFormat="1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166" fontId="5" fillId="10" borderId="16" xfId="1" applyNumberFormat="1" applyFont="1" applyFill="1" applyBorder="1" applyAlignment="1" applyProtection="1">
      <alignment horizontal="left" vertical="center" wrapText="1"/>
    </xf>
    <xf numFmtId="3" fontId="5" fillId="10" borderId="17" xfId="1" applyNumberFormat="1" applyFont="1" applyFill="1" applyBorder="1" applyAlignment="1" applyProtection="1">
      <alignment horizontal="right" vertical="center" wrapText="1"/>
      <protection locked="0"/>
    </xf>
    <xf numFmtId="3" fontId="5" fillId="10" borderId="17" xfId="1" applyNumberFormat="1" applyFont="1" applyFill="1" applyBorder="1" applyAlignment="1" applyProtection="1">
      <alignment horizontal="center" vertical="center" wrapText="1"/>
      <protection locked="0"/>
    </xf>
    <xf numFmtId="3" fontId="5" fillId="10" borderId="19" xfId="1" applyNumberFormat="1" applyFont="1" applyFill="1" applyBorder="1" applyAlignment="1" applyProtection="1">
      <alignment horizontal="right" vertical="center" wrapText="1"/>
      <protection locked="0"/>
    </xf>
    <xf numFmtId="3" fontId="5" fillId="10" borderId="20" xfId="0" applyNumberFormat="1" applyFont="1" applyFill="1" applyBorder="1" applyAlignment="1">
      <alignment horizontal="right" vertical="center"/>
    </xf>
    <xf numFmtId="0" fontId="5" fillId="10" borderId="32" xfId="0" applyFont="1" applyFill="1" applyBorder="1" applyAlignment="1">
      <alignment wrapText="1"/>
    </xf>
    <xf numFmtId="3" fontId="5" fillId="0" borderId="30" xfId="1" applyNumberFormat="1" applyFont="1" applyFill="1" applyBorder="1" applyAlignment="1" applyProtection="1">
      <alignment horizontal="right" vertical="center" wrapText="1"/>
    </xf>
    <xf numFmtId="3" fontId="6" fillId="4" borderId="9" xfId="1" applyNumberFormat="1" applyFont="1" applyFill="1" applyBorder="1" applyAlignment="1" applyProtection="1">
      <alignment horizontal="right" vertical="center" wrapText="1"/>
    </xf>
    <xf numFmtId="166" fontId="7" fillId="5" borderId="16" xfId="1" applyNumberFormat="1" applyFont="1" applyFill="1" applyBorder="1" applyAlignment="1" applyProtection="1">
      <alignment horizontal="left" vertical="center" wrapText="1"/>
    </xf>
    <xf numFmtId="0" fontId="5" fillId="11" borderId="32" xfId="0" applyFont="1" applyFill="1" applyBorder="1" applyAlignment="1">
      <alignment wrapText="1"/>
    </xf>
    <xf numFmtId="3" fontId="5" fillId="11" borderId="17" xfId="1" applyNumberFormat="1" applyFont="1" applyFill="1" applyBorder="1" applyAlignment="1" applyProtection="1">
      <alignment horizontal="center" vertical="center" wrapText="1"/>
      <protection locked="0"/>
    </xf>
    <xf numFmtId="3" fontId="5" fillId="11" borderId="17" xfId="1" applyNumberFormat="1" applyFont="1" applyFill="1" applyBorder="1" applyAlignment="1" applyProtection="1">
      <alignment horizontal="right" vertical="center" wrapText="1"/>
      <protection locked="0"/>
    </xf>
    <xf numFmtId="3" fontId="5" fillId="11" borderId="19" xfId="1" applyNumberFormat="1" applyFont="1" applyFill="1" applyBorder="1" applyAlignment="1" applyProtection="1">
      <alignment horizontal="right" vertical="center" wrapText="1"/>
      <protection locked="0"/>
    </xf>
    <xf numFmtId="3" fontId="5" fillId="11" borderId="20" xfId="0" applyNumberFormat="1" applyFont="1" applyFill="1" applyBorder="1" applyAlignment="1">
      <alignment horizontal="right" vertical="center"/>
    </xf>
    <xf numFmtId="0" fontId="5" fillId="11" borderId="35" xfId="0" applyFont="1" applyFill="1" applyBorder="1" applyAlignment="1">
      <alignment wrapText="1"/>
    </xf>
    <xf numFmtId="3" fontId="5" fillId="11" borderId="18" xfId="1" applyNumberFormat="1" applyFont="1" applyFill="1" applyBorder="1" applyAlignment="1" applyProtection="1">
      <alignment horizontal="center" vertical="center" wrapText="1"/>
      <protection locked="0"/>
    </xf>
    <xf numFmtId="3" fontId="5" fillId="11" borderId="18" xfId="1" applyNumberFormat="1" applyFont="1" applyFill="1" applyBorder="1" applyAlignment="1" applyProtection="1">
      <alignment horizontal="right" vertical="center" wrapText="1"/>
      <protection locked="0"/>
    </xf>
    <xf numFmtId="166" fontId="5" fillId="12" borderId="16" xfId="1" applyNumberFormat="1" applyFont="1" applyFill="1" applyBorder="1" applyAlignment="1" applyProtection="1">
      <alignment horizontal="left" vertical="center" wrapText="1"/>
    </xf>
    <xf numFmtId="3" fontId="5" fillId="12" borderId="17" xfId="1" applyNumberFormat="1" applyFont="1" applyFill="1" applyBorder="1" applyAlignment="1" applyProtection="1">
      <alignment horizontal="right" vertical="center" wrapText="1"/>
      <protection locked="0"/>
    </xf>
    <xf numFmtId="3" fontId="5" fillId="12" borderId="17" xfId="1" applyNumberFormat="1" applyFont="1" applyFill="1" applyBorder="1" applyAlignment="1" applyProtection="1">
      <alignment horizontal="center" vertical="center" wrapText="1"/>
      <protection locked="0"/>
    </xf>
    <xf numFmtId="3" fontId="5" fillId="12" borderId="19" xfId="1" applyNumberFormat="1" applyFont="1" applyFill="1" applyBorder="1" applyAlignment="1" applyProtection="1">
      <alignment horizontal="right" vertical="center" wrapText="1"/>
      <protection locked="0"/>
    </xf>
    <xf numFmtId="3" fontId="5" fillId="12" borderId="20" xfId="0" applyNumberFormat="1" applyFont="1" applyFill="1" applyBorder="1" applyAlignment="1">
      <alignment horizontal="right" vertical="center"/>
    </xf>
    <xf numFmtId="0" fontId="5" fillId="12" borderId="39" xfId="0" applyFont="1" applyFill="1" applyBorder="1" applyAlignment="1">
      <alignment wrapText="1"/>
    </xf>
    <xf numFmtId="3" fontId="5" fillId="12" borderId="7" xfId="1" applyNumberFormat="1" applyFont="1" applyFill="1" applyBorder="1" applyAlignment="1" applyProtection="1">
      <alignment horizontal="right" vertical="center" wrapText="1"/>
      <protection locked="0"/>
    </xf>
    <xf numFmtId="3" fontId="5" fillId="12" borderId="7" xfId="1" applyNumberFormat="1" applyFont="1" applyFill="1" applyBorder="1" applyAlignment="1" applyProtection="1">
      <alignment horizontal="center" vertical="center" wrapText="1"/>
      <protection locked="0"/>
    </xf>
    <xf numFmtId="3" fontId="5" fillId="12" borderId="8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30" xfId="1" applyNumberFormat="1" applyFont="1" applyFill="1" applyBorder="1" applyAlignment="1" applyProtection="1">
      <alignment horizontal="center" vertical="center" wrapText="1"/>
      <protection locked="0"/>
    </xf>
    <xf numFmtId="3" fontId="5" fillId="6" borderId="30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27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31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17" xfId="1" applyNumberFormat="1" applyFont="1" applyFill="1" applyBorder="1" applyAlignment="1" applyProtection="1">
      <alignment horizontal="center" vertical="center" wrapText="1"/>
      <protection locked="0"/>
    </xf>
    <xf numFmtId="3" fontId="6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20" xfId="0" applyNumberFormat="1" applyFont="1" applyFill="1" applyBorder="1" applyAlignment="1">
      <alignment horizontal="right" vertical="center"/>
    </xf>
    <xf numFmtId="166" fontId="5" fillId="6" borderId="21" xfId="1" applyNumberFormat="1" applyFont="1" applyFill="1" applyBorder="1" applyAlignment="1" applyProtection="1">
      <alignment horizontal="left" vertical="center" wrapText="1"/>
    </xf>
    <xf numFmtId="3" fontId="5" fillId="6" borderId="22" xfId="1" applyNumberFormat="1" applyFont="1" applyFill="1" applyBorder="1" applyAlignment="1" applyProtection="1">
      <alignment horizontal="center" vertical="center" wrapText="1"/>
      <protection locked="0"/>
    </xf>
    <xf numFmtId="3" fontId="6" fillId="6" borderId="29" xfId="1" applyNumberFormat="1" applyFont="1" applyFill="1" applyBorder="1" applyAlignment="1" applyProtection="1">
      <alignment horizontal="right" vertical="center" wrapText="1"/>
      <protection locked="0"/>
    </xf>
    <xf numFmtId="166" fontId="5" fillId="6" borderId="1" xfId="1" applyNumberFormat="1" applyFont="1" applyFill="1" applyBorder="1" applyAlignment="1" applyProtection="1">
      <alignment horizontal="left" vertical="center" wrapText="1"/>
    </xf>
    <xf numFmtId="3" fontId="5" fillId="6" borderId="18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18" xfId="1" applyNumberFormat="1" applyFont="1" applyFill="1" applyBorder="1" applyAlignment="1" applyProtection="1">
      <alignment horizontal="center" vertical="center" wrapText="1"/>
      <protection locked="0"/>
    </xf>
    <xf numFmtId="3" fontId="5" fillId="6" borderId="2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28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1" applyNumberFormat="1" applyFont="1" applyFill="1" applyBorder="1" applyAlignment="1" applyProtection="1">
      <alignment horizontal="center" vertical="center" wrapText="1"/>
    </xf>
    <xf numFmtId="3" fontId="6" fillId="0" borderId="40" xfId="1" applyNumberFormat="1" applyFont="1" applyFill="1" applyBorder="1" applyAlignment="1">
      <alignment horizontal="right"/>
    </xf>
    <xf numFmtId="3" fontId="5" fillId="11" borderId="28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19" xfId="1" applyNumberFormat="1" applyFont="1" applyFill="1" applyBorder="1" applyAlignment="1" applyProtection="1">
      <alignment horizontal="right" vertical="center" wrapText="1"/>
    </xf>
    <xf numFmtId="3" fontId="6" fillId="4" borderId="5" xfId="1" applyNumberFormat="1" applyFont="1" applyFill="1" applyBorder="1" applyAlignment="1" applyProtection="1">
      <alignment horizontal="right" vertical="center" wrapText="1"/>
      <protection locked="0"/>
    </xf>
    <xf numFmtId="3" fontId="6" fillId="4" borderId="5" xfId="1" applyNumberFormat="1" applyFont="1" applyFill="1" applyBorder="1" applyAlignment="1" applyProtection="1">
      <alignment horizontal="right" vertical="center" wrapText="1"/>
    </xf>
    <xf numFmtId="3" fontId="6" fillId="3" borderId="5" xfId="0" applyNumberFormat="1" applyFont="1" applyFill="1" applyBorder="1" applyAlignment="1">
      <alignment horizontal="right" vertical="center"/>
    </xf>
    <xf numFmtId="3" fontId="6" fillId="0" borderId="12" xfId="1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right"/>
    </xf>
    <xf numFmtId="3" fontId="5" fillId="0" borderId="28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3" fontId="5" fillId="6" borderId="19" xfId="0" applyNumberFormat="1" applyFont="1" applyFill="1" applyBorder="1" applyAlignment="1">
      <alignment horizontal="right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 wrapText="1"/>
    </xf>
    <xf numFmtId="3" fontId="5" fillId="0" borderId="28" xfId="0" applyNumberFormat="1" applyFont="1" applyFill="1" applyBorder="1" applyAlignment="1">
      <alignment horizontal="right" vertical="center" wrapText="1"/>
    </xf>
    <xf numFmtId="3" fontId="5" fillId="10" borderId="19" xfId="0" applyNumberFormat="1" applyFont="1" applyFill="1" applyBorder="1" applyAlignment="1">
      <alignment horizontal="right" vertical="center"/>
    </xf>
    <xf numFmtId="3" fontId="5" fillId="11" borderId="19" xfId="0" applyNumberFormat="1" applyFont="1" applyFill="1" applyBorder="1" applyAlignment="1">
      <alignment horizontal="right" vertical="center"/>
    </xf>
    <xf numFmtId="3" fontId="5" fillId="12" borderId="19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3" fontId="5" fillId="6" borderId="29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3" fontId="6" fillId="6" borderId="19" xfId="0" applyNumberFormat="1" applyFont="1" applyFill="1" applyBorder="1" applyAlignment="1">
      <alignment horizontal="right" vertical="center"/>
    </xf>
    <xf numFmtId="3" fontId="6" fillId="6" borderId="29" xfId="0" applyNumberFormat="1" applyFont="1" applyFill="1" applyBorder="1" applyAlignment="1">
      <alignment horizontal="right" vertical="center"/>
    </xf>
    <xf numFmtId="3" fontId="6" fillId="6" borderId="28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/>
    <xf numFmtId="166" fontId="6" fillId="0" borderId="5" xfId="1" applyNumberFormat="1" applyFont="1" applyFill="1" applyBorder="1" applyAlignment="1" applyProtection="1">
      <alignment horizontal="center" vertical="center" wrapText="1"/>
    </xf>
    <xf numFmtId="3" fontId="5" fillId="0" borderId="29" xfId="0" applyNumberFormat="1" applyFont="1" applyFill="1" applyBorder="1"/>
    <xf numFmtId="3" fontId="5" fillId="0" borderId="5" xfId="0" applyNumberFormat="1" applyFont="1" applyFill="1" applyBorder="1"/>
    <xf numFmtId="3" fontId="5" fillId="0" borderId="9" xfId="0" applyNumberFormat="1" applyFont="1" applyFill="1" applyBorder="1"/>
    <xf numFmtId="3" fontId="5" fillId="0" borderId="23" xfId="0" applyNumberFormat="1" applyFont="1" applyFill="1" applyBorder="1" applyAlignment="1">
      <alignment horizontal="right"/>
    </xf>
    <xf numFmtId="3" fontId="6" fillId="0" borderId="31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31" xfId="0" applyNumberFormat="1" applyFont="1" applyFill="1" applyBorder="1" applyAlignment="1">
      <alignment horizontal="right" vertical="center" wrapText="1"/>
    </xf>
    <xf numFmtId="3" fontId="6" fillId="6" borderId="31" xfId="0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 applyProtection="1">
      <alignment horizontal="right" vertical="center" wrapText="1"/>
    </xf>
    <xf numFmtId="3" fontId="5" fillId="0" borderId="23" xfId="1" applyNumberFormat="1" applyFont="1" applyFill="1" applyBorder="1" applyAlignment="1" applyProtection="1">
      <alignment horizontal="right" vertical="center" wrapText="1"/>
    </xf>
    <xf numFmtId="3" fontId="6" fillId="0" borderId="23" xfId="0" applyNumberFormat="1" applyFont="1" applyFill="1" applyBorder="1" applyAlignment="1">
      <alignment horizontal="right" vertical="center"/>
    </xf>
    <xf numFmtId="170" fontId="5" fillId="0" borderId="19" xfId="2" applyNumberFormat="1" applyFont="1" applyFill="1" applyBorder="1" applyAlignment="1" applyProtection="1">
      <alignment horizontal="right" vertical="center" wrapText="1"/>
    </xf>
    <xf numFmtId="170" fontId="6" fillId="0" borderId="4" xfId="2" applyNumberFormat="1" applyFont="1" applyFill="1" applyBorder="1" applyAlignment="1" applyProtection="1">
      <alignment horizontal="right" vertical="center" wrapText="1"/>
    </xf>
    <xf numFmtId="4" fontId="5" fillId="0" borderId="29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28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" fontId="5" fillId="10" borderId="19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19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27" xfId="1" applyNumberFormat="1" applyFont="1" applyFill="1" applyBorder="1" applyAlignment="1" applyProtection="1">
      <alignment horizontal="right" vertical="center" wrapText="1"/>
      <protection locked="0"/>
    </xf>
    <xf numFmtId="4" fontId="5" fillId="11" borderId="19" xfId="1" applyNumberFormat="1" applyFont="1" applyFill="1" applyBorder="1" applyAlignment="1" applyProtection="1">
      <alignment horizontal="right" vertical="center" wrapText="1"/>
      <protection locked="0"/>
    </xf>
    <xf numFmtId="4" fontId="5" fillId="12" borderId="19" xfId="1" applyNumberFormat="1" applyFont="1" applyFill="1" applyBorder="1" applyAlignment="1" applyProtection="1">
      <alignment horizontal="right" vertical="center" wrapText="1"/>
      <protection locked="0"/>
    </xf>
    <xf numFmtId="4" fontId="5" fillId="12" borderId="27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9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2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7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4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67" fontId="3" fillId="0" borderId="5" xfId="2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3" fontId="6" fillId="0" borderId="41" xfId="1" applyNumberFormat="1" applyFont="1" applyFill="1" applyBorder="1" applyAlignment="1">
      <alignment horizontal="center" vertical="center" wrapText="1"/>
    </xf>
    <xf numFmtId="3" fontId="5" fillId="0" borderId="31" xfId="0" applyNumberFormat="1" applyFont="1" applyFill="1" applyBorder="1" applyAlignment="1">
      <alignment horizontal="right"/>
    </xf>
    <xf numFmtId="4" fontId="5" fillId="0" borderId="19" xfId="1" applyNumberFormat="1" applyFont="1" applyFill="1" applyBorder="1" applyAlignment="1" applyProtection="1">
      <alignment horizontal="right" vertical="center" wrapText="1"/>
    </xf>
    <xf numFmtId="4" fontId="5" fillId="13" borderId="19" xfId="1" applyNumberFormat="1" applyFont="1" applyFill="1" applyBorder="1" applyAlignment="1" applyProtection="1">
      <alignment horizontal="right" vertical="center" wrapText="1"/>
    </xf>
    <xf numFmtId="166" fontId="5" fillId="0" borderId="6" xfId="1" applyNumberFormat="1" applyFont="1" applyFill="1" applyBorder="1" applyAlignment="1" applyProtection="1">
      <alignment horizontal="left" vertical="center" wrapText="1"/>
    </xf>
    <xf numFmtId="3" fontId="5" fillId="0" borderId="7" xfId="1" applyNumberFormat="1" applyFont="1" applyFill="1" applyBorder="1" applyAlignment="1" applyProtection="1">
      <alignment horizontal="right" vertical="center" wrapText="1"/>
    </xf>
    <xf numFmtId="3" fontId="5" fillId="0" borderId="8" xfId="1" applyNumberFormat="1" applyFont="1" applyFill="1" applyBorder="1" applyAlignment="1" applyProtection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/>
    </xf>
    <xf numFmtId="4" fontId="6" fillId="0" borderId="4" xfId="1" applyNumberFormat="1" applyFont="1" applyFill="1" applyBorder="1" applyAlignment="1" applyProtection="1">
      <alignment horizontal="right" vertical="center" wrapText="1"/>
    </xf>
    <xf numFmtId="3" fontId="5" fillId="11" borderId="28" xfId="0" applyNumberFormat="1" applyFont="1" applyFill="1" applyBorder="1" applyAlignment="1">
      <alignment horizontal="right" vertical="center"/>
    </xf>
    <xf numFmtId="3" fontId="5" fillId="12" borderId="8" xfId="0" applyNumberFormat="1" applyFont="1" applyFill="1" applyBorder="1" applyAlignment="1">
      <alignment horizontal="right" vertical="center"/>
    </xf>
    <xf numFmtId="3" fontId="5" fillId="12" borderId="3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wrapText="1"/>
    </xf>
    <xf numFmtId="3" fontId="6" fillId="8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2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42" xfId="0" applyNumberFormat="1" applyFont="1" applyFill="1" applyBorder="1" applyAlignment="1">
      <alignment horizontal="right" vertical="center"/>
    </xf>
    <xf numFmtId="3" fontId="5" fillId="0" borderId="43" xfId="0" applyNumberFormat="1" applyFont="1" applyFill="1" applyBorder="1" applyAlignment="1">
      <alignment horizontal="right" vertical="center"/>
    </xf>
    <xf numFmtId="168" fontId="5" fillId="0" borderId="28" xfId="1" applyNumberFormat="1" applyFont="1" applyFill="1" applyBorder="1" applyAlignment="1" applyProtection="1">
      <alignment horizontal="right" vertical="center" wrapText="1"/>
      <protection locked="0"/>
    </xf>
    <xf numFmtId="168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41" xfId="0" applyNumberFormat="1" applyFont="1" applyFill="1" applyBorder="1" applyAlignment="1">
      <alignment horizontal="right" vertical="center"/>
    </xf>
    <xf numFmtId="3" fontId="6" fillId="0" borderId="41" xfId="0" applyNumberFormat="1" applyFont="1" applyFill="1" applyBorder="1" applyAlignment="1">
      <alignment horizontal="right" vertical="center"/>
    </xf>
    <xf numFmtId="3" fontId="6" fillId="0" borderId="42" xfId="0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 applyProtection="1">
      <alignment horizontal="right" vertical="center" wrapText="1"/>
    </xf>
    <xf numFmtId="3" fontId="6" fillId="0" borderId="44" xfId="1" applyNumberFormat="1" applyFont="1" applyFill="1" applyBorder="1" applyAlignment="1" applyProtection="1">
      <alignment horizontal="right" vertical="center" wrapText="1"/>
    </xf>
    <xf numFmtId="3" fontId="6" fillId="0" borderId="45" xfId="1" applyNumberFormat="1" applyFont="1" applyFill="1" applyBorder="1" applyAlignment="1" applyProtection="1">
      <alignment horizontal="right" vertical="center" wrapText="1"/>
    </xf>
    <xf numFmtId="3" fontId="5" fillId="0" borderId="33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11" xfId="1" applyNumberFormat="1" applyFont="1" applyFill="1" applyBorder="1" applyAlignment="1" applyProtection="1">
      <alignment horizontal="right" vertical="center" wrapText="1"/>
    </xf>
    <xf numFmtId="3" fontId="6" fillId="0" borderId="14" xfId="1" applyNumberFormat="1" applyFont="1" applyFill="1" applyBorder="1" applyAlignment="1" applyProtection="1">
      <alignment horizontal="right" vertical="center" wrapText="1"/>
    </xf>
    <xf numFmtId="3" fontId="6" fillId="0" borderId="11" xfId="1" applyNumberFormat="1" applyFont="1" applyFill="1" applyBorder="1" applyAlignment="1">
      <alignment horizontal="right"/>
    </xf>
    <xf numFmtId="166" fontId="8" fillId="0" borderId="46" xfId="1" applyNumberFormat="1" applyFont="1" applyFill="1" applyBorder="1" applyAlignment="1" applyProtection="1">
      <alignment wrapText="1"/>
      <protection locked="0"/>
    </xf>
    <xf numFmtId="166" fontId="8" fillId="0" borderId="40" xfId="1" applyNumberFormat="1" applyFont="1" applyFill="1" applyBorder="1" applyAlignment="1" applyProtection="1">
      <alignment wrapText="1"/>
      <protection locked="0"/>
    </xf>
    <xf numFmtId="168" fontId="6" fillId="4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43" xfId="0" applyNumberFormat="1" applyFont="1" applyFill="1" applyBorder="1" applyAlignment="1">
      <alignment horizontal="right" vertical="center"/>
    </xf>
    <xf numFmtId="3" fontId="6" fillId="3" borderId="9" xfId="0" applyNumberFormat="1" applyFont="1" applyFill="1" applyBorder="1" applyAlignment="1">
      <alignment horizontal="right" vertical="center"/>
    </xf>
    <xf numFmtId="168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168" fontId="5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right"/>
    </xf>
    <xf numFmtId="166" fontId="5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_Munka1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2"/>
  <sheetViews>
    <sheetView tabSelected="1" zoomScale="75" zoomScaleNormal="75" zoomScaleSheetLayoutView="75" workbookViewId="0">
      <pane xSplit="1" ySplit="4" topLeftCell="B149" activePane="bottomRight" state="frozen"/>
      <selection pane="topRight" activeCell="B1" sqref="B1"/>
      <selection pane="bottomLeft" activeCell="A5" sqref="A5"/>
      <selection pane="bottomRight" activeCell="A119" sqref="A119:IV119"/>
    </sheetView>
  </sheetViews>
  <sheetFormatPr defaultRowHeight="15.75" x14ac:dyDescent="0.25"/>
  <cols>
    <col min="1" max="1" width="90" style="2" customWidth="1"/>
    <col min="2" max="2" width="10.42578125" style="2" customWidth="1"/>
    <col min="3" max="3" width="15" style="2" customWidth="1"/>
    <col min="4" max="4" width="12.5703125" style="3" customWidth="1"/>
    <col min="5" max="5" width="13.28515625" style="3" customWidth="1"/>
    <col min="6" max="11" width="12.42578125" style="2" customWidth="1"/>
    <col min="12" max="12" width="11.140625" style="2" customWidth="1"/>
    <col min="13" max="13" width="11.42578125" style="2" customWidth="1"/>
    <col min="14" max="14" width="14.42578125" style="2" customWidth="1"/>
    <col min="15" max="15" width="12.85546875" style="2" customWidth="1"/>
    <col min="16" max="16" width="12.7109375" style="2" customWidth="1"/>
    <col min="17" max="17" width="14.85546875" style="3" customWidth="1"/>
    <col min="18" max="18" width="14.42578125" style="3" customWidth="1"/>
    <col min="19" max="19" width="9.140625" style="2"/>
    <col min="20" max="21" width="10.7109375" style="2" customWidth="1"/>
    <col min="22" max="22" width="10.42578125" style="2" bestFit="1" customWidth="1"/>
    <col min="23" max="16384" width="9.140625" style="2"/>
  </cols>
  <sheetData>
    <row r="1" spans="1:24" x14ac:dyDescent="0.25">
      <c r="O1" s="311" t="s">
        <v>183</v>
      </c>
      <c r="P1" s="311"/>
      <c r="Q1" s="311"/>
      <c r="R1" s="311"/>
    </row>
    <row r="2" spans="1:24" ht="39.75" customHeight="1" x14ac:dyDescent="0.25">
      <c r="A2" s="313" t="s">
        <v>56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</row>
    <row r="3" spans="1:24" ht="16.5" customHeight="1" thickBot="1" x14ac:dyDescent="0.3">
      <c r="A3" s="4"/>
      <c r="B3" s="5"/>
      <c r="C3" s="5"/>
      <c r="D3" s="6"/>
      <c r="E3" s="6"/>
      <c r="F3" s="5"/>
      <c r="G3" s="5"/>
      <c r="H3" s="5"/>
      <c r="I3" s="5"/>
      <c r="J3" s="5"/>
      <c r="K3" s="5"/>
      <c r="L3" s="5"/>
      <c r="M3" s="5"/>
      <c r="N3" s="5"/>
      <c r="O3" s="7"/>
      <c r="P3" s="7"/>
      <c r="Q3" s="312" t="s">
        <v>0</v>
      </c>
      <c r="R3" s="312"/>
    </row>
    <row r="4" spans="1:24" ht="106.5" customHeight="1" thickBot="1" x14ac:dyDescent="0.3">
      <c r="A4" s="8" t="s">
        <v>1</v>
      </c>
      <c r="B4" s="9" t="s">
        <v>2</v>
      </c>
      <c r="C4" s="9" t="s">
        <v>3</v>
      </c>
      <c r="D4" s="10" t="s">
        <v>57</v>
      </c>
      <c r="E4" s="269" t="s">
        <v>197</v>
      </c>
      <c r="F4" s="270" t="s">
        <v>186</v>
      </c>
      <c r="G4" s="271" t="s">
        <v>187</v>
      </c>
      <c r="H4" s="11" t="s">
        <v>188</v>
      </c>
      <c r="I4" s="11" t="s">
        <v>189</v>
      </c>
      <c r="J4" s="271" t="s">
        <v>191</v>
      </c>
      <c r="K4" s="272" t="s">
        <v>192</v>
      </c>
      <c r="L4" s="273" t="s">
        <v>190</v>
      </c>
      <c r="M4" s="11" t="s">
        <v>58</v>
      </c>
      <c r="N4" s="11" t="s">
        <v>193</v>
      </c>
      <c r="O4" s="11" t="s">
        <v>59</v>
      </c>
      <c r="P4" s="274" t="s">
        <v>194</v>
      </c>
      <c r="Q4" s="219" t="s">
        <v>195</v>
      </c>
      <c r="R4" s="275" t="s">
        <v>196</v>
      </c>
    </row>
    <row r="5" spans="1:24" ht="16.5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4">
        <v>6</v>
      </c>
      <c r="G5" s="15">
        <v>7</v>
      </c>
      <c r="H5" s="15">
        <v>8</v>
      </c>
      <c r="I5" s="15">
        <v>9</v>
      </c>
      <c r="J5" s="15">
        <v>10</v>
      </c>
      <c r="K5" s="15">
        <v>11</v>
      </c>
      <c r="L5" s="15">
        <v>12</v>
      </c>
      <c r="M5" s="14">
        <v>13</v>
      </c>
      <c r="N5" s="14">
        <v>14</v>
      </c>
      <c r="O5" s="14">
        <v>15</v>
      </c>
      <c r="P5" s="243">
        <v>16</v>
      </c>
      <c r="Q5" s="166">
        <v>17</v>
      </c>
      <c r="R5" s="16">
        <v>18</v>
      </c>
    </row>
    <row r="6" spans="1:24" ht="39" customHeight="1" thickBot="1" x14ac:dyDescent="0.3">
      <c r="A6" s="17" t="s">
        <v>36</v>
      </c>
      <c r="B6" s="18"/>
      <c r="C6" s="18"/>
      <c r="D6" s="19"/>
      <c r="E6" s="165"/>
      <c r="F6" s="20"/>
      <c r="G6" s="20"/>
      <c r="H6" s="20"/>
      <c r="I6" s="20"/>
      <c r="J6" s="20"/>
      <c r="K6" s="20"/>
      <c r="L6" s="20"/>
      <c r="M6" s="20"/>
      <c r="N6" s="20"/>
      <c r="O6" s="20"/>
      <c r="P6" s="241"/>
      <c r="Q6" s="245"/>
      <c r="R6" s="246"/>
    </row>
    <row r="7" spans="1:24" ht="31.5" customHeight="1" x14ac:dyDescent="0.25">
      <c r="A7" s="21" t="s">
        <v>4</v>
      </c>
      <c r="B7" s="22"/>
      <c r="C7" s="22"/>
      <c r="D7" s="23"/>
      <c r="E7" s="212"/>
      <c r="F7" s="24"/>
      <c r="G7" s="24"/>
      <c r="H7" s="24"/>
      <c r="I7" s="24"/>
      <c r="J7" s="24"/>
      <c r="K7" s="24"/>
      <c r="L7" s="24"/>
      <c r="M7" s="24"/>
      <c r="N7" s="24"/>
      <c r="O7" s="22"/>
      <c r="P7" s="24"/>
      <c r="Q7" s="244"/>
      <c r="R7" s="242"/>
    </row>
    <row r="8" spans="1:24" x14ac:dyDescent="0.25">
      <c r="A8" s="25" t="s">
        <v>90</v>
      </c>
      <c r="B8" s="26">
        <f t="shared" ref="B8:B13" si="0">SUM(I8)</f>
        <v>2500</v>
      </c>
      <c r="C8" s="33" t="s">
        <v>60</v>
      </c>
      <c r="D8" s="26">
        <v>0</v>
      </c>
      <c r="E8" s="34">
        <v>2500</v>
      </c>
      <c r="F8" s="34">
        <v>1969</v>
      </c>
      <c r="G8" s="34">
        <v>531</v>
      </c>
      <c r="H8" s="34"/>
      <c r="I8" s="34">
        <f t="shared" ref="I8:I13" si="1">SUM(F8:G8)</f>
        <v>2500</v>
      </c>
      <c r="J8" s="34"/>
      <c r="K8" s="34">
        <v>0</v>
      </c>
      <c r="L8" s="254">
        <f t="shared" ref="L8:L14" si="2">K8/I8*100</f>
        <v>0</v>
      </c>
      <c r="M8" s="34"/>
      <c r="N8" s="34"/>
      <c r="O8" s="34"/>
      <c r="P8" s="34"/>
      <c r="Q8" s="220"/>
      <c r="R8" s="105"/>
    </row>
    <row r="9" spans="1:24" x14ac:dyDescent="0.25">
      <c r="A9" s="25" t="s">
        <v>61</v>
      </c>
      <c r="B9" s="26">
        <f t="shared" si="0"/>
        <v>4602</v>
      </c>
      <c r="C9" s="33" t="s">
        <v>60</v>
      </c>
      <c r="D9" s="26">
        <v>0</v>
      </c>
      <c r="E9" s="34">
        <v>4602</v>
      </c>
      <c r="F9" s="34">
        <v>3623</v>
      </c>
      <c r="G9" s="34">
        <v>979</v>
      </c>
      <c r="H9" s="34"/>
      <c r="I9" s="34">
        <f t="shared" si="1"/>
        <v>4602</v>
      </c>
      <c r="J9" s="34"/>
      <c r="K9" s="34">
        <v>4600</v>
      </c>
      <c r="L9" s="254">
        <f t="shared" si="2"/>
        <v>99.956540634506737</v>
      </c>
      <c r="M9" s="34"/>
      <c r="N9" s="34"/>
      <c r="O9" s="34"/>
      <c r="P9" s="34"/>
      <c r="Q9" s="220"/>
      <c r="R9" s="105"/>
    </row>
    <row r="10" spans="1:24" x14ac:dyDescent="0.25">
      <c r="A10" s="25" t="s">
        <v>62</v>
      </c>
      <c r="B10" s="26">
        <f t="shared" si="0"/>
        <v>10401</v>
      </c>
      <c r="C10" s="33" t="s">
        <v>60</v>
      </c>
      <c r="D10" s="26">
        <v>0</v>
      </c>
      <c r="E10" s="34">
        <v>10000</v>
      </c>
      <c r="F10" s="34">
        <f>7874+316</f>
        <v>8190</v>
      </c>
      <c r="G10" s="34">
        <f>2126+85</f>
        <v>2211</v>
      </c>
      <c r="H10" s="34"/>
      <c r="I10" s="34">
        <f t="shared" si="1"/>
        <v>10401</v>
      </c>
      <c r="J10" s="34"/>
      <c r="K10" s="34">
        <v>10401</v>
      </c>
      <c r="L10" s="254">
        <f t="shared" si="2"/>
        <v>100</v>
      </c>
      <c r="M10" s="34"/>
      <c r="N10" s="34"/>
      <c r="O10" s="26"/>
      <c r="P10" s="34"/>
      <c r="Q10" s="220"/>
      <c r="R10" s="105"/>
    </row>
    <row r="11" spans="1:24" x14ac:dyDescent="0.25">
      <c r="A11" s="106" t="s">
        <v>69</v>
      </c>
      <c r="B11" s="107">
        <f t="shared" si="0"/>
        <v>3500</v>
      </c>
      <c r="C11" s="109" t="s">
        <v>60</v>
      </c>
      <c r="D11" s="107">
        <v>0</v>
      </c>
      <c r="E11" s="110">
        <v>3500</v>
      </c>
      <c r="F11" s="110">
        <v>2756</v>
      </c>
      <c r="G11" s="110">
        <v>744</v>
      </c>
      <c r="H11" s="110"/>
      <c r="I11" s="110">
        <f t="shared" si="1"/>
        <v>3500</v>
      </c>
      <c r="J11" s="110"/>
      <c r="K11" s="110">
        <v>0</v>
      </c>
      <c r="L11" s="254">
        <f t="shared" si="2"/>
        <v>0</v>
      </c>
      <c r="M11" s="110"/>
      <c r="N11" s="110"/>
      <c r="O11" s="110"/>
      <c r="P11" s="110"/>
      <c r="Q11" s="221"/>
      <c r="R11" s="105"/>
    </row>
    <row r="12" spans="1:24" x14ac:dyDescent="0.25">
      <c r="A12" s="108" t="s">
        <v>70</v>
      </c>
      <c r="B12" s="26">
        <f t="shared" si="0"/>
        <v>508</v>
      </c>
      <c r="C12" s="33" t="s">
        <v>60</v>
      </c>
      <c r="D12" s="26">
        <v>0</v>
      </c>
      <c r="E12" s="34">
        <v>508</v>
      </c>
      <c r="F12" s="34">
        <v>400</v>
      </c>
      <c r="G12" s="34">
        <v>108</v>
      </c>
      <c r="H12" s="34"/>
      <c r="I12" s="34">
        <f t="shared" si="1"/>
        <v>508</v>
      </c>
      <c r="J12" s="34"/>
      <c r="K12" s="34">
        <f>433-183</f>
        <v>250</v>
      </c>
      <c r="L12" s="254">
        <f t="shared" si="2"/>
        <v>49.212598425196852</v>
      </c>
      <c r="M12" s="34"/>
      <c r="N12" s="34"/>
      <c r="O12" s="34"/>
      <c r="P12" s="34"/>
      <c r="Q12" s="220"/>
      <c r="R12" s="105"/>
    </row>
    <row r="13" spans="1:24" ht="16.5" thickBot="1" x14ac:dyDescent="0.3">
      <c r="A13" s="106" t="s">
        <v>150</v>
      </c>
      <c r="B13" s="107">
        <f t="shared" si="0"/>
        <v>183</v>
      </c>
      <c r="C13" s="109" t="s">
        <v>60</v>
      </c>
      <c r="D13" s="107">
        <v>0</v>
      </c>
      <c r="E13" s="110">
        <v>0</v>
      </c>
      <c r="F13" s="110">
        <v>144</v>
      </c>
      <c r="G13" s="110">
        <v>39</v>
      </c>
      <c r="H13" s="110"/>
      <c r="I13" s="110">
        <f t="shared" si="1"/>
        <v>183</v>
      </c>
      <c r="J13" s="110"/>
      <c r="K13" s="110">
        <v>183</v>
      </c>
      <c r="L13" s="254">
        <f t="shared" si="2"/>
        <v>100</v>
      </c>
      <c r="M13" s="110"/>
      <c r="N13" s="110"/>
      <c r="O13" s="110"/>
      <c r="P13" s="110"/>
      <c r="Q13" s="221"/>
      <c r="R13" s="276"/>
    </row>
    <row r="14" spans="1:24" ht="16.5" thickBot="1" x14ac:dyDescent="0.3">
      <c r="A14" s="27" t="s">
        <v>5</v>
      </c>
      <c r="B14" s="28">
        <f>SUM(B8:B13)</f>
        <v>21694</v>
      </c>
      <c r="C14" s="164"/>
      <c r="D14" s="28">
        <f>SUM(D8:D11)</f>
        <v>0</v>
      </c>
      <c r="E14" s="28">
        <f>SUM(E8:E13)</f>
        <v>21110</v>
      </c>
      <c r="F14" s="28">
        <f>SUM(F8:F13)</f>
        <v>17082</v>
      </c>
      <c r="G14" s="28">
        <f>SUM(G8:G13)</f>
        <v>4612</v>
      </c>
      <c r="H14" s="28">
        <f>SUM(H8)</f>
        <v>0</v>
      </c>
      <c r="I14" s="28">
        <f>SUM(I8:I13)</f>
        <v>21694</v>
      </c>
      <c r="J14" s="28">
        <v>0</v>
      </c>
      <c r="K14" s="28">
        <f>SUM(K8:K13)</f>
        <v>15434</v>
      </c>
      <c r="L14" s="255">
        <f t="shared" si="2"/>
        <v>71.144095141513787</v>
      </c>
      <c r="M14" s="28">
        <v>0</v>
      </c>
      <c r="N14" s="29">
        <v>0</v>
      </c>
      <c r="O14" s="29">
        <v>0</v>
      </c>
      <c r="P14" s="29">
        <v>0</v>
      </c>
      <c r="Q14" s="222">
        <v>0</v>
      </c>
      <c r="R14" s="30">
        <v>0</v>
      </c>
    </row>
    <row r="15" spans="1:24" ht="33" customHeight="1" x14ac:dyDescent="0.25">
      <c r="A15" s="31" t="s">
        <v>6</v>
      </c>
      <c r="B15" s="161"/>
      <c r="C15" s="32"/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221"/>
      <c r="R15" s="247"/>
    </row>
    <row r="16" spans="1:24" ht="30.75" customHeight="1" x14ac:dyDescent="0.25">
      <c r="A16" s="25" t="s">
        <v>32</v>
      </c>
      <c r="B16" s="26">
        <f>D16+I16</f>
        <v>481688</v>
      </c>
      <c r="C16" s="33" t="s">
        <v>113</v>
      </c>
      <c r="D16" s="26">
        <f>29248+6636+889+382688+3122-23622</f>
        <v>398961</v>
      </c>
      <c r="E16" s="34">
        <v>82731</v>
      </c>
      <c r="F16" s="34">
        <f>69231-4+472</f>
        <v>69699</v>
      </c>
      <c r="G16" s="34">
        <f>13597-22-75-472</f>
        <v>13028</v>
      </c>
      <c r="H16" s="34">
        <v>26574</v>
      </c>
      <c r="I16" s="34">
        <f t="shared" ref="I16:I21" si="3">SUM(F16:G16)</f>
        <v>82727</v>
      </c>
      <c r="J16" s="34">
        <v>26574</v>
      </c>
      <c r="K16" s="34">
        <v>70002</v>
      </c>
      <c r="L16" s="277">
        <f>K16/I16*100</f>
        <v>84.618081158509312</v>
      </c>
      <c r="M16" s="34">
        <f>SUM(G16)</f>
        <v>13028</v>
      </c>
      <c r="N16" s="34">
        <v>2328</v>
      </c>
      <c r="O16" s="26"/>
      <c r="P16" s="34"/>
      <c r="Q16" s="223"/>
      <c r="R16" s="35"/>
      <c r="V16" s="3"/>
      <c r="X16" s="3"/>
    </row>
    <row r="17" spans="1:23" ht="30.75" customHeight="1" x14ac:dyDescent="0.25">
      <c r="A17" s="25" t="s">
        <v>43</v>
      </c>
      <c r="B17" s="26">
        <f>SUM(I17)+D17</f>
        <v>25573</v>
      </c>
      <c r="C17" s="33" t="s">
        <v>72</v>
      </c>
      <c r="D17" s="26">
        <f>23622</f>
        <v>23622</v>
      </c>
      <c r="E17" s="34">
        <v>1951</v>
      </c>
      <c r="F17" s="34">
        <v>1536</v>
      </c>
      <c r="G17" s="34">
        <v>415</v>
      </c>
      <c r="H17" s="34"/>
      <c r="I17" s="34">
        <f t="shared" si="3"/>
        <v>1951</v>
      </c>
      <c r="J17" s="34"/>
      <c r="K17" s="34">
        <v>1951</v>
      </c>
      <c r="L17" s="277">
        <f t="shared" ref="L17:L40" si="4">K17/I17*100</f>
        <v>100</v>
      </c>
      <c r="M17" s="34"/>
      <c r="N17" s="34"/>
      <c r="O17" s="34"/>
      <c r="P17" s="34"/>
      <c r="Q17" s="223"/>
      <c r="R17" s="35"/>
      <c r="T17" s="37"/>
      <c r="U17" s="37"/>
      <c r="V17" s="3"/>
      <c r="W17" s="3"/>
    </row>
    <row r="18" spans="1:23" x14ac:dyDescent="0.25">
      <c r="A18" s="1" t="s">
        <v>73</v>
      </c>
      <c r="B18" s="49">
        <f>D18+I18</f>
        <v>170</v>
      </c>
      <c r="C18" s="109" t="s">
        <v>60</v>
      </c>
      <c r="D18" s="107">
        <v>0</v>
      </c>
      <c r="E18" s="110">
        <v>170</v>
      </c>
      <c r="F18" s="110">
        <v>170</v>
      </c>
      <c r="G18" s="110">
        <v>0</v>
      </c>
      <c r="H18" s="110"/>
      <c r="I18" s="49">
        <f t="shared" si="3"/>
        <v>170</v>
      </c>
      <c r="J18" s="110"/>
      <c r="K18" s="110">
        <v>0</v>
      </c>
      <c r="L18" s="277">
        <f t="shared" si="4"/>
        <v>0</v>
      </c>
      <c r="M18" s="110"/>
      <c r="N18" s="110"/>
      <c r="O18" s="110"/>
      <c r="P18" s="110"/>
      <c r="Q18" s="221"/>
      <c r="R18" s="105"/>
      <c r="T18" s="3"/>
      <c r="U18" s="3"/>
      <c r="V18" s="37"/>
      <c r="W18" s="37"/>
    </row>
    <row r="19" spans="1:23" x14ac:dyDescent="0.25">
      <c r="A19" s="38" t="s">
        <v>44</v>
      </c>
      <c r="B19" s="40">
        <f>D19+I19</f>
        <v>178512</v>
      </c>
      <c r="C19" s="39" t="s">
        <v>113</v>
      </c>
      <c r="D19" s="40">
        <f>17565+70331+8711+6082-8711-4746-1336+683+89933</f>
        <v>178512</v>
      </c>
      <c r="E19" s="40">
        <v>6362</v>
      </c>
      <c r="F19" s="40">
        <f>5009-5009</f>
        <v>0</v>
      </c>
      <c r="G19" s="40">
        <f>1353-1353</f>
        <v>0</v>
      </c>
      <c r="H19" s="40"/>
      <c r="I19" s="126">
        <f t="shared" si="3"/>
        <v>0</v>
      </c>
      <c r="J19" s="40"/>
      <c r="K19" s="40">
        <v>0</v>
      </c>
      <c r="L19" s="278">
        <v>0</v>
      </c>
      <c r="M19" s="40"/>
      <c r="N19" s="40"/>
      <c r="O19" s="40"/>
      <c r="P19" s="215"/>
      <c r="Q19" s="224">
        <f>2487-2487</f>
        <v>0</v>
      </c>
      <c r="R19" s="72"/>
      <c r="V19" s="37"/>
    </row>
    <row r="20" spans="1:23" ht="34.5" customHeight="1" x14ac:dyDescent="0.25">
      <c r="A20" s="25" t="s">
        <v>45</v>
      </c>
      <c r="B20" s="26">
        <f>D20+I20</f>
        <v>402882</v>
      </c>
      <c r="C20" s="33" t="s">
        <v>113</v>
      </c>
      <c r="D20" s="26">
        <f>9463+11392+14407+257764</f>
        <v>293026</v>
      </c>
      <c r="E20" s="34">
        <v>108312</v>
      </c>
      <c r="F20" s="34">
        <f>85285-1309+2525</f>
        <v>86501</v>
      </c>
      <c r="G20" s="34">
        <f>23027-353+681</f>
        <v>23355</v>
      </c>
      <c r="H20" s="34">
        <v>18096</v>
      </c>
      <c r="I20" s="34">
        <f t="shared" si="3"/>
        <v>109856</v>
      </c>
      <c r="J20" s="34">
        <v>18096</v>
      </c>
      <c r="K20" s="34">
        <v>109430</v>
      </c>
      <c r="L20" s="277">
        <f t="shared" si="4"/>
        <v>99.612219632974075</v>
      </c>
      <c r="M20" s="34"/>
      <c r="N20" s="34"/>
      <c r="O20" s="34">
        <f>444000-421677-22323</f>
        <v>0</v>
      </c>
      <c r="P20" s="34"/>
      <c r="Q20" s="223">
        <f>22323-22323</f>
        <v>0</v>
      </c>
      <c r="R20" s="35"/>
    </row>
    <row r="21" spans="1:23" x14ac:dyDescent="0.25">
      <c r="A21" s="25" t="s">
        <v>97</v>
      </c>
      <c r="B21" s="26">
        <f>D21+I21</f>
        <v>1000</v>
      </c>
      <c r="C21" s="33" t="s">
        <v>60</v>
      </c>
      <c r="D21" s="26">
        <v>0</v>
      </c>
      <c r="E21" s="34">
        <v>1000</v>
      </c>
      <c r="F21" s="34">
        <v>787</v>
      </c>
      <c r="G21" s="34">
        <v>213</v>
      </c>
      <c r="H21" s="34"/>
      <c r="I21" s="34">
        <f t="shared" si="3"/>
        <v>1000</v>
      </c>
      <c r="J21" s="34"/>
      <c r="K21" s="34">
        <v>0</v>
      </c>
      <c r="L21" s="277">
        <f t="shared" si="4"/>
        <v>0</v>
      </c>
      <c r="M21" s="34"/>
      <c r="N21" s="34"/>
      <c r="O21" s="34"/>
      <c r="P21" s="34"/>
      <c r="Q21" s="220"/>
      <c r="R21" s="105"/>
    </row>
    <row r="22" spans="1:23" x14ac:dyDescent="0.25">
      <c r="A22" s="25" t="s">
        <v>98</v>
      </c>
      <c r="B22" s="26">
        <f>D22+I22+9000</f>
        <v>31500</v>
      </c>
      <c r="C22" s="33" t="s">
        <v>55</v>
      </c>
      <c r="D22" s="26">
        <f>4500+9000</f>
        <v>13500</v>
      </c>
      <c r="E22" s="34">
        <v>9000</v>
      </c>
      <c r="F22" s="34">
        <v>9000</v>
      </c>
      <c r="G22" s="34">
        <v>0</v>
      </c>
      <c r="H22" s="34"/>
      <c r="I22" s="34">
        <f t="shared" ref="I22:I40" si="5">SUM(F22:G22)</f>
        <v>9000</v>
      </c>
      <c r="J22" s="34"/>
      <c r="K22" s="34">
        <v>9000</v>
      </c>
      <c r="L22" s="277">
        <f t="shared" si="4"/>
        <v>100</v>
      </c>
      <c r="M22" s="34"/>
      <c r="N22" s="34"/>
      <c r="O22" s="34"/>
      <c r="P22" s="34"/>
      <c r="Q22" s="220"/>
      <c r="R22" s="105"/>
    </row>
    <row r="23" spans="1:23" x14ac:dyDescent="0.25">
      <c r="A23" s="25" t="s">
        <v>99</v>
      </c>
      <c r="B23" s="26">
        <f t="shared" ref="B23:B40" si="6">SUM(I23)</f>
        <v>2200</v>
      </c>
      <c r="C23" s="33" t="s">
        <v>60</v>
      </c>
      <c r="D23" s="26">
        <v>0</v>
      </c>
      <c r="E23" s="34">
        <v>2200</v>
      </c>
      <c r="F23" s="34">
        <v>1732</v>
      </c>
      <c r="G23" s="34">
        <v>468</v>
      </c>
      <c r="H23" s="34"/>
      <c r="I23" s="34">
        <f t="shared" si="5"/>
        <v>2200</v>
      </c>
      <c r="J23" s="34"/>
      <c r="K23" s="34">
        <v>0</v>
      </c>
      <c r="L23" s="277">
        <f t="shared" si="4"/>
        <v>0</v>
      </c>
      <c r="M23" s="34"/>
      <c r="N23" s="34"/>
      <c r="O23" s="34"/>
      <c r="P23" s="34"/>
      <c r="Q23" s="220"/>
      <c r="R23" s="105"/>
    </row>
    <row r="24" spans="1:23" x14ac:dyDescent="0.25">
      <c r="A24" s="25" t="s">
        <v>100</v>
      </c>
      <c r="B24" s="26">
        <f t="shared" si="6"/>
        <v>1000</v>
      </c>
      <c r="C24" s="33" t="s">
        <v>60</v>
      </c>
      <c r="D24" s="26">
        <v>0</v>
      </c>
      <c r="E24" s="34">
        <v>1000</v>
      </c>
      <c r="F24" s="34">
        <v>787</v>
      </c>
      <c r="G24" s="34">
        <v>213</v>
      </c>
      <c r="H24" s="34"/>
      <c r="I24" s="34">
        <f t="shared" si="5"/>
        <v>1000</v>
      </c>
      <c r="J24" s="34"/>
      <c r="K24" s="34">
        <v>500</v>
      </c>
      <c r="L24" s="277">
        <f t="shared" si="4"/>
        <v>50</v>
      </c>
      <c r="M24" s="34"/>
      <c r="N24" s="34"/>
      <c r="O24" s="34"/>
      <c r="P24" s="34"/>
      <c r="Q24" s="220"/>
      <c r="R24" s="105"/>
    </row>
    <row r="25" spans="1:23" x14ac:dyDescent="0.25">
      <c r="A25" s="25" t="s">
        <v>101</v>
      </c>
      <c r="B25" s="26">
        <f t="shared" si="6"/>
        <v>0</v>
      </c>
      <c r="C25" s="33" t="s">
        <v>72</v>
      </c>
      <c r="D25" s="26">
        <v>0</v>
      </c>
      <c r="E25" s="34">
        <v>11000</v>
      </c>
      <c r="F25" s="34">
        <f>8662-8662</f>
        <v>0</v>
      </c>
      <c r="G25" s="34">
        <f>2338-2338</f>
        <v>0</v>
      </c>
      <c r="H25" s="34"/>
      <c r="I25" s="34">
        <f t="shared" si="5"/>
        <v>0</v>
      </c>
      <c r="J25" s="34"/>
      <c r="K25" s="34">
        <v>0</v>
      </c>
      <c r="L25" s="277">
        <v>0</v>
      </c>
      <c r="M25" s="34"/>
      <c r="N25" s="34"/>
      <c r="O25" s="34"/>
      <c r="P25" s="34"/>
      <c r="Q25" s="220"/>
      <c r="R25" s="105"/>
      <c r="V25" s="37"/>
    </row>
    <row r="26" spans="1:23" x14ac:dyDescent="0.25">
      <c r="A26" s="25" t="s">
        <v>102</v>
      </c>
      <c r="B26" s="26">
        <f t="shared" si="6"/>
        <v>241854</v>
      </c>
      <c r="C26" s="33" t="s">
        <v>72</v>
      </c>
      <c r="D26" s="26">
        <v>0</v>
      </c>
      <c r="E26" s="34">
        <v>291839</v>
      </c>
      <c r="F26" s="34">
        <f>229795-7</f>
        <v>229788</v>
      </c>
      <c r="G26" s="34">
        <f>62044-49977-1</f>
        <v>12066</v>
      </c>
      <c r="H26" s="34">
        <v>49977</v>
      </c>
      <c r="I26" s="34">
        <f t="shared" si="5"/>
        <v>241854</v>
      </c>
      <c r="J26" s="34">
        <v>0</v>
      </c>
      <c r="K26" s="34">
        <v>10350</v>
      </c>
      <c r="L26" s="277">
        <f t="shared" si="4"/>
        <v>4.2794413158351734</v>
      </c>
      <c r="M26" s="34"/>
      <c r="N26" s="34"/>
      <c r="O26" s="34">
        <v>263436</v>
      </c>
      <c r="P26" s="34">
        <v>263436</v>
      </c>
      <c r="Q26" s="223">
        <v>263436</v>
      </c>
      <c r="R26" s="35">
        <v>263436</v>
      </c>
    </row>
    <row r="27" spans="1:23" x14ac:dyDescent="0.25">
      <c r="A27" s="1" t="s">
        <v>103</v>
      </c>
      <c r="B27" s="107">
        <f t="shared" si="6"/>
        <v>2767</v>
      </c>
      <c r="C27" s="109" t="s">
        <v>60</v>
      </c>
      <c r="D27" s="107">
        <v>0</v>
      </c>
      <c r="E27" s="110">
        <v>2767</v>
      </c>
      <c r="F27" s="110">
        <v>2179</v>
      </c>
      <c r="G27" s="110">
        <v>588</v>
      </c>
      <c r="H27" s="110"/>
      <c r="I27" s="110">
        <f t="shared" si="5"/>
        <v>2767</v>
      </c>
      <c r="J27" s="110"/>
      <c r="K27" s="110">
        <v>2767</v>
      </c>
      <c r="L27" s="277">
        <f t="shared" si="4"/>
        <v>100</v>
      </c>
      <c r="M27" s="110"/>
      <c r="N27" s="110"/>
      <c r="O27" s="110"/>
      <c r="P27" s="110"/>
      <c r="Q27" s="225"/>
      <c r="R27" s="35"/>
    </row>
    <row r="28" spans="1:23" x14ac:dyDescent="0.25">
      <c r="A28" s="25" t="s">
        <v>104</v>
      </c>
      <c r="B28" s="26">
        <f t="shared" si="6"/>
        <v>3000</v>
      </c>
      <c r="C28" s="33" t="s">
        <v>60</v>
      </c>
      <c r="D28" s="26">
        <v>0</v>
      </c>
      <c r="E28" s="34">
        <v>3000</v>
      </c>
      <c r="F28" s="34">
        <v>2362</v>
      </c>
      <c r="G28" s="34">
        <v>638</v>
      </c>
      <c r="H28" s="34"/>
      <c r="I28" s="34">
        <f t="shared" si="5"/>
        <v>3000</v>
      </c>
      <c r="J28" s="34"/>
      <c r="K28" s="34">
        <v>0</v>
      </c>
      <c r="L28" s="277">
        <f t="shared" si="4"/>
        <v>0</v>
      </c>
      <c r="M28" s="34"/>
      <c r="N28" s="34"/>
      <c r="O28" s="34"/>
      <c r="P28" s="34"/>
      <c r="Q28" s="223"/>
      <c r="R28" s="35"/>
    </row>
    <row r="29" spans="1:23" x14ac:dyDescent="0.25">
      <c r="A29" s="25" t="s">
        <v>136</v>
      </c>
      <c r="B29" s="26">
        <f>SUM(I29)</f>
        <v>26287</v>
      </c>
      <c r="C29" s="33" t="s">
        <v>60</v>
      </c>
      <c r="D29" s="26">
        <v>0</v>
      </c>
      <c r="E29" s="34">
        <v>26287</v>
      </c>
      <c r="F29" s="34">
        <v>20698</v>
      </c>
      <c r="G29" s="34">
        <v>5589</v>
      </c>
      <c r="H29" s="34"/>
      <c r="I29" s="34">
        <f>SUM(F29:G29)</f>
        <v>26287</v>
      </c>
      <c r="J29" s="34"/>
      <c r="K29" s="34">
        <v>23470</v>
      </c>
      <c r="L29" s="277">
        <f t="shared" si="4"/>
        <v>89.283676341918067</v>
      </c>
      <c r="M29" s="34"/>
      <c r="N29" s="34"/>
      <c r="O29" s="34"/>
      <c r="P29" s="34"/>
      <c r="Q29" s="223"/>
      <c r="R29" s="35"/>
      <c r="V29" s="37"/>
    </row>
    <row r="30" spans="1:23" x14ac:dyDescent="0.25">
      <c r="A30" s="25" t="s">
        <v>105</v>
      </c>
      <c r="B30" s="26">
        <f t="shared" si="6"/>
        <v>10000</v>
      </c>
      <c r="C30" s="33" t="s">
        <v>60</v>
      </c>
      <c r="D30" s="26">
        <v>0</v>
      </c>
      <c r="E30" s="34">
        <v>10000</v>
      </c>
      <c r="F30" s="34">
        <v>7874</v>
      </c>
      <c r="G30" s="34">
        <v>2126</v>
      </c>
      <c r="H30" s="34"/>
      <c r="I30" s="34">
        <f t="shared" si="5"/>
        <v>10000</v>
      </c>
      <c r="J30" s="34"/>
      <c r="K30" s="34">
        <v>0</v>
      </c>
      <c r="L30" s="277">
        <f t="shared" si="4"/>
        <v>0</v>
      </c>
      <c r="M30" s="34"/>
      <c r="N30" s="34"/>
      <c r="O30" s="34"/>
      <c r="P30" s="34"/>
      <c r="Q30" s="223"/>
      <c r="R30" s="35"/>
    </row>
    <row r="31" spans="1:23" ht="31.5" x14ac:dyDescent="0.25">
      <c r="A31" s="25" t="s">
        <v>130</v>
      </c>
      <c r="B31" s="26">
        <f t="shared" si="6"/>
        <v>13970</v>
      </c>
      <c r="C31" s="33" t="s">
        <v>60</v>
      </c>
      <c r="D31" s="26">
        <v>0</v>
      </c>
      <c r="E31" s="34">
        <v>0</v>
      </c>
      <c r="F31" s="34">
        <v>11000</v>
      </c>
      <c r="G31" s="34">
        <v>2970</v>
      </c>
      <c r="H31" s="34"/>
      <c r="I31" s="34">
        <f t="shared" si="5"/>
        <v>13970</v>
      </c>
      <c r="J31" s="34"/>
      <c r="K31" s="34">
        <v>13970</v>
      </c>
      <c r="L31" s="277">
        <f t="shared" si="4"/>
        <v>100</v>
      </c>
      <c r="M31" s="34"/>
      <c r="N31" s="34"/>
      <c r="O31" s="34"/>
      <c r="P31" s="34"/>
      <c r="Q31" s="223"/>
      <c r="R31" s="35"/>
    </row>
    <row r="32" spans="1:23" ht="31.5" x14ac:dyDescent="0.25">
      <c r="A32" s="25" t="s">
        <v>131</v>
      </c>
      <c r="B32" s="26">
        <f t="shared" si="6"/>
        <v>800</v>
      </c>
      <c r="C32" s="33" t="s">
        <v>60</v>
      </c>
      <c r="D32" s="26">
        <v>0</v>
      </c>
      <c r="E32" s="34">
        <v>0</v>
      </c>
      <c r="F32" s="34">
        <v>630</v>
      </c>
      <c r="G32" s="34">
        <v>170</v>
      </c>
      <c r="H32" s="34"/>
      <c r="I32" s="34">
        <f t="shared" si="5"/>
        <v>800</v>
      </c>
      <c r="J32" s="34"/>
      <c r="K32" s="34">
        <v>473</v>
      </c>
      <c r="L32" s="277">
        <f t="shared" si="4"/>
        <v>59.125000000000007</v>
      </c>
      <c r="M32" s="34"/>
      <c r="N32" s="34"/>
      <c r="O32" s="34"/>
      <c r="P32" s="34"/>
      <c r="Q32" s="223"/>
      <c r="R32" s="35"/>
    </row>
    <row r="33" spans="1:22" x14ac:dyDescent="0.25">
      <c r="A33" s="25" t="s">
        <v>132</v>
      </c>
      <c r="B33" s="26">
        <f t="shared" si="6"/>
        <v>0</v>
      </c>
      <c r="C33" s="33" t="s">
        <v>60</v>
      </c>
      <c r="D33" s="26">
        <v>0</v>
      </c>
      <c r="E33" s="34">
        <v>0</v>
      </c>
      <c r="F33" s="34">
        <f>155-155</f>
        <v>0</v>
      </c>
      <c r="G33" s="34">
        <f>42-42</f>
        <v>0</v>
      </c>
      <c r="H33" s="34"/>
      <c r="I33" s="34">
        <f t="shared" si="5"/>
        <v>0</v>
      </c>
      <c r="J33" s="34"/>
      <c r="K33" s="34">
        <v>0</v>
      </c>
      <c r="L33" s="277">
        <v>0</v>
      </c>
      <c r="M33" s="34"/>
      <c r="N33" s="34"/>
      <c r="O33" s="34"/>
      <c r="P33" s="34"/>
      <c r="Q33" s="223"/>
      <c r="R33" s="35"/>
    </row>
    <row r="34" spans="1:22" x14ac:dyDescent="0.25">
      <c r="A34" s="25" t="s">
        <v>133</v>
      </c>
      <c r="B34" s="26">
        <f t="shared" si="6"/>
        <v>1270</v>
      </c>
      <c r="C34" s="33" t="s">
        <v>60</v>
      </c>
      <c r="D34" s="26">
        <v>0</v>
      </c>
      <c r="E34" s="34">
        <v>0</v>
      </c>
      <c r="F34" s="34">
        <v>1000</v>
      </c>
      <c r="G34" s="34">
        <v>270</v>
      </c>
      <c r="H34" s="34"/>
      <c r="I34" s="34">
        <f t="shared" si="5"/>
        <v>1270</v>
      </c>
      <c r="J34" s="34"/>
      <c r="K34" s="34">
        <v>1270</v>
      </c>
      <c r="L34" s="277">
        <f t="shared" si="4"/>
        <v>100</v>
      </c>
      <c r="M34" s="34"/>
      <c r="N34" s="34"/>
      <c r="O34" s="34"/>
      <c r="P34" s="34"/>
      <c r="Q34" s="223"/>
      <c r="R34" s="35"/>
    </row>
    <row r="35" spans="1:22" x14ac:dyDescent="0.25">
      <c r="A35" s="25" t="s">
        <v>135</v>
      </c>
      <c r="B35" s="26">
        <f t="shared" si="6"/>
        <v>970</v>
      </c>
      <c r="C35" s="33" t="s">
        <v>60</v>
      </c>
      <c r="D35" s="26">
        <v>0</v>
      </c>
      <c r="E35" s="34">
        <v>0</v>
      </c>
      <c r="F35" s="34">
        <v>764</v>
      </c>
      <c r="G35" s="34">
        <v>206</v>
      </c>
      <c r="H35" s="34"/>
      <c r="I35" s="34">
        <f t="shared" si="5"/>
        <v>970</v>
      </c>
      <c r="J35" s="34"/>
      <c r="K35" s="34">
        <v>970</v>
      </c>
      <c r="L35" s="277">
        <f t="shared" si="4"/>
        <v>100</v>
      </c>
      <c r="M35" s="34">
        <v>206</v>
      </c>
      <c r="N35" s="34">
        <v>206</v>
      </c>
      <c r="O35" s="34"/>
      <c r="P35" s="34"/>
      <c r="Q35" s="223"/>
      <c r="R35" s="35"/>
    </row>
    <row r="36" spans="1:22" x14ac:dyDescent="0.25">
      <c r="A36" s="1" t="s">
        <v>140</v>
      </c>
      <c r="B36" s="107">
        <f t="shared" si="6"/>
        <v>1900</v>
      </c>
      <c r="C36" s="109" t="s">
        <v>60</v>
      </c>
      <c r="D36" s="107">
        <v>0</v>
      </c>
      <c r="E36" s="34">
        <v>0</v>
      </c>
      <c r="F36" s="110">
        <v>1900</v>
      </c>
      <c r="G36" s="110">
        <v>0</v>
      </c>
      <c r="H36" s="110"/>
      <c r="I36" s="110">
        <f t="shared" si="5"/>
        <v>1900</v>
      </c>
      <c r="J36" s="110"/>
      <c r="K36" s="110">
        <v>0</v>
      </c>
      <c r="L36" s="277">
        <f t="shared" si="4"/>
        <v>0</v>
      </c>
      <c r="M36" s="110"/>
      <c r="N36" s="110"/>
      <c r="O36" s="110"/>
      <c r="P36" s="110"/>
      <c r="Q36" s="225"/>
      <c r="R36" s="35"/>
    </row>
    <row r="37" spans="1:22" x14ac:dyDescent="0.25">
      <c r="A37" s="25" t="s">
        <v>145</v>
      </c>
      <c r="B37" s="26">
        <f t="shared" si="6"/>
        <v>92000</v>
      </c>
      <c r="C37" s="33" t="s">
        <v>60</v>
      </c>
      <c r="D37" s="26">
        <v>0</v>
      </c>
      <c r="E37" s="34">
        <v>0</v>
      </c>
      <c r="F37" s="34">
        <v>72441</v>
      </c>
      <c r="G37" s="34">
        <v>19559</v>
      </c>
      <c r="H37" s="34"/>
      <c r="I37" s="34">
        <f t="shared" si="5"/>
        <v>92000</v>
      </c>
      <c r="J37" s="34"/>
      <c r="K37" s="34">
        <v>0</v>
      </c>
      <c r="L37" s="277">
        <f t="shared" si="4"/>
        <v>0</v>
      </c>
      <c r="M37" s="34"/>
      <c r="N37" s="34"/>
      <c r="O37" s="34">
        <v>92000</v>
      </c>
      <c r="P37" s="34">
        <f>125000-33000</f>
        <v>92000</v>
      </c>
      <c r="Q37" s="223">
        <v>0</v>
      </c>
      <c r="R37" s="35">
        <v>0</v>
      </c>
    </row>
    <row r="38" spans="1:22" ht="31.5" x14ac:dyDescent="0.25">
      <c r="A38" s="62" t="s">
        <v>146</v>
      </c>
      <c r="B38" s="177">
        <f t="shared" si="6"/>
        <v>831</v>
      </c>
      <c r="C38" s="130" t="s">
        <v>60</v>
      </c>
      <c r="D38" s="177">
        <v>0</v>
      </c>
      <c r="E38" s="34">
        <v>0</v>
      </c>
      <c r="F38" s="64">
        <v>655</v>
      </c>
      <c r="G38" s="64">
        <v>176</v>
      </c>
      <c r="H38" s="64"/>
      <c r="I38" s="64">
        <f t="shared" si="5"/>
        <v>831</v>
      </c>
      <c r="J38" s="64"/>
      <c r="K38" s="64">
        <v>831</v>
      </c>
      <c r="L38" s="277">
        <f t="shared" si="4"/>
        <v>100</v>
      </c>
      <c r="M38" s="64"/>
      <c r="N38" s="64"/>
      <c r="O38" s="64"/>
      <c r="P38" s="64"/>
      <c r="Q38" s="226"/>
      <c r="R38" s="35"/>
    </row>
    <row r="39" spans="1:22" ht="31.5" customHeight="1" x14ac:dyDescent="0.25">
      <c r="A39" s="25" t="s">
        <v>147</v>
      </c>
      <c r="B39" s="26">
        <f t="shared" si="6"/>
        <v>33020</v>
      </c>
      <c r="C39" s="33" t="s">
        <v>60</v>
      </c>
      <c r="D39" s="26">
        <v>0</v>
      </c>
      <c r="E39" s="34">
        <v>0</v>
      </c>
      <c r="F39" s="34">
        <v>26000</v>
      </c>
      <c r="G39" s="34">
        <v>7020</v>
      </c>
      <c r="H39" s="34"/>
      <c r="I39" s="34">
        <f t="shared" si="5"/>
        <v>33020</v>
      </c>
      <c r="J39" s="34"/>
      <c r="K39" s="34">
        <v>0</v>
      </c>
      <c r="L39" s="277">
        <f>K39/I39*100</f>
        <v>0</v>
      </c>
      <c r="M39" s="34"/>
      <c r="N39" s="34"/>
      <c r="O39" s="34"/>
      <c r="P39" s="34"/>
      <c r="Q39" s="223"/>
      <c r="R39" s="35"/>
    </row>
    <row r="40" spans="1:22" ht="16.5" thickBot="1" x14ac:dyDescent="0.3">
      <c r="A40" s="279" t="s">
        <v>151</v>
      </c>
      <c r="B40" s="280">
        <f t="shared" si="6"/>
        <v>3000</v>
      </c>
      <c r="C40" s="129" t="s">
        <v>60</v>
      </c>
      <c r="D40" s="280">
        <v>0</v>
      </c>
      <c r="E40" s="34">
        <v>0</v>
      </c>
      <c r="F40" s="281">
        <v>3000</v>
      </c>
      <c r="G40" s="281">
        <v>0</v>
      </c>
      <c r="H40" s="281"/>
      <c r="I40" s="281">
        <f t="shared" si="5"/>
        <v>3000</v>
      </c>
      <c r="J40" s="281"/>
      <c r="K40" s="281">
        <v>3000</v>
      </c>
      <c r="L40" s="277">
        <f t="shared" si="4"/>
        <v>100</v>
      </c>
      <c r="M40" s="281"/>
      <c r="N40" s="281"/>
      <c r="O40" s="281"/>
      <c r="P40" s="281"/>
      <c r="Q40" s="282"/>
      <c r="R40" s="95"/>
    </row>
    <row r="41" spans="1:22" ht="16.5" customHeight="1" thickBot="1" x14ac:dyDescent="0.3">
      <c r="A41" s="27" t="s">
        <v>5</v>
      </c>
      <c r="B41" s="28">
        <f>SUM(B16:B40)</f>
        <v>1556194</v>
      </c>
      <c r="C41" s="164"/>
      <c r="D41" s="28">
        <f t="shared" ref="D41:I41" si="7">SUM(D16:D40)</f>
        <v>907621</v>
      </c>
      <c r="E41" s="28">
        <f t="shared" si="7"/>
        <v>557619</v>
      </c>
      <c r="F41" s="28">
        <f t="shared" si="7"/>
        <v>550503</v>
      </c>
      <c r="G41" s="28">
        <f t="shared" si="7"/>
        <v>89070</v>
      </c>
      <c r="H41" s="28">
        <f t="shared" si="7"/>
        <v>94647</v>
      </c>
      <c r="I41" s="28">
        <f t="shared" si="7"/>
        <v>639573</v>
      </c>
      <c r="J41" s="28">
        <f>SUM(J16:J40)</f>
        <v>44670</v>
      </c>
      <c r="K41" s="28">
        <f>SUM(K16:K40)</f>
        <v>247984</v>
      </c>
      <c r="L41" s="283">
        <f>K41/I41*100</f>
        <v>38.773369107201212</v>
      </c>
      <c r="M41" s="28">
        <f>SUM(M16:M36)</f>
        <v>13234</v>
      </c>
      <c r="N41" s="28">
        <f>SUM(N16:N36)</f>
        <v>2534</v>
      </c>
      <c r="O41" s="28">
        <f>SUM(O16:O39)</f>
        <v>355436</v>
      </c>
      <c r="P41" s="28">
        <f>SUM(P16:P39)</f>
        <v>355436</v>
      </c>
      <c r="Q41" s="28">
        <f>SUM(Q16:Q39)</f>
        <v>263436</v>
      </c>
      <c r="R41" s="131">
        <f>SUM(R16:R39)</f>
        <v>263436</v>
      </c>
      <c r="T41" s="37"/>
      <c r="U41" s="37"/>
      <c r="V41" s="37"/>
    </row>
    <row r="42" spans="1:22" ht="16.5" customHeight="1" x14ac:dyDescent="0.25">
      <c r="A42" s="21" t="s">
        <v>15</v>
      </c>
      <c r="B42" s="42"/>
      <c r="C42" s="132"/>
      <c r="D42" s="42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6"/>
    </row>
    <row r="43" spans="1:22" ht="16.5" customHeight="1" x14ac:dyDescent="0.25">
      <c r="A43" s="43" t="s">
        <v>74</v>
      </c>
      <c r="B43" s="44">
        <f>SUM(I43)</f>
        <v>1000</v>
      </c>
      <c r="C43" s="134" t="s">
        <v>60</v>
      </c>
      <c r="D43" s="44"/>
      <c r="E43" s="68">
        <v>1000</v>
      </c>
      <c r="F43" s="68">
        <v>787</v>
      </c>
      <c r="G43" s="68">
        <v>213</v>
      </c>
      <c r="H43" s="68"/>
      <c r="I43" s="68">
        <f>SUM(F43:G43)</f>
        <v>1000</v>
      </c>
      <c r="J43" s="68"/>
      <c r="K43" s="68">
        <v>0</v>
      </c>
      <c r="L43" s="68"/>
      <c r="M43" s="68"/>
      <c r="N43" s="68"/>
      <c r="O43" s="68"/>
      <c r="P43" s="68"/>
      <c r="Q43" s="68"/>
      <c r="R43" s="79"/>
    </row>
    <row r="44" spans="1:22" ht="16.5" customHeight="1" thickBot="1" x14ac:dyDescent="0.3">
      <c r="A44" s="43" t="s">
        <v>30</v>
      </c>
      <c r="B44" s="44">
        <f>I44</f>
        <v>127</v>
      </c>
      <c r="C44" s="134" t="s">
        <v>60</v>
      </c>
      <c r="D44" s="44">
        <v>0</v>
      </c>
      <c r="E44" s="68">
        <v>127</v>
      </c>
      <c r="F44" s="68">
        <v>100</v>
      </c>
      <c r="G44" s="68">
        <v>27</v>
      </c>
      <c r="H44" s="68"/>
      <c r="I44" s="68">
        <f>SUM(F44:G44)</f>
        <v>127</v>
      </c>
      <c r="J44" s="68"/>
      <c r="K44" s="68">
        <v>2</v>
      </c>
      <c r="L44" s="257">
        <f>K44/I44*100</f>
        <v>1.5748031496062991</v>
      </c>
      <c r="M44" s="135"/>
      <c r="N44" s="135"/>
      <c r="O44" s="135"/>
      <c r="P44" s="135"/>
      <c r="Q44" s="135"/>
      <c r="R44" s="248"/>
    </row>
    <row r="45" spans="1:22" ht="16.5" customHeight="1" thickBot="1" x14ac:dyDescent="0.3">
      <c r="A45" s="27" t="s">
        <v>5</v>
      </c>
      <c r="B45" s="47">
        <f t="shared" ref="B45:I45" si="8">SUM(B43:B44)</f>
        <v>1127</v>
      </c>
      <c r="C45" s="138"/>
      <c r="D45" s="47">
        <f t="shared" si="8"/>
        <v>0</v>
      </c>
      <c r="E45" s="47">
        <f>SUM(E43:E44)</f>
        <v>1127</v>
      </c>
      <c r="F45" s="47">
        <f t="shared" si="8"/>
        <v>887</v>
      </c>
      <c r="G45" s="47">
        <f t="shared" si="8"/>
        <v>240</v>
      </c>
      <c r="H45" s="47">
        <f t="shared" si="8"/>
        <v>0</v>
      </c>
      <c r="I45" s="47">
        <f t="shared" si="8"/>
        <v>1127</v>
      </c>
      <c r="J45" s="77"/>
      <c r="K45" s="77">
        <f>SUM(K43:K44)</f>
        <v>2</v>
      </c>
      <c r="L45" s="258">
        <f t="shared" ref="L45:L80" si="9">K45/I45*100</f>
        <v>0.1774622892635315</v>
      </c>
      <c r="M45" s="77">
        <v>0</v>
      </c>
      <c r="N45" s="77">
        <v>0</v>
      </c>
      <c r="O45" s="77">
        <v>0</v>
      </c>
      <c r="P45" s="77"/>
      <c r="Q45" s="77">
        <v>0</v>
      </c>
      <c r="R45" s="78">
        <v>0</v>
      </c>
    </row>
    <row r="46" spans="1:22" ht="16.5" customHeight="1" x14ac:dyDescent="0.25">
      <c r="A46" s="21" t="s">
        <v>35</v>
      </c>
      <c r="B46" s="42"/>
      <c r="C46" s="132"/>
      <c r="D46" s="42"/>
      <c r="E46" s="133"/>
      <c r="F46" s="133"/>
      <c r="G46" s="133"/>
      <c r="H46" s="133"/>
      <c r="I46" s="133"/>
      <c r="J46" s="133"/>
      <c r="K46" s="133"/>
      <c r="L46" s="256"/>
      <c r="M46" s="133"/>
      <c r="N46" s="133"/>
      <c r="O46" s="133"/>
      <c r="P46" s="133"/>
      <c r="Q46" s="133"/>
      <c r="R46" s="136"/>
    </row>
    <row r="47" spans="1:22" x14ac:dyDescent="0.25">
      <c r="A47" s="121" t="s">
        <v>75</v>
      </c>
      <c r="B47" s="46">
        <f>D47+I47</f>
        <v>9005</v>
      </c>
      <c r="C47" s="137" t="s">
        <v>72</v>
      </c>
      <c r="D47" s="46">
        <v>0</v>
      </c>
      <c r="E47" s="53">
        <v>8505</v>
      </c>
      <c r="F47" s="53">
        <f>6697+394</f>
        <v>7091</v>
      </c>
      <c r="G47" s="53">
        <f>1808+106</f>
        <v>1914</v>
      </c>
      <c r="H47" s="53"/>
      <c r="I47" s="53">
        <f>SUM(F47:G47)</f>
        <v>9005</v>
      </c>
      <c r="J47" s="53"/>
      <c r="K47" s="53">
        <v>9005</v>
      </c>
      <c r="L47" s="310">
        <f t="shared" si="9"/>
        <v>100</v>
      </c>
      <c r="M47" s="53"/>
      <c r="N47" s="53"/>
      <c r="O47" s="53">
        <f>5403+500</f>
        <v>5903</v>
      </c>
      <c r="P47" s="53">
        <v>5903</v>
      </c>
      <c r="Q47" s="53"/>
      <c r="R47" s="79"/>
    </row>
    <row r="48" spans="1:22" x14ac:dyDescent="0.25">
      <c r="A48" s="122" t="s">
        <v>126</v>
      </c>
      <c r="B48" s="45">
        <f>SUM(I48)</f>
        <v>2473</v>
      </c>
      <c r="C48" s="96" t="s">
        <v>60</v>
      </c>
      <c r="D48" s="45">
        <v>0</v>
      </c>
      <c r="E48" s="66">
        <v>0</v>
      </c>
      <c r="F48" s="66">
        <f>1259+689</f>
        <v>1948</v>
      </c>
      <c r="G48" s="66">
        <f>339+186</f>
        <v>525</v>
      </c>
      <c r="H48" s="66"/>
      <c r="I48" s="66">
        <f>SUM(F48:G48)</f>
        <v>2473</v>
      </c>
      <c r="J48" s="66"/>
      <c r="K48" s="66">
        <v>2473</v>
      </c>
      <c r="L48" s="310">
        <f t="shared" si="9"/>
        <v>100</v>
      </c>
      <c r="M48" s="66"/>
      <c r="N48" s="66"/>
      <c r="O48" s="66">
        <v>2473</v>
      </c>
      <c r="P48" s="66">
        <v>2473</v>
      </c>
      <c r="Q48" s="66"/>
      <c r="R48" s="79"/>
    </row>
    <row r="49" spans="1:22" x14ac:dyDescent="0.25">
      <c r="A49" s="121" t="s">
        <v>127</v>
      </c>
      <c r="B49" s="46">
        <f>SUM(I49)</f>
        <v>99</v>
      </c>
      <c r="C49" s="137" t="s">
        <v>60</v>
      </c>
      <c r="D49" s="46">
        <v>0</v>
      </c>
      <c r="E49" s="53">
        <v>0</v>
      </c>
      <c r="F49" s="53">
        <v>78</v>
      </c>
      <c r="G49" s="53">
        <v>21</v>
      </c>
      <c r="H49" s="53"/>
      <c r="I49" s="53">
        <f>SUM(F49:G49)</f>
        <v>99</v>
      </c>
      <c r="J49" s="53"/>
      <c r="K49" s="53">
        <v>99</v>
      </c>
      <c r="L49" s="310">
        <f t="shared" si="9"/>
        <v>100</v>
      </c>
      <c r="M49" s="53"/>
      <c r="N49" s="53"/>
      <c r="O49" s="53">
        <v>99</v>
      </c>
      <c r="P49" s="53">
        <v>99</v>
      </c>
      <c r="Q49" s="53"/>
      <c r="R49" s="79"/>
    </row>
    <row r="50" spans="1:22" ht="16.5" thickBot="1" x14ac:dyDescent="0.3">
      <c r="A50" s="122" t="s">
        <v>128</v>
      </c>
      <c r="B50" s="45">
        <f>SUM(I50)</f>
        <v>3902</v>
      </c>
      <c r="C50" s="96" t="s">
        <v>60</v>
      </c>
      <c r="D50" s="45">
        <v>0</v>
      </c>
      <c r="E50" s="66">
        <v>0</v>
      </c>
      <c r="F50" s="66">
        <v>3073</v>
      </c>
      <c r="G50" s="66">
        <v>829</v>
      </c>
      <c r="H50" s="66"/>
      <c r="I50" s="66">
        <f>SUM(F50:G50)</f>
        <v>3902</v>
      </c>
      <c r="J50" s="66"/>
      <c r="K50" s="66">
        <v>3085</v>
      </c>
      <c r="L50" s="292">
        <f t="shared" si="9"/>
        <v>79.062019477191186</v>
      </c>
      <c r="M50" s="66"/>
      <c r="N50" s="66"/>
      <c r="O50" s="66">
        <v>3902</v>
      </c>
      <c r="P50" s="66">
        <v>3085</v>
      </c>
      <c r="Q50" s="66"/>
      <c r="R50" s="152"/>
    </row>
    <row r="51" spans="1:22" ht="16.5" customHeight="1" thickBot="1" x14ac:dyDescent="0.3">
      <c r="A51" s="27" t="s">
        <v>5</v>
      </c>
      <c r="B51" s="47">
        <f>SUM(B47:B50)</f>
        <v>15479</v>
      </c>
      <c r="C51" s="138"/>
      <c r="D51" s="47">
        <f>SUM(D47:D50)</f>
        <v>0</v>
      </c>
      <c r="E51" s="77">
        <f>SUM(E47:E50)</f>
        <v>8505</v>
      </c>
      <c r="F51" s="77">
        <f>SUM(F47:F50)</f>
        <v>12190</v>
      </c>
      <c r="G51" s="77">
        <f>SUM(G47:G50)</f>
        <v>3289</v>
      </c>
      <c r="H51" s="77"/>
      <c r="I51" s="77">
        <f>SUM(I47:I50)</f>
        <v>15479</v>
      </c>
      <c r="J51" s="77"/>
      <c r="K51" s="77">
        <f>SUM(K47:K50)</f>
        <v>14662</v>
      </c>
      <c r="L51" s="258">
        <f t="shared" si="9"/>
        <v>94.721881258479229</v>
      </c>
      <c r="M51" s="77">
        <v>0</v>
      </c>
      <c r="N51" s="77">
        <v>0</v>
      </c>
      <c r="O51" s="77">
        <f>SUM(O47:O50)</f>
        <v>12377</v>
      </c>
      <c r="P51" s="77">
        <f>SUM(P47:P50)</f>
        <v>11560</v>
      </c>
      <c r="Q51" s="77">
        <v>0</v>
      </c>
      <c r="R51" s="78">
        <v>0</v>
      </c>
    </row>
    <row r="52" spans="1:22" ht="16.5" customHeight="1" x14ac:dyDescent="0.25">
      <c r="A52" s="48" t="s">
        <v>7</v>
      </c>
      <c r="B52" s="49"/>
      <c r="C52" s="139"/>
      <c r="D52" s="49"/>
      <c r="E52" s="140"/>
      <c r="F52" s="140"/>
      <c r="G52" s="140"/>
      <c r="H52" s="140"/>
      <c r="I52" s="140"/>
      <c r="J52" s="140"/>
      <c r="K52" s="140"/>
      <c r="L52" s="256"/>
      <c r="M52" s="140"/>
      <c r="N52" s="140"/>
      <c r="O52" s="140"/>
      <c r="P52" s="140"/>
      <c r="Q52" s="227"/>
      <c r="R52" s="50"/>
    </row>
    <row r="53" spans="1:22" x14ac:dyDescent="0.25">
      <c r="A53" s="52" t="s">
        <v>106</v>
      </c>
      <c r="B53" s="46">
        <f>D53+I53</f>
        <v>64476</v>
      </c>
      <c r="C53" s="36" t="s">
        <v>125</v>
      </c>
      <c r="D53" s="53">
        <f>381+51891</f>
        <v>52272</v>
      </c>
      <c r="E53" s="53">
        <v>12204</v>
      </c>
      <c r="F53" s="53">
        <f>3818+1652+1049+591+27310+15484-40859+565</f>
        <v>9610</v>
      </c>
      <c r="G53" s="53">
        <f>1031+446+283+159+7373+4181-11032+153</f>
        <v>2594</v>
      </c>
      <c r="H53" s="53"/>
      <c r="I53" s="53">
        <f>SUM(F53:H53)</f>
        <v>12204</v>
      </c>
      <c r="J53" s="53"/>
      <c r="K53" s="53">
        <v>12204</v>
      </c>
      <c r="L53" s="256">
        <f t="shared" si="9"/>
        <v>100</v>
      </c>
      <c r="M53" s="53"/>
      <c r="N53" s="53"/>
      <c r="O53" s="53">
        <f>28615-11515-2144</f>
        <v>14956</v>
      </c>
      <c r="P53" s="53">
        <v>8982</v>
      </c>
      <c r="Q53" s="228">
        <v>14956</v>
      </c>
      <c r="R53" s="54">
        <v>8982</v>
      </c>
      <c r="S53" s="37"/>
      <c r="V53" s="37"/>
    </row>
    <row r="54" spans="1:22" x14ac:dyDescent="0.25">
      <c r="A54" s="52" t="s">
        <v>107</v>
      </c>
      <c r="B54" s="53">
        <f t="shared" ref="B54:B59" si="10">SUM(I54)</f>
        <v>2286</v>
      </c>
      <c r="C54" s="36" t="s">
        <v>60</v>
      </c>
      <c r="D54" s="53">
        <v>0</v>
      </c>
      <c r="E54" s="53">
        <v>6096</v>
      </c>
      <c r="F54" s="53">
        <f>4800-3000</f>
        <v>1800</v>
      </c>
      <c r="G54" s="53">
        <f>1296-810</f>
        <v>486</v>
      </c>
      <c r="H54" s="53"/>
      <c r="I54" s="53">
        <f t="shared" ref="I54:I59" si="11">SUM(F54:G54)</f>
        <v>2286</v>
      </c>
      <c r="J54" s="53"/>
      <c r="K54" s="53">
        <v>0</v>
      </c>
      <c r="L54" s="256">
        <f t="shared" si="9"/>
        <v>0</v>
      </c>
      <c r="M54" s="53"/>
      <c r="N54" s="53"/>
      <c r="O54" s="53"/>
      <c r="P54" s="53"/>
      <c r="Q54" s="228"/>
      <c r="R54" s="54"/>
      <c r="S54" s="37"/>
      <c r="V54" s="37"/>
    </row>
    <row r="55" spans="1:22" x14ac:dyDescent="0.25">
      <c r="A55" s="52" t="s">
        <v>108</v>
      </c>
      <c r="B55" s="53">
        <f t="shared" si="10"/>
        <v>2000</v>
      </c>
      <c r="C55" s="36" t="s">
        <v>60</v>
      </c>
      <c r="D55" s="53">
        <v>0</v>
      </c>
      <c r="E55" s="53">
        <v>2000</v>
      </c>
      <c r="F55" s="53">
        <v>1575</v>
      </c>
      <c r="G55" s="53">
        <v>425</v>
      </c>
      <c r="H55" s="53"/>
      <c r="I55" s="53">
        <f t="shared" si="11"/>
        <v>2000</v>
      </c>
      <c r="J55" s="53"/>
      <c r="K55" s="53">
        <v>0</v>
      </c>
      <c r="L55" s="256">
        <f t="shared" si="9"/>
        <v>0</v>
      </c>
      <c r="M55" s="53"/>
      <c r="N55" s="53"/>
      <c r="O55" s="53"/>
      <c r="P55" s="53"/>
      <c r="Q55" s="228"/>
      <c r="R55" s="54"/>
      <c r="S55" s="37"/>
      <c r="V55" s="37"/>
    </row>
    <row r="56" spans="1:22" x14ac:dyDescent="0.25">
      <c r="A56" s="52" t="s">
        <v>109</v>
      </c>
      <c r="B56" s="53">
        <f t="shared" si="10"/>
        <v>1000</v>
      </c>
      <c r="C56" s="36" t="s">
        <v>60</v>
      </c>
      <c r="D56" s="53">
        <v>0</v>
      </c>
      <c r="E56" s="53">
        <v>1000</v>
      </c>
      <c r="F56" s="53">
        <v>787</v>
      </c>
      <c r="G56" s="53">
        <v>213</v>
      </c>
      <c r="H56" s="53"/>
      <c r="I56" s="53">
        <f t="shared" si="11"/>
        <v>1000</v>
      </c>
      <c r="J56" s="53"/>
      <c r="K56" s="53">
        <v>0</v>
      </c>
      <c r="L56" s="256">
        <f t="shared" si="9"/>
        <v>0</v>
      </c>
      <c r="M56" s="53"/>
      <c r="N56" s="53"/>
      <c r="O56" s="53"/>
      <c r="P56" s="53"/>
      <c r="Q56" s="228"/>
      <c r="R56" s="54"/>
      <c r="S56" s="37"/>
      <c r="V56" s="37"/>
    </row>
    <row r="57" spans="1:22" x14ac:dyDescent="0.25">
      <c r="A57" s="52" t="s">
        <v>110</v>
      </c>
      <c r="B57" s="53">
        <f t="shared" si="10"/>
        <v>200</v>
      </c>
      <c r="C57" s="36" t="s">
        <v>60</v>
      </c>
      <c r="D57" s="53"/>
      <c r="E57" s="53">
        <v>200</v>
      </c>
      <c r="F57" s="53">
        <v>157</v>
      </c>
      <c r="G57" s="53">
        <v>43</v>
      </c>
      <c r="H57" s="53"/>
      <c r="I57" s="53">
        <f t="shared" si="11"/>
        <v>200</v>
      </c>
      <c r="J57" s="53"/>
      <c r="K57" s="53">
        <v>0</v>
      </c>
      <c r="L57" s="256">
        <f t="shared" si="9"/>
        <v>0</v>
      </c>
      <c r="M57" s="53"/>
      <c r="N57" s="53"/>
      <c r="O57" s="53"/>
      <c r="P57" s="53"/>
      <c r="Q57" s="228"/>
      <c r="R57" s="54"/>
      <c r="S57" s="37"/>
      <c r="V57" s="37"/>
    </row>
    <row r="58" spans="1:22" x14ac:dyDescent="0.25">
      <c r="A58" s="89" t="s">
        <v>129</v>
      </c>
      <c r="B58" s="66">
        <f t="shared" si="10"/>
        <v>6318</v>
      </c>
      <c r="C58" s="111" t="s">
        <v>60</v>
      </c>
      <c r="D58" s="66">
        <v>0</v>
      </c>
      <c r="E58" s="66">
        <v>0</v>
      </c>
      <c r="F58" s="66">
        <f>4779+196</f>
        <v>4975</v>
      </c>
      <c r="G58" s="66">
        <f>1290+53</f>
        <v>1343</v>
      </c>
      <c r="H58" s="66"/>
      <c r="I58" s="66">
        <f t="shared" si="11"/>
        <v>6318</v>
      </c>
      <c r="J58" s="66"/>
      <c r="K58" s="66">
        <v>6088</v>
      </c>
      <c r="L58" s="256">
        <f t="shared" si="9"/>
        <v>96.359607470718572</v>
      </c>
      <c r="M58" s="66"/>
      <c r="N58" s="66"/>
      <c r="O58" s="66"/>
      <c r="P58" s="66"/>
      <c r="Q58" s="229"/>
      <c r="R58" s="54"/>
      <c r="S58" s="37"/>
      <c r="V58" s="37"/>
    </row>
    <row r="59" spans="1:22" ht="16.5" thickBot="1" x14ac:dyDescent="0.3">
      <c r="A59" s="52" t="s">
        <v>139</v>
      </c>
      <c r="B59" s="53">
        <f t="shared" si="10"/>
        <v>3107</v>
      </c>
      <c r="C59" s="36" t="s">
        <v>60</v>
      </c>
      <c r="D59" s="53">
        <v>0</v>
      </c>
      <c r="E59" s="53">
        <v>0</v>
      </c>
      <c r="F59" s="53">
        <f>1031+1416</f>
        <v>2447</v>
      </c>
      <c r="G59" s="53">
        <f>278+382</f>
        <v>660</v>
      </c>
      <c r="H59" s="53"/>
      <c r="I59" s="53">
        <f t="shared" si="11"/>
        <v>3107</v>
      </c>
      <c r="J59" s="53"/>
      <c r="K59" s="53">
        <v>646</v>
      </c>
      <c r="L59" s="257">
        <f t="shared" si="9"/>
        <v>20.791760540714517</v>
      </c>
      <c r="M59" s="53"/>
      <c r="N59" s="53"/>
      <c r="O59" s="53"/>
      <c r="P59" s="53"/>
      <c r="Q59" s="228"/>
      <c r="R59" s="249"/>
      <c r="S59" s="37"/>
      <c r="V59" s="37"/>
    </row>
    <row r="60" spans="1:22" ht="16.5" customHeight="1" thickBot="1" x14ac:dyDescent="0.3">
      <c r="A60" s="55" t="s">
        <v>5</v>
      </c>
      <c r="B60" s="56">
        <f>SUM(B53:B59)</f>
        <v>79387</v>
      </c>
      <c r="C60" s="165"/>
      <c r="D60" s="301">
        <f>SUM(D53:D59)</f>
        <v>52272</v>
      </c>
      <c r="E60" s="297">
        <f>SUM(E53:E59)</f>
        <v>21500</v>
      </c>
      <c r="F60" s="56">
        <f>SUM(F53:F59)</f>
        <v>21351</v>
      </c>
      <c r="G60" s="56">
        <f>SUM(G53:G59)</f>
        <v>5764</v>
      </c>
      <c r="H60" s="56">
        <f>SUM(H53:H57)</f>
        <v>0</v>
      </c>
      <c r="I60" s="56">
        <f>SUM(I53:I59)</f>
        <v>27115</v>
      </c>
      <c r="J60" s="56"/>
      <c r="K60" s="56">
        <f>SUM(K53:K59)</f>
        <v>18938</v>
      </c>
      <c r="L60" s="258">
        <f t="shared" si="9"/>
        <v>69.843260188087768</v>
      </c>
      <c r="M60" s="56">
        <f>SUM(M53:M57)</f>
        <v>0</v>
      </c>
      <c r="N60" s="56">
        <v>0</v>
      </c>
      <c r="O60" s="56">
        <f>SUM(O53:O57)</f>
        <v>14956</v>
      </c>
      <c r="P60" s="56">
        <f>SUM(P53:P57)</f>
        <v>8982</v>
      </c>
      <c r="Q60" s="56">
        <f>SUM(Q53:Q57)</f>
        <v>14956</v>
      </c>
      <c r="R60" s="131">
        <f>SUM(R53:R57)</f>
        <v>8982</v>
      </c>
      <c r="T60" s="3"/>
      <c r="U60" s="3"/>
    </row>
    <row r="61" spans="1:22" ht="16.5" customHeight="1" x14ac:dyDescent="0.25">
      <c r="A61" s="179" t="s">
        <v>67</v>
      </c>
      <c r="B61" s="61"/>
      <c r="C61" s="23"/>
      <c r="D61" s="302"/>
      <c r="E61" s="58"/>
      <c r="F61" s="61"/>
      <c r="G61" s="61"/>
      <c r="H61" s="61"/>
      <c r="I61" s="61"/>
      <c r="J61" s="61"/>
      <c r="K61" s="61"/>
      <c r="L61" s="256"/>
      <c r="M61" s="61"/>
      <c r="N61" s="61"/>
      <c r="O61" s="61"/>
      <c r="P61" s="61"/>
      <c r="Q61" s="61"/>
      <c r="R61" s="251"/>
      <c r="T61" s="3"/>
      <c r="U61" s="3"/>
    </row>
    <row r="62" spans="1:22" ht="16.5" customHeight="1" thickBot="1" x14ac:dyDescent="0.3">
      <c r="A62" s="1" t="s">
        <v>68</v>
      </c>
      <c r="B62" s="110">
        <f>SUM(I62)</f>
        <v>1270</v>
      </c>
      <c r="C62" s="109" t="s">
        <v>60</v>
      </c>
      <c r="D62" s="107">
        <v>0</v>
      </c>
      <c r="E62" s="59">
        <v>1270</v>
      </c>
      <c r="F62" s="110">
        <v>1000</v>
      </c>
      <c r="G62" s="110">
        <v>270</v>
      </c>
      <c r="H62" s="110"/>
      <c r="I62" s="110">
        <f>SUM(F62:G62)</f>
        <v>1270</v>
      </c>
      <c r="J62" s="110"/>
      <c r="K62" s="110">
        <v>0</v>
      </c>
      <c r="L62" s="257">
        <f t="shared" si="9"/>
        <v>0</v>
      </c>
      <c r="M62" s="110"/>
      <c r="N62" s="110"/>
      <c r="O62" s="110"/>
      <c r="P62" s="110"/>
      <c r="Q62" s="110"/>
      <c r="R62" s="142"/>
      <c r="T62" s="3"/>
      <c r="U62" s="3"/>
    </row>
    <row r="63" spans="1:22" ht="16.5" customHeight="1" thickBot="1" x14ac:dyDescent="0.3">
      <c r="A63" s="55" t="s">
        <v>5</v>
      </c>
      <c r="B63" s="28">
        <f>SUM(B62)</f>
        <v>1270</v>
      </c>
      <c r="C63" s="164"/>
      <c r="D63" s="28">
        <f t="shared" ref="D63:M63" si="12">SUM(D62)</f>
        <v>0</v>
      </c>
      <c r="E63" s="298">
        <f>SUM(E62)</f>
        <v>1270</v>
      </c>
      <c r="F63" s="28">
        <f t="shared" si="12"/>
        <v>1000</v>
      </c>
      <c r="G63" s="28">
        <f t="shared" si="12"/>
        <v>270</v>
      </c>
      <c r="H63" s="28">
        <f t="shared" si="12"/>
        <v>0</v>
      </c>
      <c r="I63" s="28">
        <f t="shared" si="12"/>
        <v>1270</v>
      </c>
      <c r="J63" s="28"/>
      <c r="K63" s="28">
        <f>SUM(K62)</f>
        <v>0</v>
      </c>
      <c r="L63" s="258">
        <f t="shared" si="9"/>
        <v>0</v>
      </c>
      <c r="M63" s="28">
        <f t="shared" si="12"/>
        <v>0</v>
      </c>
      <c r="N63" s="56">
        <v>0</v>
      </c>
      <c r="O63" s="56">
        <v>0</v>
      </c>
      <c r="P63" s="56">
        <v>0</v>
      </c>
      <c r="Q63" s="56">
        <v>0</v>
      </c>
      <c r="R63" s="131">
        <v>0</v>
      </c>
      <c r="T63" s="3"/>
      <c r="U63" s="3"/>
    </row>
    <row r="64" spans="1:22" ht="16.5" customHeight="1" x14ac:dyDescent="0.25">
      <c r="A64" s="57" t="s">
        <v>31</v>
      </c>
      <c r="B64" s="61"/>
      <c r="C64" s="23"/>
      <c r="D64" s="302"/>
      <c r="E64" s="58"/>
      <c r="F64" s="61"/>
      <c r="G64" s="61"/>
      <c r="H64" s="61"/>
      <c r="I64" s="61"/>
      <c r="J64" s="61"/>
      <c r="K64" s="61"/>
      <c r="L64" s="256"/>
      <c r="M64" s="61"/>
      <c r="N64" s="61"/>
      <c r="O64" s="61"/>
      <c r="P64" s="61"/>
      <c r="Q64" s="61"/>
      <c r="R64" s="251"/>
    </row>
    <row r="65" spans="1:22" ht="16.5" customHeight="1" x14ac:dyDescent="0.25">
      <c r="A65" s="25" t="s">
        <v>46</v>
      </c>
      <c r="B65" s="34">
        <f>SUM(I65)</f>
        <v>1000</v>
      </c>
      <c r="C65" s="33" t="s">
        <v>72</v>
      </c>
      <c r="D65" s="26">
        <v>0</v>
      </c>
      <c r="E65" s="113">
        <v>16000</v>
      </c>
      <c r="F65" s="34">
        <f>12598-11811</f>
        <v>787</v>
      </c>
      <c r="G65" s="34">
        <f>3402-3189</f>
        <v>213</v>
      </c>
      <c r="H65" s="34"/>
      <c r="I65" s="34">
        <f>SUM(F65:G65)</f>
        <v>1000</v>
      </c>
      <c r="J65" s="34"/>
      <c r="K65" s="34">
        <v>350</v>
      </c>
      <c r="L65" s="256">
        <f t="shared" si="9"/>
        <v>35</v>
      </c>
      <c r="M65" s="34"/>
      <c r="N65" s="34"/>
      <c r="O65" s="34"/>
      <c r="P65" s="34"/>
      <c r="Q65" s="34"/>
      <c r="R65" s="141"/>
    </row>
    <row r="66" spans="1:22" ht="16.5" customHeight="1" thickBot="1" x14ac:dyDescent="0.3">
      <c r="A66" s="1" t="s">
        <v>71</v>
      </c>
      <c r="B66" s="110">
        <f>SUM(I66)</f>
        <v>2286</v>
      </c>
      <c r="C66" s="129" t="s">
        <v>60</v>
      </c>
      <c r="D66" s="107">
        <v>0</v>
      </c>
      <c r="E66" s="59">
        <v>2286</v>
      </c>
      <c r="F66" s="110">
        <v>1800</v>
      </c>
      <c r="G66" s="110">
        <v>486</v>
      </c>
      <c r="H66" s="110"/>
      <c r="I66" s="110">
        <v>2286</v>
      </c>
      <c r="J66" s="110"/>
      <c r="K66" s="110">
        <v>0</v>
      </c>
      <c r="L66" s="257">
        <f t="shared" si="9"/>
        <v>0</v>
      </c>
      <c r="M66" s="110"/>
      <c r="N66" s="110"/>
      <c r="O66" s="110"/>
      <c r="P66" s="110"/>
      <c r="Q66" s="110"/>
      <c r="R66" s="142"/>
    </row>
    <row r="67" spans="1:22" ht="16.5" customHeight="1" thickBot="1" x14ac:dyDescent="0.3">
      <c r="A67" s="55" t="s">
        <v>5</v>
      </c>
      <c r="B67" s="28">
        <f>SUM(B65:B66)</f>
        <v>3286</v>
      </c>
      <c r="C67" s="164"/>
      <c r="D67" s="28">
        <f t="shared" ref="D67:I67" si="13">SUM(D65:D66)</f>
        <v>0</v>
      </c>
      <c r="E67" s="298">
        <f t="shared" si="13"/>
        <v>18286</v>
      </c>
      <c r="F67" s="28">
        <f t="shared" si="13"/>
        <v>2587</v>
      </c>
      <c r="G67" s="28">
        <f t="shared" si="13"/>
        <v>699</v>
      </c>
      <c r="H67" s="28">
        <f t="shared" si="13"/>
        <v>0</v>
      </c>
      <c r="I67" s="28">
        <f t="shared" si="13"/>
        <v>3286</v>
      </c>
      <c r="J67" s="56"/>
      <c r="K67" s="56">
        <f>SUM(K65:K66)</f>
        <v>350</v>
      </c>
      <c r="L67" s="258">
        <f t="shared" si="9"/>
        <v>10.651247717589776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131">
        <v>0</v>
      </c>
    </row>
    <row r="68" spans="1:22" ht="36.75" customHeight="1" x14ac:dyDescent="0.25">
      <c r="A68" s="60" t="s">
        <v>37</v>
      </c>
      <c r="B68" s="61"/>
      <c r="C68" s="23"/>
      <c r="D68" s="302"/>
      <c r="E68" s="58"/>
      <c r="F68" s="61"/>
      <c r="G68" s="61"/>
      <c r="H68" s="61"/>
      <c r="I68" s="61"/>
      <c r="J68" s="61"/>
      <c r="K68" s="61"/>
      <c r="L68" s="256"/>
      <c r="M68" s="61"/>
      <c r="N68" s="61"/>
      <c r="O68" s="61"/>
      <c r="P68" s="61"/>
      <c r="Q68" s="61"/>
      <c r="R68" s="251"/>
    </row>
    <row r="69" spans="1:22" ht="16.5" customHeight="1" thickBot="1" x14ac:dyDescent="0.3">
      <c r="A69" s="62" t="s">
        <v>38</v>
      </c>
      <c r="B69" s="64">
        <f>SUM(I69)</f>
        <v>1755</v>
      </c>
      <c r="C69" s="130" t="s">
        <v>72</v>
      </c>
      <c r="D69" s="177">
        <v>0</v>
      </c>
      <c r="E69" s="63">
        <v>1755</v>
      </c>
      <c r="F69" s="64">
        <v>1382</v>
      </c>
      <c r="G69" s="64">
        <v>373</v>
      </c>
      <c r="H69" s="64"/>
      <c r="I69" s="64">
        <f>SUM(F69:G69)</f>
        <v>1755</v>
      </c>
      <c r="J69" s="64"/>
      <c r="K69" s="64">
        <v>1126</v>
      </c>
      <c r="L69" s="257">
        <f t="shared" si="9"/>
        <v>64.159544159544154</v>
      </c>
      <c r="M69" s="64"/>
      <c r="N69" s="64"/>
      <c r="O69" s="64"/>
      <c r="P69" s="64"/>
      <c r="Q69" s="64"/>
      <c r="R69" s="142"/>
    </row>
    <row r="70" spans="1:22" ht="16.5" customHeight="1" thickBot="1" x14ac:dyDescent="0.3">
      <c r="A70" s="55" t="s">
        <v>5</v>
      </c>
      <c r="B70" s="29">
        <f>SUM(B69)</f>
        <v>1755</v>
      </c>
      <c r="C70" s="166"/>
      <c r="D70" s="28">
        <v>0</v>
      </c>
      <c r="E70" s="299">
        <f>SUM(E69)</f>
        <v>1755</v>
      </c>
      <c r="F70" s="29">
        <f>SUM(F69)</f>
        <v>1382</v>
      </c>
      <c r="G70" s="29">
        <f>SUM(G69)</f>
        <v>373</v>
      </c>
      <c r="H70" s="29">
        <f>SUM(H69)</f>
        <v>0</v>
      </c>
      <c r="I70" s="29">
        <f>SUM(I69)</f>
        <v>1755</v>
      </c>
      <c r="J70" s="29"/>
      <c r="K70" s="29">
        <f>SUM(K69)</f>
        <v>1126</v>
      </c>
      <c r="L70" s="258">
        <f t="shared" si="9"/>
        <v>64.159544159544154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131">
        <v>0</v>
      </c>
    </row>
    <row r="71" spans="1:22" ht="16.5" customHeight="1" x14ac:dyDescent="0.25">
      <c r="A71" s="65" t="s">
        <v>8</v>
      </c>
      <c r="B71" s="163"/>
      <c r="C71" s="167"/>
      <c r="D71" s="303"/>
      <c r="E71" s="213"/>
      <c r="F71" s="112"/>
      <c r="G71" s="112"/>
      <c r="H71" s="112"/>
      <c r="I71" s="112"/>
      <c r="J71" s="112"/>
      <c r="K71" s="112"/>
      <c r="L71" s="256"/>
      <c r="M71" s="112"/>
      <c r="N71" s="112"/>
      <c r="O71" s="112"/>
      <c r="P71" s="112"/>
      <c r="Q71" s="112"/>
      <c r="R71" s="252"/>
    </row>
    <row r="72" spans="1:22" ht="31.5" x14ac:dyDescent="0.25">
      <c r="A72" s="25" t="s">
        <v>93</v>
      </c>
      <c r="B72" s="46">
        <f>SUM(I72)+D72</f>
        <v>1258</v>
      </c>
      <c r="C72" s="137" t="s">
        <v>92</v>
      </c>
      <c r="D72" s="46">
        <f>229+914</f>
        <v>1143</v>
      </c>
      <c r="E72" s="300">
        <v>4292</v>
      </c>
      <c r="F72" s="53">
        <f>4280-180-720-3289</f>
        <v>91</v>
      </c>
      <c r="G72" s="53">
        <f>1155-49-194-888</f>
        <v>24</v>
      </c>
      <c r="H72" s="53"/>
      <c r="I72" s="53">
        <f t="shared" ref="I72:I79" si="14">SUM(F72:G72)</f>
        <v>115</v>
      </c>
      <c r="J72" s="53"/>
      <c r="K72" s="53">
        <v>113</v>
      </c>
      <c r="L72" s="256">
        <f t="shared" si="9"/>
        <v>98.260869565217391</v>
      </c>
      <c r="M72" s="53">
        <f>SUM(G72)</f>
        <v>24</v>
      </c>
      <c r="N72" s="53">
        <v>24</v>
      </c>
      <c r="O72" s="53"/>
      <c r="P72" s="53"/>
      <c r="Q72" s="223"/>
      <c r="R72" s="35"/>
      <c r="T72" s="3"/>
    </row>
    <row r="73" spans="1:22" x14ac:dyDescent="0.25">
      <c r="A73" s="1" t="s">
        <v>94</v>
      </c>
      <c r="B73" s="45">
        <f>I73</f>
        <v>2160</v>
      </c>
      <c r="C73" s="96" t="s">
        <v>60</v>
      </c>
      <c r="D73" s="45">
        <v>0</v>
      </c>
      <c r="E73" s="66">
        <v>2160</v>
      </c>
      <c r="F73" s="66">
        <v>1701</v>
      </c>
      <c r="G73" s="66">
        <v>459</v>
      </c>
      <c r="H73" s="66"/>
      <c r="I73" s="66">
        <f t="shared" si="14"/>
        <v>2160</v>
      </c>
      <c r="J73" s="66"/>
      <c r="K73" s="66">
        <v>0</v>
      </c>
      <c r="L73" s="256">
        <f t="shared" si="9"/>
        <v>0</v>
      </c>
      <c r="M73" s="53">
        <f>SUM(G73)</f>
        <v>459</v>
      </c>
      <c r="N73" s="66"/>
      <c r="O73" s="66"/>
      <c r="P73" s="66"/>
      <c r="Q73" s="225"/>
      <c r="R73" s="35"/>
      <c r="V73" s="37"/>
    </row>
    <row r="74" spans="1:22" x14ac:dyDescent="0.25">
      <c r="A74" s="25" t="s">
        <v>76</v>
      </c>
      <c r="B74" s="46">
        <f t="shared" ref="B74:B79" si="15">SUM(I74)</f>
        <v>500</v>
      </c>
      <c r="C74" s="137" t="s">
        <v>60</v>
      </c>
      <c r="D74" s="46">
        <v>0</v>
      </c>
      <c r="E74" s="53">
        <v>500</v>
      </c>
      <c r="F74" s="53">
        <v>394</v>
      </c>
      <c r="G74" s="53">
        <v>106</v>
      </c>
      <c r="H74" s="53"/>
      <c r="I74" s="53">
        <f t="shared" si="14"/>
        <v>500</v>
      </c>
      <c r="J74" s="53"/>
      <c r="K74" s="53">
        <v>0</v>
      </c>
      <c r="L74" s="256">
        <f t="shared" si="9"/>
        <v>0</v>
      </c>
      <c r="M74" s="53">
        <f>SUM(G74)</f>
        <v>106</v>
      </c>
      <c r="N74" s="53"/>
      <c r="O74" s="53"/>
      <c r="P74" s="53"/>
      <c r="Q74" s="223"/>
      <c r="R74" s="35"/>
    </row>
    <row r="75" spans="1:22" x14ac:dyDescent="0.25">
      <c r="A75" s="25" t="s">
        <v>77</v>
      </c>
      <c r="B75" s="46">
        <f t="shared" si="15"/>
        <v>1000</v>
      </c>
      <c r="C75" s="137" t="s">
        <v>60</v>
      </c>
      <c r="D75" s="46">
        <v>0</v>
      </c>
      <c r="E75" s="53">
        <v>1000</v>
      </c>
      <c r="F75" s="53">
        <v>787</v>
      </c>
      <c r="G75" s="53">
        <v>213</v>
      </c>
      <c r="H75" s="53"/>
      <c r="I75" s="53">
        <f t="shared" si="14"/>
        <v>1000</v>
      </c>
      <c r="J75" s="53"/>
      <c r="K75" s="53">
        <v>1000</v>
      </c>
      <c r="L75" s="256">
        <f t="shared" si="9"/>
        <v>100</v>
      </c>
      <c r="M75" s="53"/>
      <c r="N75" s="53"/>
      <c r="O75" s="53"/>
      <c r="P75" s="53"/>
      <c r="Q75" s="223"/>
      <c r="R75" s="35"/>
    </row>
    <row r="76" spans="1:22" x14ac:dyDescent="0.25">
      <c r="A76" s="25" t="s">
        <v>40</v>
      </c>
      <c r="B76" s="46">
        <f t="shared" si="15"/>
        <v>594</v>
      </c>
      <c r="C76" s="137" t="s">
        <v>60</v>
      </c>
      <c r="D76" s="46">
        <v>0</v>
      </c>
      <c r="E76" s="53">
        <v>594</v>
      </c>
      <c r="F76" s="53">
        <v>468</v>
      </c>
      <c r="G76" s="53">
        <v>126</v>
      </c>
      <c r="H76" s="53"/>
      <c r="I76" s="53">
        <f t="shared" si="14"/>
        <v>594</v>
      </c>
      <c r="J76" s="53"/>
      <c r="K76" s="53">
        <v>0</v>
      </c>
      <c r="L76" s="256">
        <f t="shared" si="9"/>
        <v>0</v>
      </c>
      <c r="M76" s="53">
        <f>SUM(G76)</f>
        <v>126</v>
      </c>
      <c r="N76" s="53"/>
      <c r="O76" s="53"/>
      <c r="P76" s="53"/>
      <c r="Q76" s="223"/>
      <c r="R76" s="35"/>
    </row>
    <row r="77" spans="1:22" x14ac:dyDescent="0.25">
      <c r="A77" s="115" t="s">
        <v>95</v>
      </c>
      <c r="B77" s="44">
        <f t="shared" si="15"/>
        <v>0</v>
      </c>
      <c r="C77" s="134" t="s">
        <v>72</v>
      </c>
      <c r="D77" s="44">
        <v>0</v>
      </c>
      <c r="E77" s="68">
        <v>7620</v>
      </c>
      <c r="F77" s="68">
        <f>6000-6000</f>
        <v>0</v>
      </c>
      <c r="G77" s="68">
        <f>1620-1620</f>
        <v>0</v>
      </c>
      <c r="H77" s="68"/>
      <c r="I77" s="68">
        <f t="shared" si="14"/>
        <v>0</v>
      </c>
      <c r="J77" s="68"/>
      <c r="K77" s="68">
        <v>0</v>
      </c>
      <c r="L77" s="256">
        <v>0</v>
      </c>
      <c r="M77" s="68">
        <f>SUM(G77)</f>
        <v>0</v>
      </c>
      <c r="N77" s="68"/>
      <c r="O77" s="68"/>
      <c r="P77" s="68"/>
      <c r="Q77" s="227"/>
      <c r="R77" s="35"/>
      <c r="T77" s="3"/>
      <c r="U77" s="3"/>
    </row>
    <row r="78" spans="1:22" x14ac:dyDescent="0.25">
      <c r="A78" s="116" t="s">
        <v>96</v>
      </c>
      <c r="B78" s="46">
        <f t="shared" si="15"/>
        <v>4897</v>
      </c>
      <c r="C78" s="137" t="s">
        <v>60</v>
      </c>
      <c r="D78" s="46">
        <v>0</v>
      </c>
      <c r="E78" s="53">
        <v>4897</v>
      </c>
      <c r="F78" s="53">
        <v>3856</v>
      </c>
      <c r="G78" s="53">
        <v>1041</v>
      </c>
      <c r="H78" s="53"/>
      <c r="I78" s="53">
        <f t="shared" si="14"/>
        <v>4897</v>
      </c>
      <c r="J78" s="53"/>
      <c r="K78" s="53">
        <v>4897</v>
      </c>
      <c r="L78" s="256">
        <f t="shared" si="9"/>
        <v>100</v>
      </c>
      <c r="M78" s="53">
        <f>SUM(G78)</f>
        <v>1041</v>
      </c>
      <c r="N78" s="53">
        <v>1041</v>
      </c>
      <c r="O78" s="53"/>
      <c r="P78" s="53"/>
      <c r="Q78" s="223"/>
      <c r="R78" s="35"/>
      <c r="T78" s="3"/>
      <c r="U78" s="3"/>
    </row>
    <row r="79" spans="1:22" ht="16.5" thickBot="1" x14ac:dyDescent="0.3">
      <c r="A79" s="123" t="s">
        <v>134</v>
      </c>
      <c r="B79" s="45">
        <f t="shared" si="15"/>
        <v>1668</v>
      </c>
      <c r="C79" s="96" t="s">
        <v>60</v>
      </c>
      <c r="D79" s="45">
        <v>0</v>
      </c>
      <c r="E79" s="66">
        <v>0</v>
      </c>
      <c r="F79" s="66">
        <v>1313</v>
      </c>
      <c r="G79" s="66">
        <v>355</v>
      </c>
      <c r="H79" s="66"/>
      <c r="I79" s="66">
        <f t="shared" si="14"/>
        <v>1668</v>
      </c>
      <c r="J79" s="66"/>
      <c r="K79" s="66">
        <v>1668</v>
      </c>
      <c r="L79" s="257">
        <f t="shared" si="9"/>
        <v>100</v>
      </c>
      <c r="M79" s="66">
        <f>SUM(G79)</f>
        <v>355</v>
      </c>
      <c r="N79" s="66">
        <v>355</v>
      </c>
      <c r="O79" s="66"/>
      <c r="P79" s="66"/>
      <c r="Q79" s="225"/>
      <c r="R79" s="95"/>
      <c r="T79" s="3"/>
      <c r="U79" s="3"/>
    </row>
    <row r="80" spans="1:22" ht="16.5" customHeight="1" thickBot="1" x14ac:dyDescent="0.3">
      <c r="A80" s="27" t="s">
        <v>5</v>
      </c>
      <c r="B80" s="28">
        <f>SUM(B72:B79)</f>
        <v>12077</v>
      </c>
      <c r="C80" s="164"/>
      <c r="D80" s="28">
        <f>SUM(D72:D79)</f>
        <v>1143</v>
      </c>
      <c r="E80" s="28">
        <f>SUM(E72:E79)</f>
        <v>21063</v>
      </c>
      <c r="F80" s="28">
        <f>SUM(F72:F79)</f>
        <v>8610</v>
      </c>
      <c r="G80" s="28">
        <f>SUM(G72:G79)</f>
        <v>2324</v>
      </c>
      <c r="H80" s="28">
        <f>SUM(H72:H78)</f>
        <v>0</v>
      </c>
      <c r="I80" s="28">
        <f>SUM(I72:I79)</f>
        <v>10934</v>
      </c>
      <c r="J80" s="28"/>
      <c r="K80" s="28">
        <f>SUM(K72:K79)</f>
        <v>7678</v>
      </c>
      <c r="L80" s="258">
        <f t="shared" si="9"/>
        <v>70.221327967806843</v>
      </c>
      <c r="M80" s="28">
        <f>SUM(M72:M79)</f>
        <v>2111</v>
      </c>
      <c r="N80" s="28">
        <f>SUM(N72:N79)</f>
        <v>1420</v>
      </c>
      <c r="O80" s="28">
        <f>SUM(O72:O78)</f>
        <v>0</v>
      </c>
      <c r="P80" s="29">
        <v>0</v>
      </c>
      <c r="Q80" s="29">
        <v>0</v>
      </c>
      <c r="R80" s="131">
        <v>0</v>
      </c>
    </row>
    <row r="81" spans="1:24" ht="16.5" customHeight="1" x14ac:dyDescent="0.25">
      <c r="A81" s="31" t="s">
        <v>9</v>
      </c>
      <c r="B81" s="45"/>
      <c r="C81" s="96"/>
      <c r="D81" s="45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225"/>
      <c r="R81" s="50"/>
    </row>
    <row r="82" spans="1:24" ht="16.5" customHeight="1" x14ac:dyDescent="0.25">
      <c r="A82" s="171" t="s">
        <v>41</v>
      </c>
      <c r="B82" s="172">
        <f>SUM(I82)+D82</f>
        <v>4382</v>
      </c>
      <c r="C82" s="173" t="s">
        <v>72</v>
      </c>
      <c r="D82" s="172">
        <v>3942</v>
      </c>
      <c r="E82" s="174">
        <v>440</v>
      </c>
      <c r="F82" s="174">
        <v>346</v>
      </c>
      <c r="G82" s="174">
        <v>94</v>
      </c>
      <c r="H82" s="174"/>
      <c r="I82" s="174">
        <f>SUM(F82:G82)</f>
        <v>440</v>
      </c>
      <c r="J82" s="174"/>
      <c r="K82" s="174">
        <v>398</v>
      </c>
      <c r="L82" s="259">
        <f>K82/I82*100</f>
        <v>90.454545454545453</v>
      </c>
      <c r="M82" s="174"/>
      <c r="N82" s="174"/>
      <c r="O82" s="174"/>
      <c r="P82" s="174"/>
      <c r="Q82" s="230"/>
      <c r="R82" s="175"/>
    </row>
    <row r="83" spans="1:24" ht="33.75" customHeight="1" x14ac:dyDescent="0.25">
      <c r="A83" s="176" t="s">
        <v>162</v>
      </c>
      <c r="B83" s="172">
        <f>SUM(I83)</f>
        <v>26918</v>
      </c>
      <c r="C83" s="173" t="s">
        <v>72</v>
      </c>
      <c r="D83" s="172">
        <v>0</v>
      </c>
      <c r="E83" s="174">
        <v>26918</v>
      </c>
      <c r="F83" s="174">
        <v>21195</v>
      </c>
      <c r="G83" s="174">
        <v>5723</v>
      </c>
      <c r="H83" s="174"/>
      <c r="I83" s="174">
        <f>SUM(F83:G83)</f>
        <v>26918</v>
      </c>
      <c r="J83" s="174"/>
      <c r="K83" s="174">
        <v>26516</v>
      </c>
      <c r="L83" s="259">
        <f>K83/I83*100</f>
        <v>98.506575525670556</v>
      </c>
      <c r="M83" s="174">
        <v>5723</v>
      </c>
      <c r="N83" s="174">
        <v>5637</v>
      </c>
      <c r="O83" s="174"/>
      <c r="P83" s="174"/>
      <c r="Q83" s="230"/>
      <c r="R83" s="175"/>
      <c r="T83" s="3"/>
      <c r="U83" s="3"/>
    </row>
    <row r="84" spans="1:24" ht="34.5" customHeight="1" x14ac:dyDescent="0.25">
      <c r="A84" s="176" t="s">
        <v>163</v>
      </c>
      <c r="B84" s="172">
        <f>SUM(I84)</f>
        <v>0</v>
      </c>
      <c r="C84" s="173" t="s">
        <v>60</v>
      </c>
      <c r="D84" s="172">
        <v>0</v>
      </c>
      <c r="E84" s="174">
        <v>25800</v>
      </c>
      <c r="F84" s="174">
        <f>20315-10000-10315</f>
        <v>0</v>
      </c>
      <c r="G84" s="174">
        <f>5485-2700-2785</f>
        <v>0</v>
      </c>
      <c r="H84" s="174"/>
      <c r="I84" s="174">
        <f>SUM(F84:G84)</f>
        <v>0</v>
      </c>
      <c r="J84" s="174"/>
      <c r="K84" s="174">
        <v>0</v>
      </c>
      <c r="L84" s="259">
        <v>0</v>
      </c>
      <c r="M84" s="174">
        <f>5485-2700-2785</f>
        <v>0</v>
      </c>
      <c r="N84" s="174"/>
      <c r="O84" s="174"/>
      <c r="P84" s="174"/>
      <c r="Q84" s="230"/>
      <c r="R84" s="175"/>
      <c r="T84" s="3"/>
      <c r="U84" s="3"/>
      <c r="X84" s="3"/>
    </row>
    <row r="85" spans="1:24" ht="31.5" x14ac:dyDescent="0.25">
      <c r="A85" s="104" t="s">
        <v>173</v>
      </c>
      <c r="B85" s="46">
        <f>SUM(I85)</f>
        <v>3175</v>
      </c>
      <c r="C85" s="137" t="s">
        <v>60</v>
      </c>
      <c r="D85" s="46">
        <v>0</v>
      </c>
      <c r="E85" s="53">
        <v>3175</v>
      </c>
      <c r="F85" s="53">
        <v>2500</v>
      </c>
      <c r="G85" s="53">
        <v>675</v>
      </c>
      <c r="H85" s="53"/>
      <c r="I85" s="53">
        <f>SUM(F85:G85)</f>
        <v>3175</v>
      </c>
      <c r="J85" s="53"/>
      <c r="K85" s="53">
        <v>3048</v>
      </c>
      <c r="L85" s="260">
        <f>K85/I85*100</f>
        <v>96</v>
      </c>
      <c r="M85" s="53"/>
      <c r="N85" s="53"/>
      <c r="O85" s="53"/>
      <c r="P85" s="53"/>
      <c r="Q85" s="223"/>
      <c r="R85" s="35"/>
      <c r="T85" s="3"/>
      <c r="U85" s="3"/>
    </row>
    <row r="86" spans="1:24" ht="36.75" customHeight="1" x14ac:dyDescent="0.25">
      <c r="A86" s="104" t="s">
        <v>174</v>
      </c>
      <c r="B86" s="46">
        <f>SUM(I86)</f>
        <v>4822</v>
      </c>
      <c r="C86" s="137" t="s">
        <v>72</v>
      </c>
      <c r="D86" s="46">
        <v>0</v>
      </c>
      <c r="E86" s="53">
        <v>4822</v>
      </c>
      <c r="F86" s="53">
        <v>3797</v>
      </c>
      <c r="G86" s="53">
        <v>1025</v>
      </c>
      <c r="H86" s="53"/>
      <c r="I86" s="53">
        <f>SUM(F86:G86)</f>
        <v>4822</v>
      </c>
      <c r="J86" s="53"/>
      <c r="K86" s="53">
        <v>4822</v>
      </c>
      <c r="L86" s="260">
        <f t="shared" ref="L86:L150" si="16">K86/I86*100</f>
        <v>100</v>
      </c>
      <c r="M86" s="53">
        <v>1025</v>
      </c>
      <c r="N86" s="53">
        <v>1025</v>
      </c>
      <c r="O86" s="53"/>
      <c r="P86" s="53"/>
      <c r="Q86" s="223"/>
      <c r="R86" s="35"/>
      <c r="T86" s="3"/>
      <c r="U86" s="3"/>
    </row>
    <row r="87" spans="1:24" ht="23.25" customHeight="1" x14ac:dyDescent="0.25">
      <c r="A87" s="104" t="s">
        <v>175</v>
      </c>
      <c r="B87" s="46">
        <f t="shared" ref="B87:B96" si="17">SUM(I87)</f>
        <v>17610</v>
      </c>
      <c r="C87" s="137" t="s">
        <v>60</v>
      </c>
      <c r="D87" s="46">
        <v>0</v>
      </c>
      <c r="E87" s="53">
        <v>946</v>
      </c>
      <c r="F87" s="53">
        <f>744+13122</f>
        <v>13866</v>
      </c>
      <c r="G87" s="53">
        <f>202+3542</f>
        <v>3744</v>
      </c>
      <c r="H87" s="53"/>
      <c r="I87" s="53">
        <f t="shared" ref="I87:I96" si="18">SUM(F87:G87)</f>
        <v>17610</v>
      </c>
      <c r="J87" s="53"/>
      <c r="K87" s="53">
        <v>720</v>
      </c>
      <c r="L87" s="260">
        <f t="shared" si="16"/>
        <v>4.0885860306643949</v>
      </c>
      <c r="M87" s="53">
        <v>3542</v>
      </c>
      <c r="N87" s="53">
        <v>153</v>
      </c>
      <c r="O87" s="53"/>
      <c r="P87" s="53"/>
      <c r="Q87" s="223"/>
      <c r="R87" s="35"/>
      <c r="T87" s="3"/>
      <c r="U87" s="3"/>
    </row>
    <row r="88" spans="1:24" ht="32.25" customHeight="1" x14ac:dyDescent="0.25">
      <c r="A88" s="104" t="s">
        <v>176</v>
      </c>
      <c r="B88" s="46">
        <f t="shared" si="17"/>
        <v>21843</v>
      </c>
      <c r="C88" s="137" t="s">
        <v>60</v>
      </c>
      <c r="D88" s="46">
        <v>0</v>
      </c>
      <c r="E88" s="53">
        <v>0</v>
      </c>
      <c r="F88" s="53">
        <v>17200</v>
      </c>
      <c r="G88" s="53">
        <v>4643</v>
      </c>
      <c r="H88" s="53"/>
      <c r="I88" s="53">
        <f t="shared" si="18"/>
        <v>21843</v>
      </c>
      <c r="J88" s="53">
        <v>4569</v>
      </c>
      <c r="K88" s="53">
        <v>17876</v>
      </c>
      <c r="L88" s="260">
        <f t="shared" si="16"/>
        <v>81.838575287277393</v>
      </c>
      <c r="M88" s="53">
        <v>4643</v>
      </c>
      <c r="N88" s="53">
        <v>203</v>
      </c>
      <c r="O88" s="53"/>
      <c r="P88" s="53"/>
      <c r="Q88" s="223"/>
      <c r="R88" s="35"/>
      <c r="T88" s="3"/>
      <c r="U88" s="3"/>
    </row>
    <row r="89" spans="1:24" ht="23.25" customHeight="1" x14ac:dyDescent="0.25">
      <c r="A89" s="125" t="s">
        <v>177</v>
      </c>
      <c r="B89" s="44">
        <f t="shared" si="17"/>
        <v>534</v>
      </c>
      <c r="C89" s="134" t="s">
        <v>60</v>
      </c>
      <c r="D89" s="44">
        <v>0</v>
      </c>
      <c r="E89" s="68">
        <v>0</v>
      </c>
      <c r="F89" s="68">
        <v>420</v>
      </c>
      <c r="G89" s="68">
        <v>114</v>
      </c>
      <c r="H89" s="68"/>
      <c r="I89" s="68">
        <f t="shared" si="18"/>
        <v>534</v>
      </c>
      <c r="J89" s="68"/>
      <c r="K89" s="68">
        <v>533</v>
      </c>
      <c r="L89" s="260">
        <f t="shared" si="16"/>
        <v>99.812734082397</v>
      </c>
      <c r="M89" s="68">
        <v>114</v>
      </c>
      <c r="N89" s="68">
        <v>114</v>
      </c>
      <c r="O89" s="68"/>
      <c r="P89" s="68"/>
      <c r="Q89" s="227"/>
      <c r="R89" s="35"/>
      <c r="T89" s="3"/>
      <c r="U89" s="3"/>
    </row>
    <row r="90" spans="1:24" ht="23.25" customHeight="1" x14ac:dyDescent="0.25">
      <c r="A90" s="127" t="s">
        <v>178</v>
      </c>
      <c r="B90" s="45">
        <f t="shared" si="17"/>
        <v>1338</v>
      </c>
      <c r="C90" s="96" t="s">
        <v>60</v>
      </c>
      <c r="D90" s="45">
        <v>0</v>
      </c>
      <c r="E90" s="66">
        <v>0</v>
      </c>
      <c r="F90" s="66">
        <v>1054</v>
      </c>
      <c r="G90" s="66">
        <v>284</v>
      </c>
      <c r="H90" s="66"/>
      <c r="I90" s="66">
        <f t="shared" si="18"/>
        <v>1338</v>
      </c>
      <c r="J90" s="66"/>
      <c r="K90" s="66">
        <v>1183</v>
      </c>
      <c r="L90" s="260">
        <f t="shared" si="16"/>
        <v>88.415545590433481</v>
      </c>
      <c r="M90" s="66">
        <v>284</v>
      </c>
      <c r="N90" s="66">
        <v>252</v>
      </c>
      <c r="O90" s="66"/>
      <c r="P90" s="66"/>
      <c r="Q90" s="225"/>
      <c r="R90" s="35"/>
      <c r="T90" s="3"/>
      <c r="U90" s="3"/>
    </row>
    <row r="91" spans="1:24" ht="42.75" customHeight="1" x14ac:dyDescent="0.25">
      <c r="A91" s="180" t="s">
        <v>179</v>
      </c>
      <c r="B91" s="182">
        <f t="shared" si="17"/>
        <v>0</v>
      </c>
      <c r="C91" s="181" t="s">
        <v>60</v>
      </c>
      <c r="D91" s="182">
        <v>0</v>
      </c>
      <c r="E91" s="183">
        <v>0</v>
      </c>
      <c r="F91" s="183">
        <f>6810-6810</f>
        <v>0</v>
      </c>
      <c r="G91" s="183">
        <f>1839-1839</f>
        <v>0</v>
      </c>
      <c r="H91" s="183"/>
      <c r="I91" s="183">
        <f t="shared" si="18"/>
        <v>0</v>
      </c>
      <c r="J91" s="183"/>
      <c r="K91" s="183">
        <v>0</v>
      </c>
      <c r="L91" s="262">
        <v>0</v>
      </c>
      <c r="M91" s="183">
        <f>1839-1839</f>
        <v>0</v>
      </c>
      <c r="N91" s="183"/>
      <c r="O91" s="183"/>
      <c r="P91" s="183"/>
      <c r="Q91" s="231"/>
      <c r="R91" s="184"/>
      <c r="T91" s="3"/>
      <c r="U91" s="3"/>
    </row>
    <row r="92" spans="1:24" ht="36" customHeight="1" x14ac:dyDescent="0.25">
      <c r="A92" s="185" t="s">
        <v>180</v>
      </c>
      <c r="B92" s="187">
        <f t="shared" si="17"/>
        <v>0</v>
      </c>
      <c r="C92" s="186" t="s">
        <v>60</v>
      </c>
      <c r="D92" s="187">
        <v>0</v>
      </c>
      <c r="E92" s="214">
        <v>0</v>
      </c>
      <c r="F92" s="214">
        <f>3000-3000</f>
        <v>0</v>
      </c>
      <c r="G92" s="214">
        <f>810-810</f>
        <v>0</v>
      </c>
      <c r="H92" s="214"/>
      <c r="I92" s="214">
        <f t="shared" si="18"/>
        <v>0</v>
      </c>
      <c r="J92" s="214"/>
      <c r="K92" s="214">
        <v>0</v>
      </c>
      <c r="L92" s="262">
        <v>0</v>
      </c>
      <c r="M92" s="214">
        <f>810-810</f>
        <v>0</v>
      </c>
      <c r="N92" s="214"/>
      <c r="O92" s="214"/>
      <c r="P92" s="214"/>
      <c r="Q92" s="284"/>
      <c r="R92" s="184"/>
      <c r="T92" s="3"/>
      <c r="U92" s="3"/>
    </row>
    <row r="93" spans="1:24" ht="36" customHeight="1" x14ac:dyDescent="0.25">
      <c r="A93" s="180" t="s">
        <v>181</v>
      </c>
      <c r="B93" s="182">
        <f t="shared" si="17"/>
        <v>0</v>
      </c>
      <c r="C93" s="181" t="s">
        <v>60</v>
      </c>
      <c r="D93" s="182">
        <v>0</v>
      </c>
      <c r="E93" s="183">
        <v>0</v>
      </c>
      <c r="F93" s="183">
        <f>3800-3800</f>
        <v>0</v>
      </c>
      <c r="G93" s="183">
        <f>1026-1026</f>
        <v>0</v>
      </c>
      <c r="H93" s="183"/>
      <c r="I93" s="183">
        <f t="shared" si="18"/>
        <v>0</v>
      </c>
      <c r="J93" s="183"/>
      <c r="K93" s="183">
        <v>0</v>
      </c>
      <c r="L93" s="262">
        <v>0</v>
      </c>
      <c r="M93" s="183">
        <f>1026-1026</f>
        <v>0</v>
      </c>
      <c r="N93" s="183"/>
      <c r="O93" s="183"/>
      <c r="P93" s="183"/>
      <c r="Q93" s="231"/>
      <c r="R93" s="184"/>
      <c r="T93" s="3"/>
      <c r="U93" s="3"/>
    </row>
    <row r="94" spans="1:24" ht="33" customHeight="1" x14ac:dyDescent="0.25">
      <c r="A94" s="180" t="s">
        <v>184</v>
      </c>
      <c r="B94" s="182">
        <f>SUM(I94)</f>
        <v>550584</v>
      </c>
      <c r="C94" s="181" t="s">
        <v>60</v>
      </c>
      <c r="D94" s="182">
        <v>0</v>
      </c>
      <c r="E94" s="183">
        <v>0</v>
      </c>
      <c r="F94" s="183">
        <f>422921+6810+3800</f>
        <v>433531</v>
      </c>
      <c r="G94" s="183">
        <f>114188+1839+1026</f>
        <v>117053</v>
      </c>
      <c r="H94" s="183"/>
      <c r="I94" s="183">
        <f>SUM(F94:G94)</f>
        <v>550584</v>
      </c>
      <c r="J94" s="183"/>
      <c r="K94" s="183">
        <v>0</v>
      </c>
      <c r="L94" s="262">
        <f t="shared" si="16"/>
        <v>0</v>
      </c>
      <c r="M94" s="183">
        <f>114188+1839+1026</f>
        <v>117053</v>
      </c>
      <c r="N94" s="183"/>
      <c r="O94" s="183">
        <f>432720</f>
        <v>432720</v>
      </c>
      <c r="P94" s="183">
        <f>436530-3810</f>
        <v>432720</v>
      </c>
      <c r="Q94" s="231">
        <v>0</v>
      </c>
      <c r="R94" s="184">
        <v>0</v>
      </c>
      <c r="T94" s="3"/>
      <c r="U94" s="3"/>
    </row>
    <row r="95" spans="1:24" ht="35.25" customHeight="1" x14ac:dyDescent="0.25">
      <c r="A95" s="188" t="s">
        <v>182</v>
      </c>
      <c r="B95" s="189">
        <f>SUM(I95)</f>
        <v>508</v>
      </c>
      <c r="C95" s="190" t="s">
        <v>92</v>
      </c>
      <c r="D95" s="189">
        <v>0</v>
      </c>
      <c r="E95" s="191">
        <v>508</v>
      </c>
      <c r="F95" s="191">
        <v>400</v>
      </c>
      <c r="G95" s="191">
        <v>108</v>
      </c>
      <c r="H95" s="191"/>
      <c r="I95" s="191">
        <f>SUM(F95:G95)</f>
        <v>508</v>
      </c>
      <c r="J95" s="191"/>
      <c r="K95" s="191">
        <v>0</v>
      </c>
      <c r="L95" s="263">
        <f t="shared" si="16"/>
        <v>0</v>
      </c>
      <c r="M95" s="191"/>
      <c r="N95" s="191"/>
      <c r="O95" s="191"/>
      <c r="P95" s="191"/>
      <c r="Q95" s="232"/>
      <c r="R95" s="192"/>
      <c r="T95" s="3"/>
      <c r="U95" s="3"/>
    </row>
    <row r="96" spans="1:24" ht="36" customHeight="1" thickBot="1" x14ac:dyDescent="0.3">
      <c r="A96" s="193" t="s">
        <v>161</v>
      </c>
      <c r="B96" s="194">
        <f t="shared" si="17"/>
        <v>3788613</v>
      </c>
      <c r="C96" s="195" t="s">
        <v>60</v>
      </c>
      <c r="D96" s="194">
        <v>2594</v>
      </c>
      <c r="E96" s="196">
        <v>0</v>
      </c>
      <c r="F96" s="196">
        <v>2983160</v>
      </c>
      <c r="G96" s="196">
        <v>805453</v>
      </c>
      <c r="H96" s="196"/>
      <c r="I96" s="196">
        <f t="shared" si="18"/>
        <v>3788613</v>
      </c>
      <c r="J96" s="196"/>
      <c r="K96" s="196">
        <v>0</v>
      </c>
      <c r="L96" s="264">
        <f t="shared" si="16"/>
        <v>0</v>
      </c>
      <c r="M96" s="196">
        <v>805453</v>
      </c>
      <c r="N96" s="196"/>
      <c r="O96" s="196">
        <f>2529664+461374-7878</f>
        <v>2983160</v>
      </c>
      <c r="P96" s="196">
        <v>894948</v>
      </c>
      <c r="Q96" s="285">
        <f>2529664-7878</f>
        <v>2521786</v>
      </c>
      <c r="R96" s="286">
        <f>894948</f>
        <v>894948</v>
      </c>
      <c r="T96" s="3"/>
      <c r="U96" s="3"/>
    </row>
    <row r="97" spans="1:22" ht="16.5" customHeight="1" thickBot="1" x14ac:dyDescent="0.3">
      <c r="A97" s="27" t="s">
        <v>5</v>
      </c>
      <c r="B97" s="47">
        <f>SUM(B82:B96)</f>
        <v>4420327</v>
      </c>
      <c r="C97" s="138"/>
      <c r="D97" s="47">
        <f t="shared" ref="D97:R97" si="19">SUM(D82:D96)</f>
        <v>6536</v>
      </c>
      <c r="E97" s="47">
        <f>SUM(E82:E96)</f>
        <v>62609</v>
      </c>
      <c r="F97" s="47">
        <f t="shared" si="19"/>
        <v>3477469</v>
      </c>
      <c r="G97" s="47">
        <f t="shared" si="19"/>
        <v>938916</v>
      </c>
      <c r="H97" s="47">
        <f t="shared" si="19"/>
        <v>0</v>
      </c>
      <c r="I97" s="47">
        <f t="shared" si="19"/>
        <v>4416385</v>
      </c>
      <c r="J97" s="47"/>
      <c r="K97" s="47">
        <f>SUM(K82:K96)</f>
        <v>55096</v>
      </c>
      <c r="L97" s="258">
        <f t="shared" si="16"/>
        <v>1.2475361636270388</v>
      </c>
      <c r="M97" s="47">
        <f t="shared" si="19"/>
        <v>937837</v>
      </c>
      <c r="N97" s="47">
        <f>SUM(N82:N96)</f>
        <v>7384</v>
      </c>
      <c r="O97" s="47">
        <f t="shared" si="19"/>
        <v>3415880</v>
      </c>
      <c r="P97" s="47">
        <f>SUM(P82:P96)</f>
        <v>1327668</v>
      </c>
      <c r="Q97" s="47">
        <f t="shared" si="19"/>
        <v>2521786</v>
      </c>
      <c r="R97" s="78">
        <f t="shared" si="19"/>
        <v>894948</v>
      </c>
    </row>
    <row r="98" spans="1:22" ht="16.5" customHeight="1" x14ac:dyDescent="0.25">
      <c r="A98" s="31" t="s">
        <v>10</v>
      </c>
      <c r="B98" s="67"/>
      <c r="C98" s="143"/>
      <c r="D98" s="67"/>
      <c r="E98" s="90"/>
      <c r="F98" s="90"/>
      <c r="G98" s="90"/>
      <c r="H98" s="90"/>
      <c r="I98" s="90"/>
      <c r="J98" s="90"/>
      <c r="K98" s="90"/>
      <c r="L98" s="256"/>
      <c r="M98" s="90"/>
      <c r="N98" s="90"/>
      <c r="O98" s="90"/>
      <c r="P98" s="90"/>
      <c r="Q98" s="90"/>
      <c r="R98" s="136"/>
    </row>
    <row r="99" spans="1:22" ht="16.5" thickBot="1" x14ac:dyDescent="0.3">
      <c r="A99" s="25" t="s">
        <v>78</v>
      </c>
      <c r="B99" s="46">
        <f>SUM(I99)+D99</f>
        <v>6000</v>
      </c>
      <c r="C99" s="137" t="s">
        <v>60</v>
      </c>
      <c r="D99" s="46">
        <v>0</v>
      </c>
      <c r="E99" s="53">
        <v>6000</v>
      </c>
      <c r="F99" s="53">
        <v>4724</v>
      </c>
      <c r="G99" s="53">
        <v>1276</v>
      </c>
      <c r="H99" s="53"/>
      <c r="I99" s="53">
        <f>SUM(F99:G99)</f>
        <v>6000</v>
      </c>
      <c r="J99" s="53"/>
      <c r="K99" s="53">
        <v>0</v>
      </c>
      <c r="L99" s="261">
        <f t="shared" si="16"/>
        <v>0</v>
      </c>
      <c r="M99" s="53"/>
      <c r="N99" s="53"/>
      <c r="O99" s="53"/>
      <c r="P99" s="53"/>
      <c r="Q99" s="53"/>
      <c r="R99" s="152"/>
    </row>
    <row r="100" spans="1:22" ht="16.5" customHeight="1" thickBot="1" x14ac:dyDescent="0.3">
      <c r="A100" s="27" t="s">
        <v>5</v>
      </c>
      <c r="B100" s="47">
        <f>SUM(B99:B99)</f>
        <v>6000</v>
      </c>
      <c r="C100" s="138"/>
      <c r="D100" s="47">
        <f>SUM(D99:D99)</f>
        <v>0</v>
      </c>
      <c r="E100" s="47">
        <f>SUM(E99)</f>
        <v>6000</v>
      </c>
      <c r="F100" s="47">
        <f>SUM(F99:F99)</f>
        <v>4724</v>
      </c>
      <c r="G100" s="47">
        <f>SUM(G99:G99)</f>
        <v>1276</v>
      </c>
      <c r="H100" s="47"/>
      <c r="I100" s="47">
        <f>SUM(I99:I99)</f>
        <v>6000</v>
      </c>
      <c r="J100" s="47"/>
      <c r="K100" s="47">
        <f>SUM(K99)</f>
        <v>0</v>
      </c>
      <c r="L100" s="258">
        <f t="shared" si="16"/>
        <v>0</v>
      </c>
      <c r="M100" s="47">
        <f>SUM(M99:M99)</f>
        <v>0</v>
      </c>
      <c r="N100" s="47">
        <v>0</v>
      </c>
      <c r="O100" s="47">
        <f>SUM(O99:O99)</f>
        <v>0</v>
      </c>
      <c r="P100" s="77">
        <v>0</v>
      </c>
      <c r="Q100" s="77">
        <f>SUM(Q98:Q99)</f>
        <v>0</v>
      </c>
      <c r="R100" s="78">
        <v>0</v>
      </c>
    </row>
    <row r="101" spans="1:22" ht="16.5" customHeight="1" x14ac:dyDescent="0.25">
      <c r="A101" s="31" t="s">
        <v>11</v>
      </c>
      <c r="B101" s="45"/>
      <c r="C101" s="96"/>
      <c r="D101" s="45"/>
      <c r="E101" s="66"/>
      <c r="F101" s="66"/>
      <c r="G101" s="66"/>
      <c r="H101" s="66"/>
      <c r="I101" s="66"/>
      <c r="J101" s="66"/>
      <c r="K101" s="66"/>
      <c r="L101" s="256"/>
      <c r="M101" s="66"/>
      <c r="N101" s="66"/>
      <c r="O101" s="66"/>
      <c r="P101" s="66"/>
      <c r="Q101" s="233"/>
      <c r="R101" s="50"/>
    </row>
    <row r="102" spans="1:22" ht="16.5" customHeight="1" x14ac:dyDescent="0.25">
      <c r="A102" s="25" t="s">
        <v>12</v>
      </c>
      <c r="B102" s="46">
        <f>SUM(I102)+D102</f>
        <v>17114</v>
      </c>
      <c r="C102" s="137" t="s">
        <v>125</v>
      </c>
      <c r="D102" s="46">
        <f>350+5867</f>
        <v>6217</v>
      </c>
      <c r="E102" s="53">
        <v>10897</v>
      </c>
      <c r="F102" s="53">
        <f>6695+6505-4620</f>
        <v>8580</v>
      </c>
      <c r="G102" s="53">
        <f>1808+1756-1247</f>
        <v>2317</v>
      </c>
      <c r="H102" s="53"/>
      <c r="I102" s="53">
        <f t="shared" ref="I102:I115" si="20">SUM(F102:G102)</f>
        <v>10897</v>
      </c>
      <c r="J102" s="53"/>
      <c r="K102" s="53">
        <v>9220</v>
      </c>
      <c r="L102" s="260">
        <f t="shared" si="16"/>
        <v>84.610443241259063</v>
      </c>
      <c r="M102" s="53"/>
      <c r="N102" s="53"/>
      <c r="O102" s="53"/>
      <c r="P102" s="53"/>
      <c r="Q102" s="223"/>
      <c r="R102" s="35"/>
      <c r="T102" s="41"/>
      <c r="U102" s="41"/>
    </row>
    <row r="103" spans="1:22" ht="16.5" customHeight="1" x14ac:dyDescent="0.25">
      <c r="A103" s="43" t="s">
        <v>47</v>
      </c>
      <c r="B103" s="44">
        <f>SUM(I103)</f>
        <v>1000</v>
      </c>
      <c r="C103" s="144" t="s">
        <v>60</v>
      </c>
      <c r="D103" s="44">
        <v>0</v>
      </c>
      <c r="E103" s="68">
        <v>1000</v>
      </c>
      <c r="F103" s="68">
        <v>787</v>
      </c>
      <c r="G103" s="68">
        <v>213</v>
      </c>
      <c r="H103" s="68"/>
      <c r="I103" s="68">
        <f>SUM(F103:G103)</f>
        <v>1000</v>
      </c>
      <c r="J103" s="68"/>
      <c r="K103" s="68">
        <v>0</v>
      </c>
      <c r="L103" s="260">
        <f t="shared" si="16"/>
        <v>0</v>
      </c>
      <c r="M103" s="68"/>
      <c r="N103" s="68"/>
      <c r="O103" s="68"/>
      <c r="P103" s="68"/>
      <c r="Q103" s="227"/>
      <c r="R103" s="35"/>
      <c r="T103" s="41"/>
      <c r="U103" s="41"/>
    </row>
    <row r="104" spans="1:22" ht="16.5" customHeight="1" x14ac:dyDescent="0.25">
      <c r="A104" s="43" t="s">
        <v>64</v>
      </c>
      <c r="B104" s="44">
        <f t="shared" ref="B104:B113" si="21">SUM(I104)</f>
        <v>300</v>
      </c>
      <c r="C104" s="144" t="s">
        <v>60</v>
      </c>
      <c r="D104" s="44">
        <v>0</v>
      </c>
      <c r="E104" s="68">
        <v>300</v>
      </c>
      <c r="F104" s="68">
        <v>236</v>
      </c>
      <c r="G104" s="68">
        <v>64</v>
      </c>
      <c r="H104" s="68"/>
      <c r="I104" s="68">
        <f t="shared" si="20"/>
        <v>300</v>
      </c>
      <c r="J104" s="68"/>
      <c r="K104" s="68">
        <v>0</v>
      </c>
      <c r="L104" s="260">
        <f t="shared" si="16"/>
        <v>0</v>
      </c>
      <c r="M104" s="68"/>
      <c r="N104" s="68"/>
      <c r="O104" s="68"/>
      <c r="P104" s="68"/>
      <c r="Q104" s="227"/>
      <c r="R104" s="35"/>
      <c r="T104" s="41"/>
      <c r="U104" s="41"/>
    </row>
    <row r="105" spans="1:22" ht="16.5" customHeight="1" x14ac:dyDescent="0.25">
      <c r="A105" s="43" t="s">
        <v>48</v>
      </c>
      <c r="B105" s="44">
        <f>SUM(I105)</f>
        <v>500</v>
      </c>
      <c r="C105" s="144" t="s">
        <v>60</v>
      </c>
      <c r="D105" s="44">
        <v>0</v>
      </c>
      <c r="E105" s="68">
        <v>500</v>
      </c>
      <c r="F105" s="68">
        <v>394</v>
      </c>
      <c r="G105" s="68">
        <v>106</v>
      </c>
      <c r="H105" s="68"/>
      <c r="I105" s="68">
        <f>SUM(F105:G105)</f>
        <v>500</v>
      </c>
      <c r="J105" s="68"/>
      <c r="K105" s="68">
        <v>672</v>
      </c>
      <c r="L105" s="260">
        <f t="shared" si="16"/>
        <v>134.4</v>
      </c>
      <c r="M105" s="68"/>
      <c r="N105" s="68"/>
      <c r="O105" s="68"/>
      <c r="P105" s="68"/>
      <c r="Q105" s="227"/>
      <c r="R105" s="35"/>
      <c r="T105" s="41"/>
      <c r="U105" s="41"/>
    </row>
    <row r="106" spans="1:22" ht="16.5" customHeight="1" x14ac:dyDescent="0.25">
      <c r="A106" s="43" t="s">
        <v>66</v>
      </c>
      <c r="B106" s="44">
        <f>SUM(I106)</f>
        <v>762</v>
      </c>
      <c r="C106" s="144" t="s">
        <v>60</v>
      </c>
      <c r="D106" s="44">
        <v>0</v>
      </c>
      <c r="E106" s="68">
        <v>762</v>
      </c>
      <c r="F106" s="68">
        <v>600</v>
      </c>
      <c r="G106" s="68">
        <v>162</v>
      </c>
      <c r="H106" s="68"/>
      <c r="I106" s="68">
        <f>SUM(F106:G106)</f>
        <v>762</v>
      </c>
      <c r="J106" s="68"/>
      <c r="K106" s="68">
        <v>0</v>
      </c>
      <c r="L106" s="260">
        <f t="shared" si="16"/>
        <v>0</v>
      </c>
      <c r="M106" s="68"/>
      <c r="N106" s="68"/>
      <c r="O106" s="68"/>
      <c r="P106" s="68"/>
      <c r="Q106" s="227"/>
      <c r="R106" s="35"/>
      <c r="T106" s="41"/>
      <c r="U106" s="41"/>
    </row>
    <row r="107" spans="1:22" ht="16.5" customHeight="1" x14ac:dyDescent="0.25">
      <c r="A107" s="43" t="s">
        <v>49</v>
      </c>
      <c r="B107" s="44">
        <f t="shared" si="21"/>
        <v>1100</v>
      </c>
      <c r="C107" s="144" t="s">
        <v>60</v>
      </c>
      <c r="D107" s="44">
        <v>0</v>
      </c>
      <c r="E107" s="68">
        <v>1100</v>
      </c>
      <c r="F107" s="68">
        <f>945-79</f>
        <v>866</v>
      </c>
      <c r="G107" s="68">
        <f>255-21</f>
        <v>234</v>
      </c>
      <c r="H107" s="68"/>
      <c r="I107" s="68">
        <f t="shared" si="20"/>
        <v>1100</v>
      </c>
      <c r="J107" s="68"/>
      <c r="K107" s="68">
        <v>0</v>
      </c>
      <c r="L107" s="260">
        <f t="shared" si="16"/>
        <v>0</v>
      </c>
      <c r="M107" s="68"/>
      <c r="N107" s="68"/>
      <c r="O107" s="68"/>
      <c r="P107" s="68"/>
      <c r="Q107" s="227"/>
      <c r="R107" s="35"/>
      <c r="T107" s="41"/>
      <c r="U107" s="41"/>
    </row>
    <row r="108" spans="1:22" ht="16.5" customHeight="1" x14ac:dyDescent="0.25">
      <c r="A108" s="43" t="s">
        <v>50</v>
      </c>
      <c r="B108" s="44">
        <f t="shared" si="21"/>
        <v>1000</v>
      </c>
      <c r="C108" s="144" t="s">
        <v>60</v>
      </c>
      <c r="D108" s="44">
        <v>0</v>
      </c>
      <c r="E108" s="68">
        <v>1000</v>
      </c>
      <c r="F108" s="68">
        <v>787</v>
      </c>
      <c r="G108" s="68">
        <v>213</v>
      </c>
      <c r="H108" s="68"/>
      <c r="I108" s="68">
        <f t="shared" si="20"/>
        <v>1000</v>
      </c>
      <c r="J108" s="68"/>
      <c r="K108" s="68">
        <v>532</v>
      </c>
      <c r="L108" s="260">
        <f t="shared" si="16"/>
        <v>53.2</v>
      </c>
      <c r="M108" s="68"/>
      <c r="N108" s="68"/>
      <c r="O108" s="68"/>
      <c r="P108" s="68"/>
      <c r="Q108" s="227"/>
      <c r="R108" s="35"/>
      <c r="T108" s="41"/>
      <c r="U108" s="41"/>
      <c r="V108" s="3"/>
    </row>
    <row r="109" spans="1:22" ht="16.5" customHeight="1" x14ac:dyDescent="0.25">
      <c r="A109" s="43" t="s">
        <v>51</v>
      </c>
      <c r="B109" s="44">
        <f t="shared" si="21"/>
        <v>600</v>
      </c>
      <c r="C109" s="144" t="s">
        <v>60</v>
      </c>
      <c r="D109" s="44">
        <v>0</v>
      </c>
      <c r="E109" s="68">
        <v>600</v>
      </c>
      <c r="F109" s="68">
        <v>472</v>
      </c>
      <c r="G109" s="68">
        <v>128</v>
      </c>
      <c r="H109" s="68"/>
      <c r="I109" s="68">
        <f t="shared" si="20"/>
        <v>600</v>
      </c>
      <c r="J109" s="68"/>
      <c r="K109" s="68">
        <v>290</v>
      </c>
      <c r="L109" s="260">
        <f t="shared" si="16"/>
        <v>48.333333333333336</v>
      </c>
      <c r="M109" s="68"/>
      <c r="N109" s="68"/>
      <c r="O109" s="68"/>
      <c r="P109" s="68"/>
      <c r="Q109" s="227"/>
      <c r="R109" s="35"/>
      <c r="T109" s="41"/>
      <c r="U109" s="41"/>
      <c r="V109" s="41"/>
    </row>
    <row r="110" spans="1:22" ht="16.5" customHeight="1" x14ac:dyDescent="0.25">
      <c r="A110" s="43" t="s">
        <v>79</v>
      </c>
      <c r="B110" s="44">
        <f>SUM(I110)</f>
        <v>800</v>
      </c>
      <c r="C110" s="144" t="s">
        <v>60</v>
      </c>
      <c r="D110" s="44">
        <v>0</v>
      </c>
      <c r="E110" s="68">
        <v>800</v>
      </c>
      <c r="F110" s="68">
        <v>630</v>
      </c>
      <c r="G110" s="68">
        <v>170</v>
      </c>
      <c r="H110" s="68"/>
      <c r="I110" s="68">
        <f>SUM(F110:G110)</f>
        <v>800</v>
      </c>
      <c r="J110" s="68"/>
      <c r="K110" s="68">
        <v>0</v>
      </c>
      <c r="L110" s="260">
        <f t="shared" si="16"/>
        <v>0</v>
      </c>
      <c r="M110" s="68"/>
      <c r="N110" s="68"/>
      <c r="O110" s="68"/>
      <c r="P110" s="68"/>
      <c r="Q110" s="227"/>
      <c r="R110" s="35"/>
      <c r="T110" s="41"/>
      <c r="U110" s="41"/>
      <c r="V110" s="41"/>
    </row>
    <row r="111" spans="1:22" ht="16.5" customHeight="1" x14ac:dyDescent="0.25">
      <c r="A111" s="43" t="s">
        <v>80</v>
      </c>
      <c r="B111" s="44">
        <f>SUM(I111)</f>
        <v>1000</v>
      </c>
      <c r="C111" s="144" t="s">
        <v>60</v>
      </c>
      <c r="D111" s="44"/>
      <c r="E111" s="68">
        <v>1000</v>
      </c>
      <c r="F111" s="68">
        <v>787</v>
      </c>
      <c r="G111" s="68">
        <v>213</v>
      </c>
      <c r="H111" s="68"/>
      <c r="I111" s="68">
        <f>SUM(F111:G111)</f>
        <v>1000</v>
      </c>
      <c r="J111" s="68"/>
      <c r="K111" s="68">
        <v>0</v>
      </c>
      <c r="L111" s="260">
        <f t="shared" si="16"/>
        <v>0</v>
      </c>
      <c r="M111" s="68"/>
      <c r="N111" s="68"/>
      <c r="O111" s="68"/>
      <c r="P111" s="68"/>
      <c r="Q111" s="227"/>
      <c r="R111" s="35"/>
      <c r="T111" s="41"/>
      <c r="U111" s="41"/>
      <c r="V111" s="41"/>
    </row>
    <row r="112" spans="1:22" ht="16.5" customHeight="1" x14ac:dyDescent="0.25">
      <c r="A112" s="43" t="s">
        <v>81</v>
      </c>
      <c r="B112" s="44">
        <f t="shared" si="21"/>
        <v>100</v>
      </c>
      <c r="C112" s="144" t="s">
        <v>60</v>
      </c>
      <c r="D112" s="44">
        <v>0</v>
      </c>
      <c r="E112" s="68">
        <v>100</v>
      </c>
      <c r="F112" s="68">
        <v>78</v>
      </c>
      <c r="G112" s="68">
        <v>22</v>
      </c>
      <c r="H112" s="68"/>
      <c r="I112" s="68">
        <f t="shared" si="20"/>
        <v>100</v>
      </c>
      <c r="J112" s="68"/>
      <c r="K112" s="68">
        <v>0</v>
      </c>
      <c r="L112" s="260">
        <f t="shared" si="16"/>
        <v>0</v>
      </c>
      <c r="M112" s="68"/>
      <c r="N112" s="68"/>
      <c r="O112" s="68"/>
      <c r="P112" s="68"/>
      <c r="Q112" s="227"/>
      <c r="R112" s="35"/>
      <c r="T112" s="41"/>
      <c r="U112" s="41"/>
      <c r="V112" s="41"/>
    </row>
    <row r="113" spans="1:23" ht="16.5" customHeight="1" x14ac:dyDescent="0.25">
      <c r="A113" s="43" t="s">
        <v>82</v>
      </c>
      <c r="B113" s="44">
        <f t="shared" si="21"/>
        <v>100</v>
      </c>
      <c r="C113" s="144" t="s">
        <v>60</v>
      </c>
      <c r="D113" s="44">
        <v>0</v>
      </c>
      <c r="E113" s="68">
        <v>100</v>
      </c>
      <c r="F113" s="68">
        <v>79</v>
      </c>
      <c r="G113" s="68">
        <v>21</v>
      </c>
      <c r="H113" s="68"/>
      <c r="I113" s="68">
        <f t="shared" si="20"/>
        <v>100</v>
      </c>
      <c r="J113" s="68"/>
      <c r="K113" s="68">
        <v>35</v>
      </c>
      <c r="L113" s="260">
        <f t="shared" si="16"/>
        <v>35</v>
      </c>
      <c r="M113" s="68"/>
      <c r="N113" s="68"/>
      <c r="O113" s="68"/>
      <c r="P113" s="68"/>
      <c r="Q113" s="227"/>
      <c r="R113" s="35"/>
      <c r="T113" s="41"/>
      <c r="U113" s="41"/>
      <c r="V113" s="41"/>
      <c r="W113" s="37"/>
    </row>
    <row r="114" spans="1:23" x14ac:dyDescent="0.25">
      <c r="A114" s="73" t="s">
        <v>114</v>
      </c>
      <c r="B114" s="51">
        <f>D114+I114</f>
        <v>411419</v>
      </c>
      <c r="C114" s="39" t="s">
        <v>113</v>
      </c>
      <c r="D114" s="51">
        <f>9032+28560+227628-2794+107106</f>
        <v>369532</v>
      </c>
      <c r="E114" s="71">
        <v>46050</v>
      </c>
      <c r="F114" s="71">
        <f>36260-3278</f>
        <v>32982</v>
      </c>
      <c r="G114" s="71">
        <f>9790-885</f>
        <v>8905</v>
      </c>
      <c r="H114" s="71"/>
      <c r="I114" s="69">
        <f>SUM(F114:G114)</f>
        <v>41887</v>
      </c>
      <c r="J114" s="69"/>
      <c r="K114" s="69">
        <v>12461</v>
      </c>
      <c r="L114" s="265">
        <f t="shared" si="16"/>
        <v>29.749086828849048</v>
      </c>
      <c r="M114" s="71"/>
      <c r="N114" s="71"/>
      <c r="O114" s="71">
        <f>474912-470163-4749</f>
        <v>0</v>
      </c>
      <c r="P114" s="71"/>
      <c r="Q114" s="224">
        <f>4749-4749</f>
        <v>0</v>
      </c>
      <c r="R114" s="72"/>
      <c r="T114" s="41"/>
      <c r="U114" s="41"/>
      <c r="V114" s="3"/>
    </row>
    <row r="115" spans="1:23" x14ac:dyDescent="0.25">
      <c r="A115" s="74" t="s">
        <v>115</v>
      </c>
      <c r="B115" s="46">
        <f>SUM(I115)</f>
        <v>1000</v>
      </c>
      <c r="C115" s="145" t="s">
        <v>60</v>
      </c>
      <c r="D115" s="46">
        <v>0</v>
      </c>
      <c r="E115" s="53">
        <v>1000</v>
      </c>
      <c r="F115" s="53">
        <v>787</v>
      </c>
      <c r="G115" s="53">
        <v>213</v>
      </c>
      <c r="H115" s="53"/>
      <c r="I115" s="68">
        <f t="shared" si="20"/>
        <v>1000</v>
      </c>
      <c r="J115" s="68"/>
      <c r="K115" s="68">
        <v>0</v>
      </c>
      <c r="L115" s="260">
        <f t="shared" si="16"/>
        <v>0</v>
      </c>
      <c r="M115" s="53"/>
      <c r="N115" s="53"/>
      <c r="O115" s="53"/>
      <c r="P115" s="53"/>
      <c r="Q115" s="223"/>
      <c r="R115" s="35"/>
      <c r="T115" s="41"/>
      <c r="U115" s="41"/>
      <c r="W115" s="37"/>
    </row>
    <row r="116" spans="1:23" x14ac:dyDescent="0.25">
      <c r="A116" s="74" t="s">
        <v>116</v>
      </c>
      <c r="B116" s="46">
        <f>SUM(I116)</f>
        <v>4700</v>
      </c>
      <c r="C116" s="146" t="s">
        <v>60</v>
      </c>
      <c r="D116" s="46">
        <v>0</v>
      </c>
      <c r="E116" s="53">
        <v>14700</v>
      </c>
      <c r="F116" s="53">
        <f>11575-7874</f>
        <v>3701</v>
      </c>
      <c r="G116" s="53">
        <f>3125-2126</f>
        <v>999</v>
      </c>
      <c r="H116" s="53"/>
      <c r="I116" s="53">
        <f t="shared" ref="I116:I132" si="22">SUM(F116:G116)</f>
        <v>4700</v>
      </c>
      <c r="J116" s="53"/>
      <c r="K116" s="53">
        <v>0</v>
      </c>
      <c r="L116" s="260">
        <f t="shared" si="16"/>
        <v>0</v>
      </c>
      <c r="M116" s="53"/>
      <c r="N116" s="53"/>
      <c r="O116" s="53"/>
      <c r="P116" s="53"/>
      <c r="Q116" s="223"/>
      <c r="R116" s="35"/>
      <c r="T116" s="41"/>
      <c r="U116" s="41"/>
    </row>
    <row r="117" spans="1:23" x14ac:dyDescent="0.25">
      <c r="A117" s="120" t="s">
        <v>117</v>
      </c>
      <c r="B117" s="45">
        <f>D117+I117</f>
        <v>260230</v>
      </c>
      <c r="C117" s="147" t="s">
        <v>60</v>
      </c>
      <c r="D117" s="45">
        <f>12943</f>
        <v>12943</v>
      </c>
      <c r="E117" s="66">
        <v>250303</v>
      </c>
      <c r="F117" s="66">
        <f>197033+56+8662-4966</f>
        <v>200785</v>
      </c>
      <c r="G117" s="66">
        <f>53214+2338-1340-7710</f>
        <v>46502</v>
      </c>
      <c r="H117" s="66">
        <v>12164</v>
      </c>
      <c r="I117" s="66">
        <f t="shared" si="22"/>
        <v>247287</v>
      </c>
      <c r="J117" s="66">
        <v>12164</v>
      </c>
      <c r="K117" s="66">
        <v>204561</v>
      </c>
      <c r="L117" s="260">
        <f t="shared" si="16"/>
        <v>82.722100231714563</v>
      </c>
      <c r="M117" s="66"/>
      <c r="N117" s="66"/>
      <c r="O117" s="66">
        <v>238246</v>
      </c>
      <c r="P117" s="66">
        <v>238246</v>
      </c>
      <c r="Q117" s="225">
        <v>238246</v>
      </c>
      <c r="R117" s="35">
        <v>238246</v>
      </c>
      <c r="T117" s="41"/>
      <c r="U117" s="41"/>
    </row>
    <row r="118" spans="1:23" x14ac:dyDescent="0.25">
      <c r="A118" s="70" t="s">
        <v>118</v>
      </c>
      <c r="B118" s="51">
        <f t="shared" ref="B118:B133" si="23">SUM(I118)</f>
        <v>1000</v>
      </c>
      <c r="C118" s="148" t="s">
        <v>60</v>
      </c>
      <c r="D118" s="51">
        <v>0</v>
      </c>
      <c r="E118" s="71">
        <v>1000</v>
      </c>
      <c r="F118" s="71">
        <v>787</v>
      </c>
      <c r="G118" s="71">
        <v>213</v>
      </c>
      <c r="H118" s="71"/>
      <c r="I118" s="71">
        <f t="shared" si="22"/>
        <v>1000</v>
      </c>
      <c r="J118" s="71"/>
      <c r="K118" s="71">
        <v>1000</v>
      </c>
      <c r="L118" s="265">
        <f t="shared" si="16"/>
        <v>100</v>
      </c>
      <c r="M118" s="71"/>
      <c r="N118" s="71"/>
      <c r="O118" s="71">
        <v>1000</v>
      </c>
      <c r="P118" s="71">
        <v>1000</v>
      </c>
      <c r="Q118" s="224">
        <v>1000</v>
      </c>
      <c r="R118" s="72">
        <v>1000</v>
      </c>
      <c r="T118" s="41"/>
      <c r="U118" s="41"/>
    </row>
    <row r="119" spans="1:23" x14ac:dyDescent="0.25">
      <c r="A119" s="74" t="s">
        <v>119</v>
      </c>
      <c r="B119" s="46">
        <f t="shared" si="23"/>
        <v>10758</v>
      </c>
      <c r="C119" s="146" t="s">
        <v>60</v>
      </c>
      <c r="D119" s="46">
        <v>0</v>
      </c>
      <c r="E119" s="53">
        <v>10758</v>
      </c>
      <c r="F119" s="53">
        <f>3937+4534</f>
        <v>8471</v>
      </c>
      <c r="G119" s="53">
        <f>1063+1224</f>
        <v>2287</v>
      </c>
      <c r="H119" s="53"/>
      <c r="I119" s="53">
        <f t="shared" si="22"/>
        <v>10758</v>
      </c>
      <c r="J119" s="53"/>
      <c r="K119" s="53">
        <v>5249</v>
      </c>
      <c r="L119" s="260">
        <f t="shared" si="16"/>
        <v>48.79159695110615</v>
      </c>
      <c r="M119" s="53"/>
      <c r="N119" s="53"/>
      <c r="O119" s="53"/>
      <c r="P119" s="53"/>
      <c r="Q119" s="223"/>
      <c r="R119" s="35"/>
      <c r="T119" s="41"/>
      <c r="U119" s="41"/>
    </row>
    <row r="120" spans="1:23" x14ac:dyDescent="0.25">
      <c r="A120" s="74" t="s">
        <v>120</v>
      </c>
      <c r="B120" s="46">
        <f t="shared" si="23"/>
        <v>1061</v>
      </c>
      <c r="C120" s="146" t="s">
        <v>60</v>
      </c>
      <c r="D120" s="46"/>
      <c r="E120" s="53">
        <v>1061</v>
      </c>
      <c r="F120" s="53">
        <v>835</v>
      </c>
      <c r="G120" s="53">
        <v>226</v>
      </c>
      <c r="H120" s="53"/>
      <c r="I120" s="53">
        <f t="shared" si="22"/>
        <v>1061</v>
      </c>
      <c r="J120" s="53"/>
      <c r="K120" s="53">
        <v>730</v>
      </c>
      <c r="L120" s="260">
        <f t="shared" si="16"/>
        <v>68.80301602262017</v>
      </c>
      <c r="M120" s="53"/>
      <c r="N120" s="53"/>
      <c r="O120" s="53"/>
      <c r="P120" s="53"/>
      <c r="Q120" s="223"/>
      <c r="R120" s="35"/>
      <c r="T120" s="41"/>
      <c r="U120" s="41"/>
    </row>
    <row r="121" spans="1:23" x14ac:dyDescent="0.25">
      <c r="A121" s="74" t="s">
        <v>121</v>
      </c>
      <c r="B121" s="46">
        <f t="shared" si="23"/>
        <v>410</v>
      </c>
      <c r="C121" s="146" t="s">
        <v>60</v>
      </c>
      <c r="D121" s="46"/>
      <c r="E121" s="53">
        <v>410</v>
      </c>
      <c r="F121" s="53">
        <v>323</v>
      </c>
      <c r="G121" s="53">
        <v>87</v>
      </c>
      <c r="H121" s="53"/>
      <c r="I121" s="53">
        <f t="shared" si="22"/>
        <v>410</v>
      </c>
      <c r="J121" s="53"/>
      <c r="K121" s="53">
        <v>219</v>
      </c>
      <c r="L121" s="260">
        <f t="shared" si="16"/>
        <v>53.41463414634147</v>
      </c>
      <c r="M121" s="53"/>
      <c r="N121" s="53"/>
      <c r="O121" s="53"/>
      <c r="P121" s="53"/>
      <c r="Q121" s="223"/>
      <c r="R121" s="35"/>
      <c r="T121" s="41"/>
      <c r="U121" s="41"/>
      <c r="V121" s="37"/>
    </row>
    <row r="122" spans="1:23" x14ac:dyDescent="0.25">
      <c r="A122" s="74" t="s">
        <v>122</v>
      </c>
      <c r="B122" s="46">
        <f t="shared" si="23"/>
        <v>500</v>
      </c>
      <c r="C122" s="146" t="s">
        <v>60</v>
      </c>
      <c r="D122" s="46"/>
      <c r="E122" s="53">
        <v>500</v>
      </c>
      <c r="F122" s="53">
        <v>394</v>
      </c>
      <c r="G122" s="53">
        <v>106</v>
      </c>
      <c r="H122" s="53"/>
      <c r="I122" s="53">
        <f t="shared" si="22"/>
        <v>500</v>
      </c>
      <c r="J122" s="53"/>
      <c r="K122" s="53">
        <v>0</v>
      </c>
      <c r="L122" s="260">
        <f t="shared" si="16"/>
        <v>0</v>
      </c>
      <c r="M122" s="53"/>
      <c r="N122" s="53"/>
      <c r="O122" s="53"/>
      <c r="P122" s="53"/>
      <c r="Q122" s="223"/>
      <c r="R122" s="35"/>
      <c r="T122" s="41"/>
      <c r="U122" s="41"/>
    </row>
    <row r="123" spans="1:23" x14ac:dyDescent="0.25">
      <c r="A123" s="118" t="s">
        <v>123</v>
      </c>
      <c r="B123" s="119">
        <f t="shared" si="23"/>
        <v>260</v>
      </c>
      <c r="C123" s="149" t="s">
        <v>60</v>
      </c>
      <c r="D123" s="119">
        <v>0</v>
      </c>
      <c r="E123" s="69">
        <v>260</v>
      </c>
      <c r="F123" s="69">
        <v>205</v>
      </c>
      <c r="G123" s="69">
        <v>55</v>
      </c>
      <c r="H123" s="69"/>
      <c r="I123" s="69">
        <f t="shared" si="22"/>
        <v>260</v>
      </c>
      <c r="J123" s="69"/>
      <c r="K123" s="69">
        <v>238</v>
      </c>
      <c r="L123" s="265">
        <f t="shared" si="16"/>
        <v>91.538461538461533</v>
      </c>
      <c r="M123" s="69">
        <v>55</v>
      </c>
      <c r="N123" s="69">
        <v>51</v>
      </c>
      <c r="O123" s="69"/>
      <c r="P123" s="69"/>
      <c r="Q123" s="234"/>
      <c r="R123" s="72"/>
      <c r="T123" s="41"/>
      <c r="U123" s="41"/>
    </row>
    <row r="124" spans="1:23" x14ac:dyDescent="0.25">
      <c r="A124" s="118" t="s">
        <v>124</v>
      </c>
      <c r="B124" s="119">
        <f t="shared" si="23"/>
        <v>919</v>
      </c>
      <c r="C124" s="149" t="s">
        <v>60</v>
      </c>
      <c r="D124" s="119">
        <v>0</v>
      </c>
      <c r="E124" s="69">
        <v>1000</v>
      </c>
      <c r="F124" s="69">
        <f>787-64</f>
        <v>723</v>
      </c>
      <c r="G124" s="69">
        <f>213-17</f>
        <v>196</v>
      </c>
      <c r="H124" s="69"/>
      <c r="I124" s="69">
        <f t="shared" si="22"/>
        <v>919</v>
      </c>
      <c r="J124" s="69"/>
      <c r="K124" s="69">
        <v>0</v>
      </c>
      <c r="L124" s="265">
        <f t="shared" si="16"/>
        <v>0</v>
      </c>
      <c r="M124" s="69">
        <v>196</v>
      </c>
      <c r="N124" s="69"/>
      <c r="O124" s="69"/>
      <c r="P124" s="69"/>
      <c r="Q124" s="234"/>
      <c r="R124" s="72"/>
      <c r="T124" s="41"/>
      <c r="U124" s="41"/>
    </row>
    <row r="125" spans="1:23" x14ac:dyDescent="0.25">
      <c r="A125" s="118" t="s">
        <v>164</v>
      </c>
      <c r="B125" s="119">
        <f t="shared" si="23"/>
        <v>81</v>
      </c>
      <c r="C125" s="149" t="s">
        <v>60</v>
      </c>
      <c r="D125" s="119">
        <v>0</v>
      </c>
      <c r="E125" s="69">
        <v>0</v>
      </c>
      <c r="F125" s="69">
        <v>64</v>
      </c>
      <c r="G125" s="69">
        <v>17</v>
      </c>
      <c r="H125" s="69"/>
      <c r="I125" s="69">
        <f t="shared" si="22"/>
        <v>81</v>
      </c>
      <c r="J125" s="69"/>
      <c r="K125" s="69">
        <v>221</v>
      </c>
      <c r="L125" s="265">
        <f t="shared" si="16"/>
        <v>272.83950617283949</v>
      </c>
      <c r="M125" s="69">
        <v>17</v>
      </c>
      <c r="N125" s="69">
        <v>47</v>
      </c>
      <c r="O125" s="69"/>
      <c r="P125" s="69"/>
      <c r="Q125" s="234"/>
      <c r="R125" s="72"/>
      <c r="T125" s="41"/>
      <c r="U125" s="41"/>
    </row>
    <row r="126" spans="1:23" ht="31.5" x14ac:dyDescent="0.25">
      <c r="A126" s="114" t="s">
        <v>165</v>
      </c>
      <c r="B126" s="44">
        <f t="shared" si="23"/>
        <v>10160</v>
      </c>
      <c r="C126" s="144" t="s">
        <v>60</v>
      </c>
      <c r="D126" s="44">
        <v>0</v>
      </c>
      <c r="E126" s="68">
        <v>0</v>
      </c>
      <c r="F126" s="68">
        <v>8000</v>
      </c>
      <c r="G126" s="68">
        <v>2160</v>
      </c>
      <c r="H126" s="68"/>
      <c r="I126" s="68">
        <f t="shared" si="22"/>
        <v>10160</v>
      </c>
      <c r="J126" s="68"/>
      <c r="K126" s="68">
        <v>7493</v>
      </c>
      <c r="L126" s="260">
        <f t="shared" si="16"/>
        <v>73.75</v>
      </c>
      <c r="M126" s="68"/>
      <c r="N126" s="68"/>
      <c r="O126" s="68"/>
      <c r="P126" s="68"/>
      <c r="Q126" s="227"/>
      <c r="R126" s="35"/>
      <c r="T126" s="41"/>
      <c r="U126" s="41"/>
    </row>
    <row r="127" spans="1:23" x14ac:dyDescent="0.25">
      <c r="A127" s="114" t="s">
        <v>166</v>
      </c>
      <c r="B127" s="44">
        <f t="shared" si="23"/>
        <v>500</v>
      </c>
      <c r="C127" s="144" t="s">
        <v>60</v>
      </c>
      <c r="D127" s="44">
        <v>0</v>
      </c>
      <c r="E127" s="68">
        <v>0</v>
      </c>
      <c r="F127" s="68">
        <v>394</v>
      </c>
      <c r="G127" s="68">
        <v>106</v>
      </c>
      <c r="H127" s="68"/>
      <c r="I127" s="68">
        <f t="shared" si="22"/>
        <v>500</v>
      </c>
      <c r="J127" s="68"/>
      <c r="K127" s="68">
        <v>0</v>
      </c>
      <c r="L127" s="260">
        <f t="shared" si="16"/>
        <v>0</v>
      </c>
      <c r="M127" s="68"/>
      <c r="N127" s="68"/>
      <c r="O127" s="68"/>
      <c r="P127" s="68"/>
      <c r="Q127" s="227"/>
      <c r="R127" s="35"/>
      <c r="T127" s="41"/>
      <c r="U127" s="41"/>
    </row>
    <row r="128" spans="1:23" x14ac:dyDescent="0.25">
      <c r="A128" s="114" t="s">
        <v>167</v>
      </c>
      <c r="B128" s="44">
        <f t="shared" si="23"/>
        <v>2012</v>
      </c>
      <c r="C128" s="144" t="s">
        <v>60</v>
      </c>
      <c r="D128" s="44">
        <v>0</v>
      </c>
      <c r="E128" s="68">
        <v>0</v>
      </c>
      <c r="F128" s="68">
        <v>1584</v>
      </c>
      <c r="G128" s="68">
        <v>428</v>
      </c>
      <c r="H128" s="68"/>
      <c r="I128" s="68">
        <f t="shared" si="22"/>
        <v>2012</v>
      </c>
      <c r="J128" s="68"/>
      <c r="K128" s="68">
        <v>2012</v>
      </c>
      <c r="L128" s="260">
        <f t="shared" si="16"/>
        <v>100</v>
      </c>
      <c r="M128" s="68"/>
      <c r="N128" s="68"/>
      <c r="O128" s="68"/>
      <c r="P128" s="68"/>
      <c r="Q128" s="227"/>
      <c r="R128" s="35"/>
      <c r="T128" s="41"/>
      <c r="U128" s="41"/>
    </row>
    <row r="129" spans="1:25" ht="31.5" x14ac:dyDescent="0.25">
      <c r="A129" s="114" t="s">
        <v>168</v>
      </c>
      <c r="B129" s="44">
        <f>SUM(I129)</f>
        <v>1292</v>
      </c>
      <c r="C129" s="144" t="s">
        <v>60</v>
      </c>
      <c r="D129" s="44">
        <v>0</v>
      </c>
      <c r="E129" s="68">
        <v>0</v>
      </c>
      <c r="F129" s="68">
        <f>400+618</f>
        <v>1018</v>
      </c>
      <c r="G129" s="68">
        <f>108+166</f>
        <v>274</v>
      </c>
      <c r="H129" s="68"/>
      <c r="I129" s="68">
        <f>SUM(F129:G129)</f>
        <v>1292</v>
      </c>
      <c r="J129" s="68"/>
      <c r="K129" s="68">
        <v>1440</v>
      </c>
      <c r="L129" s="260">
        <f t="shared" si="16"/>
        <v>111.45510835913312</v>
      </c>
      <c r="M129" s="68"/>
      <c r="N129" s="68"/>
      <c r="O129" s="68"/>
      <c r="P129" s="68"/>
      <c r="Q129" s="227"/>
      <c r="R129" s="35"/>
      <c r="T129" s="41"/>
      <c r="U129" s="41"/>
    </row>
    <row r="130" spans="1:25" x14ac:dyDescent="0.25">
      <c r="A130" s="114" t="s">
        <v>169</v>
      </c>
      <c r="B130" s="44">
        <f>SUM(I130)</f>
        <v>318</v>
      </c>
      <c r="C130" s="144" t="s">
        <v>60</v>
      </c>
      <c r="D130" s="44">
        <v>0</v>
      </c>
      <c r="E130" s="68">
        <v>0</v>
      </c>
      <c r="F130" s="68">
        <v>251</v>
      </c>
      <c r="G130" s="68">
        <v>67</v>
      </c>
      <c r="H130" s="68"/>
      <c r="I130" s="68">
        <f>SUM(F130:G130)</f>
        <v>318</v>
      </c>
      <c r="J130" s="68"/>
      <c r="K130" s="68">
        <v>318</v>
      </c>
      <c r="L130" s="260">
        <f t="shared" si="16"/>
        <v>100</v>
      </c>
      <c r="M130" s="68"/>
      <c r="N130" s="68"/>
      <c r="O130" s="68"/>
      <c r="P130" s="68"/>
      <c r="Q130" s="227"/>
      <c r="R130" s="35"/>
      <c r="T130" s="41"/>
      <c r="U130" s="41"/>
    </row>
    <row r="131" spans="1:25" x14ac:dyDescent="0.25">
      <c r="A131" s="114" t="s">
        <v>170</v>
      </c>
      <c r="B131" s="44">
        <f>SUM(I131)</f>
        <v>381</v>
      </c>
      <c r="C131" s="144" t="s">
        <v>60</v>
      </c>
      <c r="D131" s="44">
        <v>0</v>
      </c>
      <c r="E131" s="68">
        <v>0</v>
      </c>
      <c r="F131" s="68">
        <v>300</v>
      </c>
      <c r="G131" s="68">
        <v>81</v>
      </c>
      <c r="H131" s="68"/>
      <c r="I131" s="68">
        <f>SUM(F131:G131)</f>
        <v>381</v>
      </c>
      <c r="J131" s="68"/>
      <c r="K131" s="68">
        <v>381</v>
      </c>
      <c r="L131" s="260">
        <f t="shared" si="16"/>
        <v>100</v>
      </c>
      <c r="M131" s="68"/>
      <c r="N131" s="68"/>
      <c r="O131" s="68"/>
      <c r="P131" s="68"/>
      <c r="Q131" s="227"/>
      <c r="R131" s="35"/>
      <c r="T131" s="41"/>
      <c r="U131" s="41"/>
    </row>
    <row r="132" spans="1:25" x14ac:dyDescent="0.25">
      <c r="A132" s="124" t="s">
        <v>171</v>
      </c>
      <c r="B132" s="44">
        <f t="shared" si="23"/>
        <v>427</v>
      </c>
      <c r="C132" s="144" t="s">
        <v>60</v>
      </c>
      <c r="D132" s="44">
        <v>0</v>
      </c>
      <c r="E132" s="68">
        <v>427</v>
      </c>
      <c r="F132" s="68">
        <f>100+236</f>
        <v>336</v>
      </c>
      <c r="G132" s="68">
        <f>27+64</f>
        <v>91</v>
      </c>
      <c r="H132" s="68"/>
      <c r="I132" s="68">
        <f t="shared" si="22"/>
        <v>427</v>
      </c>
      <c r="J132" s="68"/>
      <c r="K132" s="68">
        <v>231</v>
      </c>
      <c r="L132" s="260">
        <f t="shared" si="16"/>
        <v>54.098360655737707</v>
      </c>
      <c r="M132" s="68"/>
      <c r="N132" s="68"/>
      <c r="O132" s="68"/>
      <c r="P132" s="68"/>
      <c r="Q132" s="227"/>
      <c r="R132" s="35"/>
      <c r="T132" s="41"/>
      <c r="U132" s="41"/>
      <c r="W132" s="37"/>
    </row>
    <row r="133" spans="1:25" ht="16.5" thickBot="1" x14ac:dyDescent="0.3">
      <c r="A133" s="287" t="s">
        <v>172</v>
      </c>
      <c r="B133" s="45">
        <f t="shared" si="23"/>
        <v>71</v>
      </c>
      <c r="C133" s="147" t="s">
        <v>60</v>
      </c>
      <c r="D133" s="45">
        <v>0</v>
      </c>
      <c r="E133" s="66">
        <v>0</v>
      </c>
      <c r="F133" s="66">
        <v>56</v>
      </c>
      <c r="G133" s="66">
        <v>15</v>
      </c>
      <c r="H133" s="66"/>
      <c r="I133" s="66">
        <f>SUM(F133:G133)</f>
        <v>71</v>
      </c>
      <c r="J133" s="66"/>
      <c r="K133" s="66">
        <v>0</v>
      </c>
      <c r="L133" s="261">
        <f t="shared" si="16"/>
        <v>0</v>
      </c>
      <c r="M133" s="66"/>
      <c r="N133" s="66"/>
      <c r="O133" s="66"/>
      <c r="P133" s="66"/>
      <c r="Q133" s="225"/>
      <c r="R133" s="95"/>
      <c r="T133" s="41"/>
      <c r="U133" s="41"/>
      <c r="W133" s="37"/>
    </row>
    <row r="134" spans="1:25" ht="16.5" customHeight="1" thickBot="1" x14ac:dyDescent="0.3">
      <c r="A134" s="27" t="s">
        <v>5</v>
      </c>
      <c r="B134" s="47">
        <f>SUM(B102:B133)</f>
        <v>731875</v>
      </c>
      <c r="C134" s="138"/>
      <c r="D134" s="47">
        <f>SUM(D102:D133)</f>
        <v>388692</v>
      </c>
      <c r="E134" s="47">
        <f>SUM(E102:E133)</f>
        <v>345628</v>
      </c>
      <c r="F134" s="47">
        <f>SUM(F102:F133)</f>
        <v>276292</v>
      </c>
      <c r="G134" s="47">
        <f>SUM(G102:G133)</f>
        <v>66891</v>
      </c>
      <c r="H134" s="47">
        <f>SUM(H102:H132)</f>
        <v>12164</v>
      </c>
      <c r="I134" s="47">
        <f>SUM(I102:I133)</f>
        <v>343183</v>
      </c>
      <c r="J134" s="47">
        <f>SUM(J102:J133)</f>
        <v>12164</v>
      </c>
      <c r="K134" s="47">
        <f>SUM(K102:K133)</f>
        <v>247303</v>
      </c>
      <c r="L134" s="258">
        <f t="shared" si="16"/>
        <v>72.061553165512279</v>
      </c>
      <c r="M134" s="47">
        <f>SUM(M102:M132)</f>
        <v>268</v>
      </c>
      <c r="N134" s="47">
        <f>SUM(N101:N133)</f>
        <v>98</v>
      </c>
      <c r="O134" s="47">
        <f>SUM(O102:O132)</f>
        <v>239246</v>
      </c>
      <c r="P134" s="47">
        <f>SUM(P102:P132)</f>
        <v>239246</v>
      </c>
      <c r="Q134" s="47">
        <f>SUM(Q102:Q132)</f>
        <v>239246</v>
      </c>
      <c r="R134" s="78">
        <f>SUM(R102:R132)</f>
        <v>239246</v>
      </c>
      <c r="T134" s="41"/>
      <c r="U134" s="41"/>
      <c r="V134" s="37"/>
      <c r="X134" s="37"/>
      <c r="Y134" s="37"/>
    </row>
    <row r="135" spans="1:25" ht="16.5" customHeight="1" x14ac:dyDescent="0.25">
      <c r="A135" s="31" t="s">
        <v>155</v>
      </c>
      <c r="B135" s="42"/>
      <c r="C135" s="132"/>
      <c r="D135" s="42"/>
      <c r="E135" s="133"/>
      <c r="F135" s="133"/>
      <c r="G135" s="133"/>
      <c r="H135" s="133"/>
      <c r="I135" s="133"/>
      <c r="J135" s="133"/>
      <c r="K135" s="133"/>
      <c r="L135" s="256"/>
      <c r="M135" s="133"/>
      <c r="N135" s="133"/>
      <c r="O135" s="133"/>
      <c r="P135" s="133"/>
      <c r="Q135" s="133"/>
      <c r="R135" s="136"/>
      <c r="T135" s="41"/>
      <c r="U135" s="41"/>
      <c r="V135" s="37"/>
      <c r="X135" s="37"/>
      <c r="Y135" s="37"/>
    </row>
    <row r="136" spans="1:25" ht="35.25" customHeight="1" thickBot="1" x14ac:dyDescent="0.3">
      <c r="A136" s="38" t="s">
        <v>156</v>
      </c>
      <c r="B136" s="198">
        <f>SUM(I136)</f>
        <v>5</v>
      </c>
      <c r="C136" s="197" t="s">
        <v>60</v>
      </c>
      <c r="D136" s="198">
        <v>0</v>
      </c>
      <c r="E136" s="199">
        <v>0</v>
      </c>
      <c r="F136" s="199">
        <v>4</v>
      </c>
      <c r="G136" s="199">
        <v>1</v>
      </c>
      <c r="H136" s="199"/>
      <c r="I136" s="199">
        <f>SUM(F136:G136)</f>
        <v>5</v>
      </c>
      <c r="J136" s="199"/>
      <c r="K136" s="199">
        <v>5</v>
      </c>
      <c r="L136" s="266">
        <f t="shared" si="16"/>
        <v>100</v>
      </c>
      <c r="M136" s="199"/>
      <c r="N136" s="199"/>
      <c r="O136" s="199"/>
      <c r="P136" s="199"/>
      <c r="Q136" s="199"/>
      <c r="R136" s="200"/>
      <c r="T136" s="41"/>
      <c r="U136" s="41"/>
      <c r="V136" s="37"/>
      <c r="X136" s="37"/>
      <c r="Y136" s="37"/>
    </row>
    <row r="137" spans="1:25" ht="16.5" customHeight="1" thickBot="1" x14ac:dyDescent="0.3">
      <c r="A137" s="27" t="s">
        <v>5</v>
      </c>
      <c r="B137" s="47">
        <f>SUM(B136)</f>
        <v>5</v>
      </c>
      <c r="C137" s="138"/>
      <c r="D137" s="47">
        <f>SUM(D136)</f>
        <v>0</v>
      </c>
      <c r="E137" s="47">
        <f>SUM(E136)</f>
        <v>0</v>
      </c>
      <c r="F137" s="47">
        <f>SUM(F136)</f>
        <v>4</v>
      </c>
      <c r="G137" s="47">
        <f>SUM(G136)</f>
        <v>1</v>
      </c>
      <c r="H137" s="47"/>
      <c r="I137" s="47">
        <f>SUM(I136)</f>
        <v>5</v>
      </c>
      <c r="J137" s="77"/>
      <c r="K137" s="77">
        <f>SUM(K136)</f>
        <v>5</v>
      </c>
      <c r="L137" s="268">
        <f t="shared" si="16"/>
        <v>100</v>
      </c>
      <c r="M137" s="77">
        <v>0</v>
      </c>
      <c r="N137" s="77">
        <v>0</v>
      </c>
      <c r="O137" s="77">
        <v>0</v>
      </c>
      <c r="P137" s="77">
        <v>0</v>
      </c>
      <c r="Q137" s="77">
        <v>0</v>
      </c>
      <c r="R137" s="78">
        <v>0</v>
      </c>
      <c r="T137" s="41"/>
      <c r="U137" s="41"/>
      <c r="V137" s="37"/>
      <c r="X137" s="37"/>
      <c r="Y137" s="37"/>
    </row>
    <row r="138" spans="1:25" ht="16.5" customHeight="1" x14ac:dyDescent="0.25">
      <c r="A138" s="31" t="s">
        <v>185</v>
      </c>
      <c r="B138" s="67"/>
      <c r="C138" s="143"/>
      <c r="D138" s="67"/>
      <c r="E138" s="90"/>
      <c r="F138" s="90"/>
      <c r="G138" s="90"/>
      <c r="H138" s="90"/>
      <c r="I138" s="90"/>
      <c r="J138" s="90"/>
      <c r="K138" s="90"/>
      <c r="L138" s="256"/>
      <c r="M138" s="90"/>
      <c r="N138" s="90"/>
      <c r="O138" s="90"/>
      <c r="P138" s="90"/>
      <c r="Q138" s="90"/>
      <c r="R138" s="136"/>
      <c r="T138" s="37"/>
      <c r="U138" s="37"/>
    </row>
    <row r="139" spans="1:25" ht="31.5" customHeight="1" thickBot="1" x14ac:dyDescent="0.3">
      <c r="A139" s="62" t="s">
        <v>91</v>
      </c>
      <c r="B139" s="117">
        <f>SUM(I139)</f>
        <v>94</v>
      </c>
      <c r="C139" s="150" t="s">
        <v>60</v>
      </c>
      <c r="D139" s="117">
        <v>0</v>
      </c>
      <c r="E139" s="151">
        <v>94</v>
      </c>
      <c r="F139" s="151">
        <v>74</v>
      </c>
      <c r="G139" s="151">
        <v>20</v>
      </c>
      <c r="H139" s="151"/>
      <c r="I139" s="151">
        <f>SUM(F139:G139)</f>
        <v>94</v>
      </c>
      <c r="J139" s="151"/>
      <c r="K139" s="151">
        <v>24</v>
      </c>
      <c r="L139" s="261">
        <f t="shared" si="16"/>
        <v>25.531914893617021</v>
      </c>
      <c r="M139" s="151"/>
      <c r="N139" s="151"/>
      <c r="O139" s="151"/>
      <c r="P139" s="151"/>
      <c r="Q139" s="151"/>
      <c r="R139" s="152"/>
      <c r="T139" s="37"/>
      <c r="U139" s="37"/>
    </row>
    <row r="140" spans="1:25" ht="16.5" customHeight="1" thickBot="1" x14ac:dyDescent="0.3">
      <c r="A140" s="27" t="s">
        <v>5</v>
      </c>
      <c r="B140" s="47">
        <f>SUM(B139)</f>
        <v>94</v>
      </c>
      <c r="C140" s="138"/>
      <c r="D140" s="47">
        <v>0</v>
      </c>
      <c r="E140" s="77">
        <f>SUM(E139)</f>
        <v>94</v>
      </c>
      <c r="F140" s="77">
        <f>SUM(F139)</f>
        <v>74</v>
      </c>
      <c r="G140" s="77">
        <f>SUM(G139)</f>
        <v>20</v>
      </c>
      <c r="H140" s="77"/>
      <c r="I140" s="77">
        <f>SUM(I139)</f>
        <v>94</v>
      </c>
      <c r="J140" s="77"/>
      <c r="K140" s="77">
        <f>SUM(K139)</f>
        <v>24</v>
      </c>
      <c r="L140" s="258">
        <f t="shared" si="16"/>
        <v>25.531914893617021</v>
      </c>
      <c r="M140" s="77">
        <v>0</v>
      </c>
      <c r="N140" s="77">
        <v>0</v>
      </c>
      <c r="O140" s="77">
        <v>0</v>
      </c>
      <c r="P140" s="77">
        <v>0</v>
      </c>
      <c r="Q140" s="77">
        <v>0</v>
      </c>
      <c r="R140" s="78">
        <v>0</v>
      </c>
      <c r="T140" s="37"/>
      <c r="U140" s="37"/>
      <c r="V140" s="37"/>
    </row>
    <row r="141" spans="1:25" ht="16.5" customHeight="1" x14ac:dyDescent="0.25">
      <c r="A141" s="31" t="s">
        <v>157</v>
      </c>
      <c r="B141" s="42"/>
      <c r="C141" s="132"/>
      <c r="D141" s="42"/>
      <c r="E141" s="133"/>
      <c r="F141" s="133"/>
      <c r="G141" s="133"/>
      <c r="H141" s="133"/>
      <c r="I141" s="133"/>
      <c r="J141" s="133"/>
      <c r="K141" s="133"/>
      <c r="L141" s="256"/>
      <c r="M141" s="133"/>
      <c r="N141" s="133"/>
      <c r="O141" s="133"/>
      <c r="P141" s="133"/>
      <c r="Q141" s="133"/>
      <c r="R141" s="136"/>
      <c r="T141" s="37"/>
      <c r="U141" s="37"/>
      <c r="V141" s="37"/>
    </row>
    <row r="142" spans="1:25" ht="16.5" customHeight="1" thickBot="1" x14ac:dyDescent="0.3">
      <c r="A142" s="62" t="s">
        <v>158</v>
      </c>
      <c r="B142" s="117">
        <f>SUM(I142)</f>
        <v>16</v>
      </c>
      <c r="C142" s="150" t="s">
        <v>60</v>
      </c>
      <c r="D142" s="117"/>
      <c r="E142" s="151">
        <v>0</v>
      </c>
      <c r="F142" s="151">
        <v>13</v>
      </c>
      <c r="G142" s="151">
        <v>3</v>
      </c>
      <c r="H142" s="151"/>
      <c r="I142" s="151">
        <f>SUM(F142:G142)</f>
        <v>16</v>
      </c>
      <c r="J142" s="151"/>
      <c r="K142" s="151">
        <v>24</v>
      </c>
      <c r="L142" s="261">
        <f t="shared" si="16"/>
        <v>150</v>
      </c>
      <c r="M142" s="151"/>
      <c r="N142" s="151"/>
      <c r="O142" s="151"/>
      <c r="P142" s="151"/>
      <c r="Q142" s="151"/>
      <c r="R142" s="152"/>
      <c r="T142" s="37"/>
      <c r="U142" s="37"/>
      <c r="V142" s="37"/>
    </row>
    <row r="143" spans="1:25" ht="16.5" customHeight="1" thickBot="1" x14ac:dyDescent="0.3">
      <c r="A143" s="27" t="s">
        <v>5</v>
      </c>
      <c r="B143" s="47">
        <f>SUM(B142)</f>
        <v>16</v>
      </c>
      <c r="C143" s="138"/>
      <c r="D143" s="47"/>
      <c r="E143" s="77">
        <f>SUM(E142)</f>
        <v>0</v>
      </c>
      <c r="F143" s="77">
        <f>SUM(F142)</f>
        <v>13</v>
      </c>
      <c r="G143" s="77">
        <f>SUM(G142)</f>
        <v>3</v>
      </c>
      <c r="H143" s="77"/>
      <c r="I143" s="77">
        <f>SUM(I142)</f>
        <v>16</v>
      </c>
      <c r="J143" s="77"/>
      <c r="K143" s="77">
        <f>SUM(K142)</f>
        <v>24</v>
      </c>
      <c r="L143" s="258">
        <f t="shared" si="16"/>
        <v>150</v>
      </c>
      <c r="M143" s="77">
        <v>0</v>
      </c>
      <c r="N143" s="77">
        <v>0</v>
      </c>
      <c r="O143" s="77">
        <v>0</v>
      </c>
      <c r="P143" s="77">
        <v>0</v>
      </c>
      <c r="Q143" s="77">
        <v>0</v>
      </c>
      <c r="R143" s="78">
        <v>0</v>
      </c>
      <c r="T143" s="37"/>
      <c r="U143" s="37"/>
      <c r="V143" s="37"/>
    </row>
    <row r="144" spans="1:25" ht="16.5" customHeight="1" x14ac:dyDescent="0.25">
      <c r="A144" s="31" t="s">
        <v>159</v>
      </c>
      <c r="B144" s="42"/>
      <c r="C144" s="132"/>
      <c r="D144" s="42"/>
      <c r="E144" s="133"/>
      <c r="F144" s="133"/>
      <c r="G144" s="133"/>
      <c r="H144" s="133"/>
      <c r="I144" s="133"/>
      <c r="J144" s="133"/>
      <c r="K144" s="133"/>
      <c r="L144" s="256"/>
      <c r="M144" s="133"/>
      <c r="N144" s="133"/>
      <c r="O144" s="133"/>
      <c r="P144" s="133"/>
      <c r="Q144" s="133"/>
      <c r="R144" s="136"/>
      <c r="T144" s="37"/>
      <c r="U144" s="37"/>
      <c r="V144" s="37"/>
    </row>
    <row r="145" spans="1:22" ht="16.5" customHeight="1" thickBot="1" x14ac:dyDescent="0.3">
      <c r="A145" s="62" t="s">
        <v>160</v>
      </c>
      <c r="B145" s="117">
        <f>SUM(I145)</f>
        <v>138</v>
      </c>
      <c r="C145" s="150" t="s">
        <v>60</v>
      </c>
      <c r="D145" s="117">
        <v>0</v>
      </c>
      <c r="E145" s="151">
        <v>0</v>
      </c>
      <c r="F145" s="151">
        <v>109</v>
      </c>
      <c r="G145" s="151">
        <v>29</v>
      </c>
      <c r="H145" s="151"/>
      <c r="I145" s="151">
        <f>SUM(F145:G145)</f>
        <v>138</v>
      </c>
      <c r="J145" s="151"/>
      <c r="K145" s="151">
        <v>212</v>
      </c>
      <c r="L145" s="261">
        <f t="shared" si="16"/>
        <v>153.62318840579709</v>
      </c>
      <c r="M145" s="151"/>
      <c r="N145" s="151"/>
      <c r="O145" s="151"/>
      <c r="P145" s="151"/>
      <c r="Q145" s="151"/>
      <c r="R145" s="152"/>
      <c r="T145" s="37"/>
      <c r="U145" s="37"/>
      <c r="V145" s="37"/>
    </row>
    <row r="146" spans="1:22" ht="16.5" customHeight="1" thickBot="1" x14ac:dyDescent="0.3">
      <c r="A146" s="27" t="s">
        <v>5</v>
      </c>
      <c r="B146" s="47">
        <f>SUM(B145)</f>
        <v>138</v>
      </c>
      <c r="C146" s="138"/>
      <c r="D146" s="47">
        <f>SUM(D145)</f>
        <v>0</v>
      </c>
      <c r="E146" s="47">
        <f>SUM(E145)</f>
        <v>0</v>
      </c>
      <c r="F146" s="47">
        <f>SUM(F145)</f>
        <v>109</v>
      </c>
      <c r="G146" s="47">
        <f>SUM(G145)</f>
        <v>29</v>
      </c>
      <c r="H146" s="47"/>
      <c r="I146" s="47">
        <f>SUM(I145)</f>
        <v>138</v>
      </c>
      <c r="J146" s="77"/>
      <c r="K146" s="77">
        <f>SUM(K145)</f>
        <v>212</v>
      </c>
      <c r="L146" s="258">
        <f t="shared" si="16"/>
        <v>153.62318840579709</v>
      </c>
      <c r="M146" s="77">
        <v>0</v>
      </c>
      <c r="N146" s="77">
        <v>0</v>
      </c>
      <c r="O146" s="77">
        <v>0</v>
      </c>
      <c r="P146" s="77">
        <v>0</v>
      </c>
      <c r="Q146" s="77">
        <v>0</v>
      </c>
      <c r="R146" s="78">
        <v>0</v>
      </c>
      <c r="T146" s="37"/>
      <c r="U146" s="37"/>
      <c r="V146" s="37"/>
    </row>
    <row r="147" spans="1:22" ht="16.5" customHeight="1" x14ac:dyDescent="0.25">
      <c r="A147" s="31" t="s">
        <v>13</v>
      </c>
      <c r="B147" s="67"/>
      <c r="C147" s="143"/>
      <c r="D147" s="67"/>
      <c r="E147" s="90"/>
      <c r="F147" s="90"/>
      <c r="G147" s="90"/>
      <c r="H147" s="90"/>
      <c r="I147" s="90"/>
      <c r="J147" s="90"/>
      <c r="K147" s="90"/>
      <c r="L147" s="256"/>
      <c r="M147" s="90"/>
      <c r="N147" s="90"/>
      <c r="O147" s="90"/>
      <c r="P147" s="90"/>
      <c r="Q147" s="90"/>
      <c r="R147" s="136"/>
    </row>
    <row r="148" spans="1:22" ht="16.5" customHeight="1" x14ac:dyDescent="0.25">
      <c r="A148" s="25" t="s">
        <v>39</v>
      </c>
      <c r="B148" s="46">
        <f>SUM(I148)</f>
        <v>254</v>
      </c>
      <c r="C148" s="137" t="s">
        <v>60</v>
      </c>
      <c r="D148" s="46">
        <v>0</v>
      </c>
      <c r="E148" s="53">
        <v>254</v>
      </c>
      <c r="F148" s="53">
        <v>200</v>
      </c>
      <c r="G148" s="53">
        <v>54</v>
      </c>
      <c r="H148" s="53"/>
      <c r="I148" s="53">
        <f>SUM(F148:G148)</f>
        <v>254</v>
      </c>
      <c r="J148" s="53"/>
      <c r="K148" s="53">
        <v>0</v>
      </c>
      <c r="L148" s="260">
        <f t="shared" si="16"/>
        <v>0</v>
      </c>
      <c r="M148" s="53"/>
      <c r="N148" s="53"/>
      <c r="O148" s="53"/>
      <c r="P148" s="53"/>
      <c r="Q148" s="53"/>
      <c r="R148" s="79"/>
    </row>
    <row r="149" spans="1:22" ht="16.5" customHeight="1" x14ac:dyDescent="0.25">
      <c r="A149" s="25" t="s">
        <v>111</v>
      </c>
      <c r="B149" s="46">
        <f>I149</f>
        <v>166</v>
      </c>
      <c r="C149" s="137" t="s">
        <v>60</v>
      </c>
      <c r="D149" s="46">
        <v>0</v>
      </c>
      <c r="E149" s="53">
        <v>166</v>
      </c>
      <c r="F149" s="53">
        <v>130</v>
      </c>
      <c r="G149" s="53">
        <v>36</v>
      </c>
      <c r="H149" s="53"/>
      <c r="I149" s="46">
        <f>SUM(F149:G149)</f>
        <v>166</v>
      </c>
      <c r="J149" s="53"/>
      <c r="K149" s="53">
        <v>0</v>
      </c>
      <c r="L149" s="260">
        <f>K149/I149*100</f>
        <v>0</v>
      </c>
      <c r="M149" s="53"/>
      <c r="N149" s="53"/>
      <c r="O149" s="53"/>
      <c r="P149" s="53"/>
      <c r="Q149" s="53"/>
      <c r="R149" s="79"/>
    </row>
    <row r="150" spans="1:22" ht="16.5" customHeight="1" thickBot="1" x14ac:dyDescent="0.3">
      <c r="A150" s="25" t="s">
        <v>112</v>
      </c>
      <c r="B150" s="45">
        <f>SUM(I150)</f>
        <v>508</v>
      </c>
      <c r="C150" s="96" t="s">
        <v>60</v>
      </c>
      <c r="D150" s="45">
        <v>0</v>
      </c>
      <c r="E150" s="66">
        <v>508</v>
      </c>
      <c r="F150" s="66">
        <v>400</v>
      </c>
      <c r="G150" s="66">
        <v>108</v>
      </c>
      <c r="H150" s="66"/>
      <c r="I150" s="45">
        <f>SUM(F150:G150)</f>
        <v>508</v>
      </c>
      <c r="J150" s="66"/>
      <c r="K150" s="66">
        <v>533</v>
      </c>
      <c r="L150" s="261">
        <f t="shared" si="16"/>
        <v>104.92125984251967</v>
      </c>
      <c r="M150" s="66"/>
      <c r="N150" s="66"/>
      <c r="O150" s="66"/>
      <c r="P150" s="66"/>
      <c r="Q150" s="66"/>
      <c r="R150" s="152"/>
    </row>
    <row r="151" spans="1:22" ht="16.5" customHeight="1" thickBot="1" x14ac:dyDescent="0.3">
      <c r="A151" s="27" t="s">
        <v>5</v>
      </c>
      <c r="B151" s="47">
        <f>SUM(B148:B150)</f>
        <v>928</v>
      </c>
      <c r="C151" s="138"/>
      <c r="D151" s="47">
        <f t="shared" ref="D151:M151" si="24">SUM(D148:D150)</f>
        <v>0</v>
      </c>
      <c r="E151" s="47">
        <f>SUM(E148:E150)</f>
        <v>928</v>
      </c>
      <c r="F151" s="47">
        <f t="shared" si="24"/>
        <v>730</v>
      </c>
      <c r="G151" s="47">
        <f t="shared" si="24"/>
        <v>198</v>
      </c>
      <c r="H151" s="47">
        <f t="shared" si="24"/>
        <v>0</v>
      </c>
      <c r="I151" s="47">
        <f t="shared" si="24"/>
        <v>928</v>
      </c>
      <c r="J151" s="47"/>
      <c r="K151" s="47">
        <f>SUM(K148:K150)</f>
        <v>533</v>
      </c>
      <c r="L151" s="258">
        <f t="shared" ref="L151:L164" si="25">K151/I151*100</f>
        <v>57.435344827586206</v>
      </c>
      <c r="M151" s="47">
        <f t="shared" si="24"/>
        <v>0</v>
      </c>
      <c r="N151" s="47">
        <v>0</v>
      </c>
      <c r="O151" s="47">
        <v>0</v>
      </c>
      <c r="P151" s="77">
        <v>0</v>
      </c>
      <c r="Q151" s="77">
        <v>0</v>
      </c>
      <c r="R151" s="78">
        <v>0</v>
      </c>
      <c r="T151" s="37"/>
      <c r="U151" s="37"/>
    </row>
    <row r="152" spans="1:22" ht="16.5" customHeight="1" x14ac:dyDescent="0.25">
      <c r="A152" s="21" t="s">
        <v>14</v>
      </c>
      <c r="B152" s="42"/>
      <c r="C152" s="132"/>
      <c r="D152" s="42"/>
      <c r="E152" s="133"/>
      <c r="F152" s="133"/>
      <c r="G152" s="133"/>
      <c r="H152" s="133"/>
      <c r="I152" s="133"/>
      <c r="J152" s="133"/>
      <c r="K152" s="133"/>
      <c r="L152" s="256"/>
      <c r="M152" s="133"/>
      <c r="N152" s="133"/>
      <c r="O152" s="133"/>
      <c r="P152" s="133"/>
      <c r="Q152" s="235"/>
      <c r="R152" s="253"/>
    </row>
    <row r="153" spans="1:22" ht="16.5" customHeight="1" x14ac:dyDescent="0.25">
      <c r="A153" s="38" t="s">
        <v>42</v>
      </c>
      <c r="B153" s="51">
        <f>SUM(I153)</f>
        <v>7754</v>
      </c>
      <c r="C153" s="201" t="s">
        <v>60</v>
      </c>
      <c r="D153" s="51">
        <v>0</v>
      </c>
      <c r="E153" s="71">
        <v>7754</v>
      </c>
      <c r="F153" s="71">
        <v>6105</v>
      </c>
      <c r="G153" s="71">
        <v>1649</v>
      </c>
      <c r="H153" s="71"/>
      <c r="I153" s="71">
        <f>SUM(F153:G153)</f>
        <v>7754</v>
      </c>
      <c r="J153" s="71"/>
      <c r="K153" s="71">
        <v>7753</v>
      </c>
      <c r="L153" s="265">
        <f t="shared" si="25"/>
        <v>99.987103430487494</v>
      </c>
      <c r="M153" s="71">
        <v>1649</v>
      </c>
      <c r="N153" s="71">
        <v>1649</v>
      </c>
      <c r="O153" s="202"/>
      <c r="P153" s="202"/>
      <c r="Q153" s="236"/>
      <c r="R153" s="203"/>
    </row>
    <row r="154" spans="1:22" ht="16.5" customHeight="1" x14ac:dyDescent="0.25">
      <c r="A154" s="204" t="s">
        <v>63</v>
      </c>
      <c r="B154" s="119">
        <f>SUM(I154)</f>
        <v>11306</v>
      </c>
      <c r="C154" s="205" t="s">
        <v>60</v>
      </c>
      <c r="D154" s="119">
        <v>0</v>
      </c>
      <c r="E154" s="69">
        <v>11306</v>
      </c>
      <c r="F154" s="69">
        <v>8902</v>
      </c>
      <c r="G154" s="69">
        <v>2404</v>
      </c>
      <c r="H154" s="69"/>
      <c r="I154" s="69">
        <f>SUM(F154:G154)</f>
        <v>11306</v>
      </c>
      <c r="J154" s="69"/>
      <c r="K154" s="69">
        <v>0</v>
      </c>
      <c r="L154" s="265">
        <f t="shared" si="25"/>
        <v>0</v>
      </c>
      <c r="M154" s="69">
        <v>2404</v>
      </c>
      <c r="N154" s="69"/>
      <c r="O154" s="206"/>
      <c r="P154" s="206"/>
      <c r="Q154" s="237"/>
      <c r="R154" s="203"/>
    </row>
    <row r="155" spans="1:22" ht="16.5" customHeight="1" x14ac:dyDescent="0.25">
      <c r="A155" s="207" t="s">
        <v>65</v>
      </c>
      <c r="B155" s="208">
        <f>SUM(I155)</f>
        <v>5000</v>
      </c>
      <c r="C155" s="209" t="s">
        <v>60</v>
      </c>
      <c r="D155" s="208">
        <v>0</v>
      </c>
      <c r="E155" s="210">
        <v>5000</v>
      </c>
      <c r="F155" s="210">
        <v>3937</v>
      </c>
      <c r="G155" s="210">
        <v>1063</v>
      </c>
      <c r="H155" s="210"/>
      <c r="I155" s="210">
        <f>SUM(F155:G155)</f>
        <v>5000</v>
      </c>
      <c r="J155" s="210"/>
      <c r="K155" s="210">
        <v>0</v>
      </c>
      <c r="L155" s="265">
        <f t="shared" si="25"/>
        <v>0</v>
      </c>
      <c r="M155" s="210">
        <v>1063</v>
      </c>
      <c r="N155" s="210"/>
      <c r="O155" s="211"/>
      <c r="P155" s="211"/>
      <c r="Q155" s="238"/>
      <c r="R155" s="203"/>
    </row>
    <row r="156" spans="1:22" ht="16.5" customHeight="1" x14ac:dyDescent="0.25">
      <c r="A156" s="38" t="s">
        <v>143</v>
      </c>
      <c r="B156" s="51">
        <f>SUM(I156)</f>
        <v>13433</v>
      </c>
      <c r="C156" s="201" t="s">
        <v>60</v>
      </c>
      <c r="D156" s="51">
        <v>0</v>
      </c>
      <c r="E156" s="71">
        <v>0</v>
      </c>
      <c r="F156" s="71">
        <v>10578</v>
      </c>
      <c r="G156" s="71">
        <v>2855</v>
      </c>
      <c r="H156" s="71"/>
      <c r="I156" s="71">
        <f>SUM(F156:G156)</f>
        <v>13433</v>
      </c>
      <c r="J156" s="71"/>
      <c r="K156" s="71">
        <v>0</v>
      </c>
      <c r="L156" s="265">
        <f t="shared" si="25"/>
        <v>0</v>
      </c>
      <c r="M156" s="71">
        <v>2855</v>
      </c>
      <c r="N156" s="71"/>
      <c r="O156" s="202"/>
      <c r="P156" s="202"/>
      <c r="Q156" s="236"/>
      <c r="R156" s="203"/>
    </row>
    <row r="157" spans="1:22" ht="36" customHeight="1" thickBot="1" x14ac:dyDescent="0.3">
      <c r="A157" s="207" t="s">
        <v>144</v>
      </c>
      <c r="B157" s="208">
        <f>SUM(I157)</f>
        <v>800</v>
      </c>
      <c r="C157" s="209" t="s">
        <v>60</v>
      </c>
      <c r="D157" s="208">
        <v>0</v>
      </c>
      <c r="E157" s="210">
        <v>0</v>
      </c>
      <c r="F157" s="210">
        <v>630</v>
      </c>
      <c r="G157" s="210">
        <v>170</v>
      </c>
      <c r="H157" s="210"/>
      <c r="I157" s="210">
        <f>SUM(F157:G157)</f>
        <v>800</v>
      </c>
      <c r="J157" s="210"/>
      <c r="K157" s="210">
        <v>0</v>
      </c>
      <c r="L157" s="266">
        <f t="shared" si="25"/>
        <v>0</v>
      </c>
      <c r="M157" s="210">
        <v>170</v>
      </c>
      <c r="N157" s="210"/>
      <c r="O157" s="211"/>
      <c r="P157" s="211"/>
      <c r="Q157" s="238"/>
      <c r="R157" s="250"/>
    </row>
    <row r="158" spans="1:22" ht="16.5" customHeight="1" thickBot="1" x14ac:dyDescent="0.3">
      <c r="A158" s="27" t="s">
        <v>5</v>
      </c>
      <c r="B158" s="47">
        <f>SUM(B153:B157)</f>
        <v>38293</v>
      </c>
      <c r="C158" s="138"/>
      <c r="D158" s="47">
        <v>0</v>
      </c>
      <c r="E158" s="47">
        <f>SUM(E153:E157)</f>
        <v>24060</v>
      </c>
      <c r="F158" s="47">
        <f>SUM(F153:F157)</f>
        <v>30152</v>
      </c>
      <c r="G158" s="47">
        <f>SUM(G153:G157)</f>
        <v>8141</v>
      </c>
      <c r="H158" s="47"/>
      <c r="I158" s="47">
        <f>SUM(I153:I157)</f>
        <v>38293</v>
      </c>
      <c r="J158" s="47"/>
      <c r="K158" s="47">
        <f>SUM(K153:K157)</f>
        <v>7753</v>
      </c>
      <c r="L158" s="258">
        <f t="shared" si="25"/>
        <v>20.246520251743139</v>
      </c>
      <c r="M158" s="47">
        <f>SUM(M153:M157)</f>
        <v>8141</v>
      </c>
      <c r="N158" s="77">
        <f>SUM(N153:N157)</f>
        <v>1649</v>
      </c>
      <c r="O158" s="77">
        <f>SUM(O152:O153)</f>
        <v>0</v>
      </c>
      <c r="P158" s="77">
        <v>0</v>
      </c>
      <c r="Q158" s="77">
        <f>SUM(Q152:Q153)</f>
        <v>0</v>
      </c>
      <c r="R158" s="78">
        <v>0</v>
      </c>
    </row>
    <row r="159" spans="1:22" ht="16.5" customHeight="1" x14ac:dyDescent="0.25">
      <c r="A159" s="21" t="s">
        <v>152</v>
      </c>
      <c r="B159" s="42"/>
      <c r="C159" s="132"/>
      <c r="D159" s="42"/>
      <c r="E159" s="42"/>
      <c r="F159" s="42"/>
      <c r="G159" s="42"/>
      <c r="H159" s="42"/>
      <c r="I159" s="42"/>
      <c r="J159" s="42"/>
      <c r="K159" s="42"/>
      <c r="L159" s="256"/>
      <c r="M159" s="42"/>
      <c r="N159" s="133"/>
      <c r="O159" s="133"/>
      <c r="P159" s="133"/>
      <c r="Q159" s="133"/>
      <c r="R159" s="136"/>
      <c r="T159" s="3">
        <f>N158+N134</f>
        <v>1747</v>
      </c>
    </row>
    <row r="160" spans="1:22" ht="16.5" customHeight="1" x14ac:dyDescent="0.25">
      <c r="A160" s="25" t="s">
        <v>153</v>
      </c>
      <c r="B160" s="46">
        <f>SUM(I160)</f>
        <v>197</v>
      </c>
      <c r="C160" s="137" t="s">
        <v>60</v>
      </c>
      <c r="D160" s="46">
        <v>0</v>
      </c>
      <c r="E160" s="46">
        <v>0</v>
      </c>
      <c r="F160" s="46">
        <v>156</v>
      </c>
      <c r="G160" s="46">
        <v>41</v>
      </c>
      <c r="H160" s="46"/>
      <c r="I160" s="46">
        <f>SUM(F160:G160)</f>
        <v>197</v>
      </c>
      <c r="J160" s="46"/>
      <c r="K160" s="46">
        <v>118</v>
      </c>
      <c r="L160" s="260">
        <f t="shared" si="25"/>
        <v>59.898477157360411</v>
      </c>
      <c r="M160" s="46"/>
      <c r="N160" s="53"/>
      <c r="O160" s="53"/>
      <c r="P160" s="53"/>
      <c r="Q160" s="53"/>
      <c r="R160" s="79"/>
    </row>
    <row r="161" spans="1:23" ht="16.5" customHeight="1" thickBot="1" x14ac:dyDescent="0.3">
      <c r="A161" s="25" t="s">
        <v>154</v>
      </c>
      <c r="B161" s="46">
        <f>SUM(I161)</f>
        <v>2021</v>
      </c>
      <c r="C161" s="137" t="s">
        <v>60</v>
      </c>
      <c r="D161" s="46">
        <v>0</v>
      </c>
      <c r="E161" s="46">
        <v>0</v>
      </c>
      <c r="F161" s="46">
        <v>1592</v>
      </c>
      <c r="G161" s="46">
        <v>429</v>
      </c>
      <c r="H161" s="46"/>
      <c r="I161" s="46">
        <f>SUM(F161:G161)</f>
        <v>2021</v>
      </c>
      <c r="J161" s="46"/>
      <c r="K161" s="46">
        <v>2100</v>
      </c>
      <c r="L161" s="261">
        <f t="shared" si="25"/>
        <v>103.90895596239484</v>
      </c>
      <c r="M161" s="46"/>
      <c r="N161" s="53"/>
      <c r="O161" s="53"/>
      <c r="P161" s="53"/>
      <c r="Q161" s="53"/>
      <c r="R161" s="152"/>
    </row>
    <row r="162" spans="1:23" ht="16.5" customHeight="1" thickBot="1" x14ac:dyDescent="0.3">
      <c r="A162" s="27" t="s">
        <v>5</v>
      </c>
      <c r="B162" s="75">
        <f>SUM(B160:B161)</f>
        <v>2218</v>
      </c>
      <c r="C162" s="159"/>
      <c r="D162" s="75">
        <f>SUM(D160:D161)</f>
        <v>0</v>
      </c>
      <c r="E162" s="75">
        <f>SUM(E160:E161)</f>
        <v>0</v>
      </c>
      <c r="F162" s="75">
        <f>SUM(F160:F161)</f>
        <v>1748</v>
      </c>
      <c r="G162" s="75">
        <f>SUM(G160:G161)</f>
        <v>470</v>
      </c>
      <c r="H162" s="75"/>
      <c r="I162" s="75">
        <f>SUM(I160:I161)</f>
        <v>2218</v>
      </c>
      <c r="J162" s="75"/>
      <c r="K162" s="75">
        <f>SUM(K160:K161)</f>
        <v>2218</v>
      </c>
      <c r="L162" s="258">
        <f t="shared" si="25"/>
        <v>100</v>
      </c>
      <c r="M162" s="75">
        <v>0</v>
      </c>
      <c r="N162" s="76">
        <v>0</v>
      </c>
      <c r="O162" s="76">
        <v>0</v>
      </c>
      <c r="P162" s="76">
        <v>0</v>
      </c>
      <c r="Q162" s="76">
        <v>0</v>
      </c>
      <c r="R162" s="78">
        <v>0</v>
      </c>
    </row>
    <row r="163" spans="1:23" ht="16.5" customHeight="1" x14ac:dyDescent="0.25">
      <c r="A163" s="21" t="s">
        <v>52</v>
      </c>
      <c r="B163" s="42"/>
      <c r="C163" s="132"/>
      <c r="D163" s="42"/>
      <c r="E163" s="42"/>
      <c r="F163" s="42"/>
      <c r="G163" s="42"/>
      <c r="H163" s="42"/>
      <c r="I163" s="42"/>
      <c r="J163" s="42"/>
      <c r="K163" s="42"/>
      <c r="L163" s="256"/>
      <c r="M163" s="42"/>
      <c r="N163" s="133"/>
      <c r="O163" s="133"/>
      <c r="P163" s="133"/>
      <c r="Q163" s="133"/>
      <c r="R163" s="136"/>
    </row>
    <row r="164" spans="1:23" ht="34.5" customHeight="1" thickBot="1" x14ac:dyDescent="0.3">
      <c r="A164" s="62" t="s">
        <v>88</v>
      </c>
      <c r="B164" s="117">
        <f>SUM(I164)</f>
        <v>327433</v>
      </c>
      <c r="C164" s="150" t="s">
        <v>72</v>
      </c>
      <c r="D164" s="117">
        <v>10732</v>
      </c>
      <c r="E164" s="117">
        <v>361313</v>
      </c>
      <c r="F164" s="117">
        <f>8450+284498-8450-10</f>
        <v>284488</v>
      </c>
      <c r="G164" s="117">
        <f>2282+76815-2282-33868-2</f>
        <v>42945</v>
      </c>
      <c r="H164" s="117">
        <v>33868</v>
      </c>
      <c r="I164" s="117">
        <f>SUM(F164:G164)</f>
        <v>327433</v>
      </c>
      <c r="J164" s="117">
        <v>33868</v>
      </c>
      <c r="K164" s="117">
        <v>125435</v>
      </c>
      <c r="L164" s="261">
        <f t="shared" si="25"/>
        <v>38.308600538125361</v>
      </c>
      <c r="M164" s="117"/>
      <c r="N164" s="151"/>
      <c r="O164" s="151">
        <v>337084</v>
      </c>
      <c r="P164" s="151">
        <v>333237</v>
      </c>
      <c r="Q164" s="151">
        <v>337084</v>
      </c>
      <c r="R164" s="152">
        <v>333237</v>
      </c>
    </row>
    <row r="165" spans="1:23" ht="16.5" customHeight="1" thickBot="1" x14ac:dyDescent="0.3">
      <c r="A165" s="27" t="s">
        <v>5</v>
      </c>
      <c r="B165" s="47">
        <f>SUM(B164)</f>
        <v>327433</v>
      </c>
      <c r="C165" s="138"/>
      <c r="D165" s="47">
        <f t="shared" ref="D165:J165" si="26">SUM(D164)</f>
        <v>10732</v>
      </c>
      <c r="E165" s="47">
        <f t="shared" si="26"/>
        <v>361313</v>
      </c>
      <c r="F165" s="47">
        <f t="shared" si="26"/>
        <v>284488</v>
      </c>
      <c r="G165" s="47">
        <f t="shared" si="26"/>
        <v>42945</v>
      </c>
      <c r="H165" s="47">
        <f t="shared" si="26"/>
        <v>33868</v>
      </c>
      <c r="I165" s="47">
        <f t="shared" si="26"/>
        <v>327433</v>
      </c>
      <c r="J165" s="47">
        <f t="shared" si="26"/>
        <v>33868</v>
      </c>
      <c r="K165" s="47">
        <f>SUM(K164)</f>
        <v>125435</v>
      </c>
      <c r="L165" s="258">
        <f>K165/I165*100</f>
        <v>38.308600538125361</v>
      </c>
      <c r="M165" s="47">
        <v>0</v>
      </c>
      <c r="N165" s="77">
        <v>0</v>
      </c>
      <c r="O165" s="77">
        <f>SUM(O164)</f>
        <v>337084</v>
      </c>
      <c r="P165" s="77">
        <f>SUM(P164)</f>
        <v>333237</v>
      </c>
      <c r="Q165" s="77">
        <f>SUM(Q164)</f>
        <v>337084</v>
      </c>
      <c r="R165" s="78">
        <f>SUM(R164)</f>
        <v>333237</v>
      </c>
    </row>
    <row r="166" spans="1:23" ht="16.5" customHeight="1" thickBot="1" x14ac:dyDescent="0.3">
      <c r="A166" s="80" t="s">
        <v>16</v>
      </c>
      <c r="B166" s="100">
        <f t="shared" ref="B166:K166" si="27">B14+B41+B60+B80+B97+B100+B134+B151+B158+B45+B51+B70+B67+B140+B165+B63+B162+B137+B143+B146</f>
        <v>7219596</v>
      </c>
      <c r="C166" s="100">
        <f t="shared" si="27"/>
        <v>0</v>
      </c>
      <c r="D166" s="100">
        <f t="shared" si="27"/>
        <v>1366996</v>
      </c>
      <c r="E166" s="100">
        <f t="shared" si="27"/>
        <v>1452867</v>
      </c>
      <c r="F166" s="100">
        <f t="shared" si="27"/>
        <v>4691395</v>
      </c>
      <c r="G166" s="100">
        <f t="shared" si="27"/>
        <v>1165531</v>
      </c>
      <c r="H166" s="100">
        <f t="shared" si="27"/>
        <v>140679</v>
      </c>
      <c r="I166" s="100">
        <f t="shared" si="27"/>
        <v>5856926</v>
      </c>
      <c r="J166" s="100">
        <f>J14+J41+J60+J80+J97+J100+J134+J151+J158+J45+J51+J70+J67+J140+J165+J63+J162+J137+J143+J146</f>
        <v>90702</v>
      </c>
      <c r="K166" s="100">
        <f t="shared" si="27"/>
        <v>744777</v>
      </c>
      <c r="L166" s="267">
        <f>K166/I166*100</f>
        <v>12.716175686699815</v>
      </c>
      <c r="M166" s="100">
        <f t="shared" ref="M166:R166" si="28">M14+M41+M60+M80+M97+M100+M134+M151+M158+M45+M51+M70+M67+M140+M165+M63+M162+M137+M143+M146</f>
        <v>961591</v>
      </c>
      <c r="N166" s="100">
        <f t="shared" si="28"/>
        <v>13085</v>
      </c>
      <c r="O166" s="100">
        <f t="shared" si="28"/>
        <v>4374979</v>
      </c>
      <c r="P166" s="100">
        <f t="shared" si="28"/>
        <v>2276129</v>
      </c>
      <c r="Q166" s="100">
        <f t="shared" si="28"/>
        <v>3376508</v>
      </c>
      <c r="R166" s="101">
        <f t="shared" si="28"/>
        <v>1739849</v>
      </c>
      <c r="S166" s="37"/>
      <c r="T166" s="37"/>
      <c r="U166" s="37"/>
      <c r="W166" s="37"/>
    </row>
    <row r="167" spans="1:23" ht="16.5" customHeight="1" thickBot="1" x14ac:dyDescent="0.3">
      <c r="A167" s="81" t="s">
        <v>17</v>
      </c>
      <c r="B167" s="153"/>
      <c r="C167" s="154"/>
      <c r="D167" s="153">
        <f>D166</f>
        <v>1366996</v>
      </c>
      <c r="E167" s="153">
        <f>E166</f>
        <v>1452867</v>
      </c>
      <c r="F167" s="153">
        <f>SUM(F166)</f>
        <v>4691395</v>
      </c>
      <c r="G167" s="82">
        <f>SUM(G166)</f>
        <v>1165531</v>
      </c>
      <c r="H167" s="82"/>
      <c r="I167" s="82">
        <f>SUM(F167:G167)</f>
        <v>5856926</v>
      </c>
      <c r="J167" s="82"/>
      <c r="K167" s="82">
        <f>SUM(K166)</f>
        <v>744777</v>
      </c>
      <c r="L167" s="82"/>
      <c r="M167" s="82"/>
      <c r="N167" s="82"/>
      <c r="O167" s="82"/>
      <c r="P167" s="82"/>
      <c r="Q167" s="82"/>
      <c r="R167" s="155"/>
      <c r="S167" s="37"/>
      <c r="T167" s="37"/>
      <c r="U167" s="37"/>
      <c r="V167" s="37"/>
    </row>
    <row r="168" spans="1:23" ht="16.5" customHeight="1" thickBot="1" x14ac:dyDescent="0.3">
      <c r="A168" s="81" t="s">
        <v>18</v>
      </c>
      <c r="B168" s="153"/>
      <c r="C168" s="154"/>
      <c r="D168" s="153"/>
      <c r="E168" s="82"/>
      <c r="F168" s="82">
        <v>0</v>
      </c>
      <c r="G168" s="82"/>
      <c r="H168" s="82">
        <f>SUM(H166)</f>
        <v>140679</v>
      </c>
      <c r="I168" s="82"/>
      <c r="J168" s="82">
        <f>SUM(J166)</f>
        <v>90702</v>
      </c>
      <c r="K168" s="82"/>
      <c r="L168" s="82"/>
      <c r="M168" s="82"/>
      <c r="N168" s="82"/>
      <c r="O168" s="82"/>
      <c r="P168" s="82"/>
      <c r="Q168" s="82"/>
      <c r="R168" s="155"/>
      <c r="S168" s="37"/>
      <c r="T168" s="37"/>
      <c r="U168" s="37"/>
    </row>
    <row r="169" spans="1:23" s="86" customFormat="1" ht="16.5" customHeight="1" x14ac:dyDescent="0.25">
      <c r="A169" s="83" t="s">
        <v>19</v>
      </c>
      <c r="B169" s="84"/>
      <c r="C169" s="156"/>
      <c r="D169" s="84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288"/>
      <c r="S169" s="37"/>
      <c r="T169" s="2"/>
      <c r="U169" s="2"/>
      <c r="V169" s="2"/>
    </row>
    <row r="170" spans="1:23" ht="16.5" customHeight="1" x14ac:dyDescent="0.25">
      <c r="A170" s="87" t="s">
        <v>198</v>
      </c>
      <c r="B170" s="67"/>
      <c r="C170" s="143"/>
      <c r="D170" s="67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289"/>
    </row>
    <row r="171" spans="1:23" ht="31.5" customHeight="1" x14ac:dyDescent="0.25">
      <c r="A171" s="88" t="s">
        <v>20</v>
      </c>
      <c r="B171" s="45"/>
      <c r="C171" s="96"/>
      <c r="D171" s="45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225"/>
      <c r="R171" s="290"/>
    </row>
    <row r="172" spans="1:23" s="91" customFormat="1" ht="32.25" customHeight="1" x14ac:dyDescent="0.25">
      <c r="A172" s="89" t="s">
        <v>21</v>
      </c>
      <c r="B172" s="45">
        <f>SUM(I172)</f>
        <v>1287</v>
      </c>
      <c r="C172" s="96" t="s">
        <v>60</v>
      </c>
      <c r="D172" s="45">
        <v>0</v>
      </c>
      <c r="E172" s="66">
        <v>1287</v>
      </c>
      <c r="F172" s="66">
        <f>1800-787</f>
        <v>1013</v>
      </c>
      <c r="G172" s="66">
        <v>274</v>
      </c>
      <c r="H172" s="66"/>
      <c r="I172" s="66">
        <f>SUM(F172:G172)</f>
        <v>1287</v>
      </c>
      <c r="J172" s="66">
        <v>0</v>
      </c>
      <c r="K172" s="66">
        <v>1264</v>
      </c>
      <c r="L172" s="292">
        <f>K172/I172*100</f>
        <v>98.21289821289821</v>
      </c>
      <c r="M172" s="66">
        <v>0</v>
      </c>
      <c r="N172" s="66"/>
      <c r="O172" s="66">
        <v>0</v>
      </c>
      <c r="P172" s="66"/>
      <c r="Q172" s="225">
        <v>0</v>
      </c>
      <c r="R172" s="290"/>
    </row>
    <row r="173" spans="1:23" s="91" customFormat="1" ht="19.5" customHeight="1" thickBot="1" x14ac:dyDescent="0.3">
      <c r="A173" s="89" t="s">
        <v>22</v>
      </c>
      <c r="B173" s="45">
        <f>SUM(I173)</f>
        <v>889</v>
      </c>
      <c r="C173" s="96" t="s">
        <v>60</v>
      </c>
      <c r="D173" s="45">
        <v>0</v>
      </c>
      <c r="E173" s="66">
        <v>889</v>
      </c>
      <c r="F173" s="66">
        <v>700</v>
      </c>
      <c r="G173" s="66">
        <v>189</v>
      </c>
      <c r="H173" s="66"/>
      <c r="I173" s="66">
        <f>SUM(F173:G173)</f>
        <v>889</v>
      </c>
      <c r="J173" s="66">
        <v>0</v>
      </c>
      <c r="K173" s="66">
        <v>263</v>
      </c>
      <c r="L173" s="292">
        <f>K173/I173*100</f>
        <v>29.583802024746909</v>
      </c>
      <c r="M173" s="66">
        <v>0</v>
      </c>
      <c r="N173" s="66"/>
      <c r="O173" s="66">
        <v>0</v>
      </c>
      <c r="P173" s="66"/>
      <c r="Q173" s="225">
        <v>0</v>
      </c>
      <c r="R173" s="291"/>
    </row>
    <row r="174" spans="1:23" ht="16.5" customHeight="1" thickBot="1" x14ac:dyDescent="0.3">
      <c r="A174" s="92" t="s">
        <v>23</v>
      </c>
      <c r="B174" s="47">
        <f>SUM(B172:B173)</f>
        <v>2176</v>
      </c>
      <c r="C174" s="138"/>
      <c r="D174" s="47"/>
      <c r="E174" s="47">
        <f>SUM(E172:E173)</f>
        <v>2176</v>
      </c>
      <c r="F174" s="47">
        <f>SUM(F172:F173)</f>
        <v>1713</v>
      </c>
      <c r="G174" s="47">
        <f>SUM(G172:G173)</f>
        <v>463</v>
      </c>
      <c r="H174" s="47">
        <v>0</v>
      </c>
      <c r="I174" s="47">
        <f>SUM(I172:I173)</f>
        <v>2176</v>
      </c>
      <c r="J174" s="77">
        <v>0</v>
      </c>
      <c r="K174" s="77">
        <f>SUM(K172:K173)</f>
        <v>1527</v>
      </c>
      <c r="L174" s="293">
        <f>K174/I174*100</f>
        <v>70.174632352941174</v>
      </c>
      <c r="M174" s="77">
        <v>0</v>
      </c>
      <c r="N174" s="77">
        <v>0</v>
      </c>
      <c r="O174" s="77">
        <v>0</v>
      </c>
      <c r="P174" s="77">
        <v>0</v>
      </c>
      <c r="Q174" s="77">
        <v>0</v>
      </c>
      <c r="R174" s="78">
        <v>0</v>
      </c>
    </row>
    <row r="175" spans="1:23" ht="16.5" customHeight="1" x14ac:dyDescent="0.25">
      <c r="A175" s="93" t="s">
        <v>24</v>
      </c>
      <c r="B175" s="94"/>
      <c r="C175" s="157"/>
      <c r="D175" s="94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226"/>
      <c r="R175" s="294"/>
    </row>
    <row r="176" spans="1:23" ht="18.75" customHeight="1" x14ac:dyDescent="0.25">
      <c r="A176" s="89" t="s">
        <v>89</v>
      </c>
      <c r="B176" s="45">
        <f t="shared" ref="B176:B182" si="29">SUM(I176)</f>
        <v>952</v>
      </c>
      <c r="C176" s="96" t="s">
        <v>60</v>
      </c>
      <c r="D176" s="45">
        <v>0</v>
      </c>
      <c r="E176" s="66">
        <v>1890</v>
      </c>
      <c r="F176" s="66">
        <f>1800-418-476</f>
        <v>906</v>
      </c>
      <c r="G176" s="66">
        <f>90-20-24</f>
        <v>46</v>
      </c>
      <c r="H176" s="66"/>
      <c r="I176" s="66">
        <f>SUM(F176:H176)</f>
        <v>952</v>
      </c>
      <c r="J176" s="66"/>
      <c r="K176" s="66">
        <v>940</v>
      </c>
      <c r="L176" s="292">
        <f>K176/I176*100</f>
        <v>98.739495798319325</v>
      </c>
      <c r="M176" s="66"/>
      <c r="N176" s="66"/>
      <c r="O176" s="66"/>
      <c r="P176" s="66"/>
      <c r="Q176" s="225"/>
      <c r="R176" s="290"/>
    </row>
    <row r="177" spans="1:23" ht="35.25" customHeight="1" x14ac:dyDescent="0.25">
      <c r="A177" s="89" t="s">
        <v>148</v>
      </c>
      <c r="B177" s="45">
        <f t="shared" si="29"/>
        <v>38</v>
      </c>
      <c r="C177" s="96" t="s">
        <v>60</v>
      </c>
      <c r="D177" s="45">
        <v>0</v>
      </c>
      <c r="E177" s="66">
        <v>38</v>
      </c>
      <c r="F177" s="66">
        <v>30</v>
      </c>
      <c r="G177" s="66">
        <v>8</v>
      </c>
      <c r="H177" s="66"/>
      <c r="I177" s="66">
        <f t="shared" ref="I177:I182" si="30">SUM(F177:G177)</f>
        <v>38</v>
      </c>
      <c r="J177" s="66"/>
      <c r="K177" s="66">
        <v>0</v>
      </c>
      <c r="L177" s="292"/>
      <c r="M177" s="66"/>
      <c r="N177" s="66"/>
      <c r="O177" s="66"/>
      <c r="P177" s="66"/>
      <c r="Q177" s="225"/>
      <c r="R177" s="290"/>
    </row>
    <row r="178" spans="1:23" ht="34.5" customHeight="1" x14ac:dyDescent="0.25">
      <c r="A178" s="89" t="s">
        <v>137</v>
      </c>
      <c r="B178" s="45">
        <f t="shared" si="29"/>
        <v>556</v>
      </c>
      <c r="C178" s="96" t="s">
        <v>60</v>
      </c>
      <c r="D178" s="45">
        <v>0</v>
      </c>
      <c r="E178" s="66">
        <v>0</v>
      </c>
      <c r="F178" s="66">
        <v>438</v>
      </c>
      <c r="G178" s="66">
        <v>118</v>
      </c>
      <c r="H178" s="66"/>
      <c r="I178" s="66">
        <f t="shared" si="30"/>
        <v>556</v>
      </c>
      <c r="J178" s="66"/>
      <c r="K178" s="66">
        <v>0</v>
      </c>
      <c r="L178" s="292"/>
      <c r="M178" s="66"/>
      <c r="N178" s="66"/>
      <c r="O178" s="66"/>
      <c r="P178" s="66"/>
      <c r="Q178" s="225"/>
      <c r="R178" s="290"/>
    </row>
    <row r="179" spans="1:23" ht="20.25" customHeight="1" x14ac:dyDescent="0.25">
      <c r="A179" s="89" t="s">
        <v>138</v>
      </c>
      <c r="B179" s="45">
        <f t="shared" si="29"/>
        <v>1024</v>
      </c>
      <c r="C179" s="96" t="s">
        <v>60</v>
      </c>
      <c r="D179" s="45">
        <v>0</v>
      </c>
      <c r="E179" s="66">
        <v>0</v>
      </c>
      <c r="F179" s="66">
        <v>806</v>
      </c>
      <c r="G179" s="66">
        <v>218</v>
      </c>
      <c r="H179" s="66"/>
      <c r="I179" s="66">
        <f t="shared" si="30"/>
        <v>1024</v>
      </c>
      <c r="J179" s="66"/>
      <c r="K179" s="66">
        <v>1024</v>
      </c>
      <c r="L179" s="292">
        <f>K179/I179*100</f>
        <v>100</v>
      </c>
      <c r="M179" s="66"/>
      <c r="N179" s="66"/>
      <c r="O179" s="66"/>
      <c r="P179" s="66"/>
      <c r="Q179" s="225"/>
      <c r="R179" s="290"/>
      <c r="U179" s="3"/>
      <c r="W179" s="3"/>
    </row>
    <row r="180" spans="1:23" ht="20.25" customHeight="1" x14ac:dyDescent="0.25">
      <c r="A180" s="89" t="s">
        <v>142</v>
      </c>
      <c r="B180" s="45">
        <f t="shared" si="29"/>
        <v>203</v>
      </c>
      <c r="C180" s="96" t="s">
        <v>60</v>
      </c>
      <c r="D180" s="45">
        <v>0</v>
      </c>
      <c r="E180" s="66">
        <v>0</v>
      </c>
      <c r="F180" s="66">
        <v>160</v>
      </c>
      <c r="G180" s="66">
        <v>43</v>
      </c>
      <c r="H180" s="66"/>
      <c r="I180" s="66">
        <f t="shared" si="30"/>
        <v>203</v>
      </c>
      <c r="J180" s="66"/>
      <c r="K180" s="66">
        <v>0</v>
      </c>
      <c r="L180" s="292"/>
      <c r="M180" s="66"/>
      <c r="N180" s="66"/>
      <c r="O180" s="66">
        <v>203</v>
      </c>
      <c r="P180" s="66">
        <v>203</v>
      </c>
      <c r="Q180" s="225"/>
      <c r="R180" s="290"/>
      <c r="U180" s="3"/>
      <c r="W180" s="3"/>
    </row>
    <row r="181" spans="1:23" ht="53.25" customHeight="1" x14ac:dyDescent="0.25">
      <c r="A181" s="128" t="s">
        <v>141</v>
      </c>
      <c r="B181" s="45">
        <f t="shared" si="29"/>
        <v>889</v>
      </c>
      <c r="C181" s="96" t="s">
        <v>60</v>
      </c>
      <c r="D181" s="45">
        <v>0</v>
      </c>
      <c r="E181" s="45">
        <v>889</v>
      </c>
      <c r="F181" s="45">
        <v>700</v>
      </c>
      <c r="G181" s="45">
        <v>189</v>
      </c>
      <c r="H181" s="45"/>
      <c r="I181" s="45">
        <f t="shared" si="30"/>
        <v>889</v>
      </c>
      <c r="J181" s="45"/>
      <c r="K181" s="45">
        <v>300</v>
      </c>
      <c r="L181" s="292">
        <f>K181/I181*100</f>
        <v>33.745781777277841</v>
      </c>
      <c r="M181" s="45"/>
      <c r="N181" s="45"/>
      <c r="O181" s="45"/>
      <c r="P181" s="66"/>
      <c r="Q181" s="225"/>
      <c r="R181" s="290"/>
      <c r="U181" s="3"/>
      <c r="W181" s="3"/>
    </row>
    <row r="182" spans="1:23" ht="16.5" thickBot="1" x14ac:dyDescent="0.3">
      <c r="A182" s="128" t="s">
        <v>149</v>
      </c>
      <c r="B182" s="45">
        <f t="shared" si="29"/>
        <v>70</v>
      </c>
      <c r="C182" s="96" t="s">
        <v>60</v>
      </c>
      <c r="D182" s="45">
        <v>0</v>
      </c>
      <c r="E182" s="45">
        <v>0</v>
      </c>
      <c r="F182" s="45">
        <v>56</v>
      </c>
      <c r="G182" s="45">
        <v>14</v>
      </c>
      <c r="H182" s="45"/>
      <c r="I182" s="45">
        <f t="shared" si="30"/>
        <v>70</v>
      </c>
      <c r="J182" s="45"/>
      <c r="K182" s="45">
        <v>215</v>
      </c>
      <c r="L182" s="292">
        <f>K182/I182*100</f>
        <v>307.14285714285717</v>
      </c>
      <c r="M182" s="45"/>
      <c r="N182" s="45"/>
      <c r="O182" s="45"/>
      <c r="P182" s="66"/>
      <c r="Q182" s="225"/>
      <c r="R182" s="291"/>
      <c r="U182" s="3"/>
      <c r="W182" s="3"/>
    </row>
    <row r="183" spans="1:23" s="91" customFormat="1" ht="27.75" customHeight="1" thickBot="1" x14ac:dyDescent="0.3">
      <c r="A183" s="92" t="s">
        <v>25</v>
      </c>
      <c r="B183" s="47">
        <f>SUM(B176:B182)</f>
        <v>3732</v>
      </c>
      <c r="C183" s="138"/>
      <c r="D183" s="47">
        <f>SUM(D176:D182)</f>
        <v>0</v>
      </c>
      <c r="E183" s="47">
        <f>SUM(E176:E182)</f>
        <v>2817</v>
      </c>
      <c r="F183" s="47">
        <f>SUM(F176:F182)</f>
        <v>3096</v>
      </c>
      <c r="G183" s="47">
        <f>SUM(G176:G182)</f>
        <v>636</v>
      </c>
      <c r="H183" s="47">
        <v>0</v>
      </c>
      <c r="I183" s="47">
        <f>SUM(I176:I182)</f>
        <v>3732</v>
      </c>
      <c r="J183" s="47"/>
      <c r="K183" s="47">
        <f>SUM(K176:K182)</f>
        <v>2479</v>
      </c>
      <c r="L183" s="309">
        <f>K183/I183*100</f>
        <v>66.425509110396575</v>
      </c>
      <c r="M183" s="47">
        <f>SUM(M176:M181)</f>
        <v>0</v>
      </c>
      <c r="N183" s="47">
        <v>0</v>
      </c>
      <c r="O183" s="47">
        <f>SUM(O176:O181)</f>
        <v>203</v>
      </c>
      <c r="P183" s="77">
        <f>SUM(P180:P182)</f>
        <v>203</v>
      </c>
      <c r="Q183" s="77">
        <f>SUM(Q176:Q181)</f>
        <v>0</v>
      </c>
      <c r="R183" s="78">
        <v>0</v>
      </c>
      <c r="T183" s="97"/>
      <c r="U183" s="97"/>
    </row>
    <row r="184" spans="1:23" ht="16.5" customHeight="1" x14ac:dyDescent="0.25">
      <c r="A184" s="98" t="s">
        <v>26</v>
      </c>
      <c r="B184" s="75"/>
      <c r="C184" s="159"/>
      <c r="D184" s="75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239"/>
      <c r="R184" s="295"/>
    </row>
    <row r="185" spans="1:23" ht="16.5" customHeight="1" x14ac:dyDescent="0.25">
      <c r="A185" s="99" t="s">
        <v>33</v>
      </c>
      <c r="B185" s="67"/>
      <c r="C185" s="143"/>
      <c r="D185" s="67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240"/>
      <c r="R185" s="296"/>
    </row>
    <row r="186" spans="1:23" ht="16.5" customHeight="1" x14ac:dyDescent="0.25">
      <c r="A186" s="89" t="s">
        <v>84</v>
      </c>
      <c r="B186" s="45">
        <f>SUM(I186)</f>
        <v>191</v>
      </c>
      <c r="C186" s="96" t="s">
        <v>60</v>
      </c>
      <c r="D186" s="45">
        <v>0</v>
      </c>
      <c r="E186" s="66">
        <v>191</v>
      </c>
      <c r="F186" s="66">
        <v>150</v>
      </c>
      <c r="G186" s="66">
        <v>41</v>
      </c>
      <c r="H186" s="66"/>
      <c r="I186" s="66">
        <f>SUM(F186:G186)</f>
        <v>191</v>
      </c>
      <c r="J186" s="66"/>
      <c r="K186" s="66">
        <v>0</v>
      </c>
      <c r="L186" s="292"/>
      <c r="M186" s="66"/>
      <c r="N186" s="66"/>
      <c r="O186" s="66"/>
      <c r="P186" s="66"/>
      <c r="Q186" s="225"/>
      <c r="R186" s="290"/>
    </row>
    <row r="187" spans="1:23" ht="18" customHeight="1" x14ac:dyDescent="0.25">
      <c r="A187" s="89" t="s">
        <v>85</v>
      </c>
      <c r="B187" s="45">
        <f>SUM(I187)</f>
        <v>127</v>
      </c>
      <c r="C187" s="96" t="s">
        <v>60</v>
      </c>
      <c r="D187" s="45">
        <v>0</v>
      </c>
      <c r="E187" s="66">
        <v>127</v>
      </c>
      <c r="F187" s="66">
        <v>100</v>
      </c>
      <c r="G187" s="66">
        <v>27</v>
      </c>
      <c r="H187" s="66"/>
      <c r="I187" s="66">
        <f>SUM(F187:G187)</f>
        <v>127</v>
      </c>
      <c r="J187" s="66"/>
      <c r="K187" s="66">
        <v>38</v>
      </c>
      <c r="L187" s="292">
        <f>K187/I187*100</f>
        <v>29.921259842519689</v>
      </c>
      <c r="M187" s="66"/>
      <c r="N187" s="66"/>
      <c r="O187" s="66"/>
      <c r="P187" s="66"/>
      <c r="Q187" s="225"/>
      <c r="R187" s="290"/>
    </row>
    <row r="188" spans="1:23" ht="54" customHeight="1" x14ac:dyDescent="0.25">
      <c r="A188" s="89" t="s">
        <v>87</v>
      </c>
      <c r="B188" s="45">
        <f>SUM(I188)</f>
        <v>724</v>
      </c>
      <c r="C188" s="96" t="s">
        <v>60</v>
      </c>
      <c r="D188" s="45">
        <v>0</v>
      </c>
      <c r="E188" s="66">
        <v>527</v>
      </c>
      <c r="F188" s="66">
        <f>415+155</f>
        <v>570</v>
      </c>
      <c r="G188" s="66">
        <f>112+42</f>
        <v>154</v>
      </c>
      <c r="H188" s="66"/>
      <c r="I188" s="66">
        <f>SUM(F188:G188)</f>
        <v>724</v>
      </c>
      <c r="J188" s="66"/>
      <c r="K188" s="66">
        <v>371</v>
      </c>
      <c r="L188" s="292">
        <f>K188/I188*100</f>
        <v>51.243093922651937</v>
      </c>
      <c r="M188" s="66"/>
      <c r="N188" s="66"/>
      <c r="O188" s="66"/>
      <c r="P188" s="66"/>
      <c r="Q188" s="225"/>
      <c r="R188" s="290"/>
    </row>
    <row r="189" spans="1:23" ht="16.5" customHeight="1" x14ac:dyDescent="0.25">
      <c r="A189" s="99" t="s">
        <v>34</v>
      </c>
      <c r="B189" s="45"/>
      <c r="C189" s="96"/>
      <c r="D189" s="45"/>
      <c r="E189" s="66"/>
      <c r="F189" s="66"/>
      <c r="G189" s="66"/>
      <c r="H189" s="66"/>
      <c r="I189" s="66"/>
      <c r="J189" s="66"/>
      <c r="K189" s="66"/>
      <c r="L189" s="292"/>
      <c r="M189" s="66"/>
      <c r="N189" s="66"/>
      <c r="O189" s="66"/>
      <c r="P189" s="66"/>
      <c r="Q189" s="225"/>
      <c r="R189" s="290"/>
      <c r="T189" s="41"/>
      <c r="U189" s="41"/>
      <c r="V189" s="41"/>
    </row>
    <row r="190" spans="1:23" ht="17.25" customHeight="1" x14ac:dyDescent="0.25">
      <c r="A190" s="89" t="s">
        <v>83</v>
      </c>
      <c r="B190" s="45">
        <f>SUM(I190)</f>
        <v>158</v>
      </c>
      <c r="C190" s="96" t="s">
        <v>60</v>
      </c>
      <c r="D190" s="45">
        <v>0</v>
      </c>
      <c r="E190" s="66">
        <v>158</v>
      </c>
      <c r="F190" s="66">
        <v>125</v>
      </c>
      <c r="G190" s="66">
        <v>33</v>
      </c>
      <c r="H190" s="66"/>
      <c r="I190" s="66">
        <f>SUM(F190:G190)</f>
        <v>158</v>
      </c>
      <c r="J190" s="66"/>
      <c r="K190" s="66">
        <v>0</v>
      </c>
      <c r="L190" s="292"/>
      <c r="M190" s="66"/>
      <c r="N190" s="66"/>
      <c r="O190" s="66"/>
      <c r="P190" s="66"/>
      <c r="Q190" s="225"/>
      <c r="R190" s="290"/>
      <c r="T190" s="41"/>
      <c r="U190" s="41"/>
      <c r="V190" s="41"/>
    </row>
    <row r="191" spans="1:23" ht="33.75" customHeight="1" thickBot="1" x14ac:dyDescent="0.3">
      <c r="A191" s="89" t="s">
        <v>86</v>
      </c>
      <c r="B191" s="45">
        <f>SUM(I191)</f>
        <v>869</v>
      </c>
      <c r="C191" s="96" t="s">
        <v>60</v>
      </c>
      <c r="D191" s="45">
        <v>0</v>
      </c>
      <c r="E191" s="66">
        <v>869</v>
      </c>
      <c r="F191" s="66">
        <v>684</v>
      </c>
      <c r="G191" s="66">
        <v>185</v>
      </c>
      <c r="H191" s="66"/>
      <c r="I191" s="66">
        <f>SUM(F191:G191)</f>
        <v>869</v>
      </c>
      <c r="J191" s="66"/>
      <c r="K191" s="66">
        <v>395</v>
      </c>
      <c r="L191" s="292">
        <f>K191/I191*100</f>
        <v>45.454545454545453</v>
      </c>
      <c r="M191" s="66"/>
      <c r="N191" s="66"/>
      <c r="O191" s="66"/>
      <c r="P191" s="66"/>
      <c r="Q191" s="225"/>
      <c r="R191" s="291"/>
    </row>
    <row r="192" spans="1:23" ht="16.5" customHeight="1" thickBot="1" x14ac:dyDescent="0.3">
      <c r="A192" s="92" t="s">
        <v>29</v>
      </c>
      <c r="B192" s="47">
        <f>SUM(B186:B191)</f>
        <v>2069</v>
      </c>
      <c r="C192" s="138"/>
      <c r="D192" s="47">
        <v>0</v>
      </c>
      <c r="E192" s="77">
        <f>SUM(E186:E191)</f>
        <v>1872</v>
      </c>
      <c r="F192" s="77">
        <f>SUM(F186:F191)</f>
        <v>1629</v>
      </c>
      <c r="G192" s="77">
        <f>SUM(G186:G191)</f>
        <v>440</v>
      </c>
      <c r="H192" s="77">
        <v>0</v>
      </c>
      <c r="I192" s="77">
        <f>SUM(I186:I191)</f>
        <v>2069</v>
      </c>
      <c r="J192" s="77"/>
      <c r="K192" s="77">
        <f>SUM(K186:K191)</f>
        <v>804</v>
      </c>
      <c r="L192" s="293">
        <f>K192/I192*100</f>
        <v>38.859352344127593</v>
      </c>
      <c r="M192" s="77">
        <v>0</v>
      </c>
      <c r="N192" s="77">
        <v>0</v>
      </c>
      <c r="O192" s="77">
        <v>0</v>
      </c>
      <c r="P192" s="77">
        <v>0</v>
      </c>
      <c r="Q192" s="222">
        <v>0</v>
      </c>
      <c r="R192" s="30">
        <v>0</v>
      </c>
    </row>
    <row r="193" spans="1:22" ht="16.5" customHeight="1" thickBot="1" x14ac:dyDescent="0.3">
      <c r="A193" s="80" t="s">
        <v>27</v>
      </c>
      <c r="B193" s="100">
        <f>SUM(B192,B183,B174)</f>
        <v>7977</v>
      </c>
      <c r="C193" s="168"/>
      <c r="D193" s="100">
        <f t="shared" ref="D193:P193" si="31">SUM(D192,D183,D174)</f>
        <v>0</v>
      </c>
      <c r="E193" s="100">
        <f t="shared" si="31"/>
        <v>6865</v>
      </c>
      <c r="F193" s="100">
        <f t="shared" si="31"/>
        <v>6438</v>
      </c>
      <c r="G193" s="100">
        <f t="shared" si="31"/>
        <v>1539</v>
      </c>
      <c r="H193" s="100">
        <f t="shared" si="31"/>
        <v>0</v>
      </c>
      <c r="I193" s="100">
        <f t="shared" si="31"/>
        <v>7977</v>
      </c>
      <c r="J193" s="100"/>
      <c r="K193" s="100">
        <f>K174+K183+K192</f>
        <v>4810</v>
      </c>
      <c r="L193" s="306">
        <f>K193/I193*100</f>
        <v>60.298357778613507</v>
      </c>
      <c r="M193" s="100">
        <f t="shared" si="31"/>
        <v>0</v>
      </c>
      <c r="N193" s="100"/>
      <c r="O193" s="100">
        <f t="shared" si="31"/>
        <v>203</v>
      </c>
      <c r="P193" s="100">
        <f t="shared" si="31"/>
        <v>203</v>
      </c>
      <c r="Q193" s="216">
        <f>SUM(Q192,Q183,Q174)</f>
        <v>0</v>
      </c>
      <c r="R193" s="101">
        <f>SUM(R192,R183,R174)</f>
        <v>0</v>
      </c>
    </row>
    <row r="194" spans="1:22" ht="16.5" customHeight="1" thickBot="1" x14ac:dyDescent="0.3">
      <c r="A194" s="102" t="s">
        <v>28</v>
      </c>
      <c r="B194" s="160">
        <f>SUM(B193,B166)</f>
        <v>7227573</v>
      </c>
      <c r="C194" s="169"/>
      <c r="D194" s="160">
        <f t="shared" ref="D194:P194" si="32">SUM(D193,D166)</f>
        <v>1366996</v>
      </c>
      <c r="E194" s="160">
        <f>SUM(E193,E166)</f>
        <v>1459732</v>
      </c>
      <c r="F194" s="160">
        <f t="shared" si="32"/>
        <v>4697833</v>
      </c>
      <c r="G194" s="160">
        <f t="shared" si="32"/>
        <v>1167070</v>
      </c>
      <c r="H194" s="160">
        <f t="shared" si="32"/>
        <v>140679</v>
      </c>
      <c r="I194" s="160">
        <f t="shared" si="32"/>
        <v>5864903</v>
      </c>
      <c r="J194" s="160">
        <f>J166</f>
        <v>90702</v>
      </c>
      <c r="K194" s="160">
        <f>K166+K193</f>
        <v>749587</v>
      </c>
      <c r="L194" s="306">
        <f>K194/I194*100</f>
        <v>12.780893392439738</v>
      </c>
      <c r="M194" s="160">
        <f t="shared" si="32"/>
        <v>961591</v>
      </c>
      <c r="N194" s="160">
        <f t="shared" si="32"/>
        <v>13085</v>
      </c>
      <c r="O194" s="160">
        <f t="shared" si="32"/>
        <v>4375182</v>
      </c>
      <c r="P194" s="160">
        <f t="shared" si="32"/>
        <v>2276332</v>
      </c>
      <c r="Q194" s="217">
        <f>SUM(Q193,Q166)</f>
        <v>3376508</v>
      </c>
      <c r="R194" s="178">
        <f>SUM(R193,R166)</f>
        <v>1739849</v>
      </c>
      <c r="T194" s="3">
        <f>P194-R194</f>
        <v>536483</v>
      </c>
    </row>
    <row r="195" spans="1:22" ht="16.5" thickBot="1" x14ac:dyDescent="0.3">
      <c r="A195" s="81" t="s">
        <v>17</v>
      </c>
      <c r="B195" s="103"/>
      <c r="C195" s="170"/>
      <c r="D195" s="103">
        <f>SUM(D194)</f>
        <v>1366996</v>
      </c>
      <c r="E195" s="103">
        <f>SUM(E194)</f>
        <v>1459732</v>
      </c>
      <c r="F195" s="103">
        <f>SUM(F194)</f>
        <v>4697833</v>
      </c>
      <c r="G195" s="103">
        <f>SUM(G194)</f>
        <v>1167070</v>
      </c>
      <c r="H195" s="103"/>
      <c r="I195" s="103">
        <f>I194</f>
        <v>5864903</v>
      </c>
      <c r="J195" s="103"/>
      <c r="K195" s="103">
        <f>SUM(K194)</f>
        <v>749587</v>
      </c>
      <c r="L195" s="103"/>
      <c r="M195" s="103"/>
      <c r="N195" s="103"/>
      <c r="O195" s="103"/>
      <c r="P195" s="218"/>
      <c r="Q195" s="218"/>
      <c r="R195" s="308"/>
      <c r="T195" s="3">
        <f>P37+P51+P180</f>
        <v>103763</v>
      </c>
      <c r="U195" s="3"/>
      <c r="V195" s="3"/>
    </row>
    <row r="196" spans="1:22" ht="16.5" thickBot="1" x14ac:dyDescent="0.3">
      <c r="A196" s="81" t="s">
        <v>18</v>
      </c>
      <c r="B196" s="103"/>
      <c r="C196" s="170"/>
      <c r="D196" s="103"/>
      <c r="E196" s="103"/>
      <c r="F196" s="103"/>
      <c r="G196" s="103"/>
      <c r="H196" s="103">
        <f>SUM(H194)</f>
        <v>140679</v>
      </c>
      <c r="I196" s="103"/>
      <c r="J196" s="103">
        <f>SUM(J194)</f>
        <v>90702</v>
      </c>
      <c r="K196" s="103"/>
      <c r="L196" s="103"/>
      <c r="M196" s="103"/>
      <c r="N196" s="103"/>
      <c r="O196" s="103"/>
      <c r="P196" s="218"/>
      <c r="Q196" s="218"/>
      <c r="R196" s="307"/>
      <c r="V196" s="37"/>
    </row>
    <row r="197" spans="1:22" ht="25.5" customHeight="1" x14ac:dyDescent="0.25">
      <c r="A197" s="304" t="s">
        <v>54</v>
      </c>
      <c r="B197" s="305"/>
      <c r="C197" s="305"/>
      <c r="D197" s="305"/>
      <c r="E197" s="305"/>
      <c r="F197" s="305"/>
      <c r="G197" s="305"/>
      <c r="H197" s="305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</row>
    <row r="198" spans="1:22" x14ac:dyDescent="0.25">
      <c r="A198" s="70" t="s">
        <v>53</v>
      </c>
      <c r="H198" s="3"/>
    </row>
    <row r="199" spans="1:22" x14ac:dyDescent="0.25">
      <c r="G199" s="3"/>
      <c r="P199" s="3">
        <f>R194+P180+P37+P51+142+P94-142</f>
        <v>2276332</v>
      </c>
    </row>
    <row r="200" spans="1:22" x14ac:dyDescent="0.25">
      <c r="I200" s="3"/>
      <c r="J200" s="3"/>
      <c r="K200" s="3"/>
      <c r="L200" s="3"/>
      <c r="P200" s="3">
        <f>P194-P199</f>
        <v>0</v>
      </c>
    </row>
    <row r="201" spans="1:22" x14ac:dyDescent="0.25"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22" x14ac:dyDescent="0.25">
      <c r="I202" s="3"/>
      <c r="J202" s="3"/>
      <c r="K202" s="3"/>
      <c r="L202" s="3"/>
    </row>
  </sheetData>
  <mergeCells count="3">
    <mergeCell ref="O1:R1"/>
    <mergeCell ref="Q3:R3"/>
    <mergeCell ref="A2:R2"/>
  </mergeCells>
  <pageMargins left="0.70866141732283472" right="0.70866141732283472" top="0.74803149606299213" bottom="0.74803149606299213" header="0.31496062992125984" footer="0.31496062992125984"/>
  <pageSetup paperSize="9" scale="4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 mell2020Zárszám</vt:lpstr>
      <vt:lpstr>'8. mell2020Zárszám'!Nyomtatási_terület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Simonné H Andrea</dc:creator>
  <cp:lastModifiedBy>Salamon Irénke 2</cp:lastModifiedBy>
  <cp:lastPrinted>2021-05-20T13:14:01Z</cp:lastPrinted>
  <dcterms:created xsi:type="dcterms:W3CDTF">2017-02-15T15:00:41Z</dcterms:created>
  <dcterms:modified xsi:type="dcterms:W3CDTF">2021-05-21T10:11:29Z</dcterms:modified>
</cp:coreProperties>
</file>