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ZTAL\irén\képviselő-testületi anyagok\2021\Kiküldendő előterjesztések\05. 21\06. napirendi pont zárszámadás\loc-lexbe\"/>
    </mc:Choice>
  </mc:AlternateContent>
  <xr:revisionPtr revIDLastSave="0" documentId="8_{8CA6F77D-928F-4B70-84E6-CF263AE47CBE}" xr6:coauthVersionLast="46" xr6:coauthVersionMax="46" xr10:uidLastSave="{00000000-0000-0000-0000-000000000000}"/>
  <bookViews>
    <workbookView xWindow="-120" yWindow="-120" windowWidth="25440" windowHeight="15540"/>
  </bookViews>
  <sheets>
    <sheet name="10.mell.2020Zárszám" sheetId="5" r:id="rId1"/>
    <sheet name="114 Millió" sheetId="6" r:id="rId2"/>
    <sheet name="200 Millió" sheetId="7" r:id="rId3"/>
    <sheet name="375 Millió" sheetId="9" r:id="rId4"/>
  </sheets>
  <definedNames>
    <definedName name="_xlnm.Print_Area" localSheetId="0">'10.mell.2020Zárszám'!$A$1:$U$17</definedName>
    <definedName name="_xlnm.Print_Area" localSheetId="2">'200 Millió'!$A$1:$K$42</definedName>
  </definedNames>
  <calcPr calcId="181029"/>
</workbook>
</file>

<file path=xl/calcChain.xml><?xml version="1.0" encoding="utf-8"?>
<calcChain xmlns="http://schemas.openxmlformats.org/spreadsheetml/2006/main">
  <c r="D25" i="5" l="1"/>
  <c r="K17" i="5"/>
  <c r="K12" i="5"/>
  <c r="K11" i="5"/>
  <c r="K13" i="5" s="1"/>
  <c r="K10" i="5"/>
  <c r="K14" i="5" s="1"/>
  <c r="M12" i="5"/>
  <c r="M10" i="5"/>
  <c r="I17" i="5"/>
  <c r="I13" i="5"/>
  <c r="I14" i="5" s="1"/>
  <c r="L12" i="5"/>
  <c r="B13" i="5"/>
  <c r="B14" i="5" s="1"/>
  <c r="B17" i="5" s="1"/>
  <c r="U17" i="5"/>
  <c r="U13" i="5"/>
  <c r="J11" i="5"/>
  <c r="J13" i="5" s="1"/>
  <c r="J14" i="5" s="1"/>
  <c r="J17" i="5" s="1"/>
  <c r="C14" i="9"/>
  <c r="C13" i="9"/>
  <c r="C12" i="9"/>
  <c r="D11" i="9"/>
  <c r="D10" i="9"/>
  <c r="D9" i="9"/>
  <c r="C8" i="9"/>
  <c r="F11" i="9" s="1"/>
  <c r="D8" i="9"/>
  <c r="C11" i="9"/>
  <c r="C10" i="9"/>
  <c r="C9" i="9"/>
  <c r="N11" i="5"/>
  <c r="N13" i="5" s="1"/>
  <c r="B12" i="5"/>
  <c r="I41" i="7"/>
  <c r="I37" i="7"/>
  <c r="I33" i="7"/>
  <c r="I29" i="7"/>
  <c r="I25" i="7"/>
  <c r="I21" i="7"/>
  <c r="I17" i="7"/>
  <c r="B11" i="7"/>
  <c r="B12" i="7" s="1"/>
  <c r="C13" i="7" s="1"/>
  <c r="B9" i="7"/>
  <c r="C12" i="7"/>
  <c r="C11" i="7"/>
  <c r="C10" i="7"/>
  <c r="C9" i="7"/>
  <c r="C8" i="7"/>
  <c r="C7" i="7"/>
  <c r="C6" i="7"/>
  <c r="C5" i="7"/>
  <c r="F13" i="7"/>
  <c r="C13" i="5"/>
  <c r="L13" i="5"/>
  <c r="L14" i="5" s="1"/>
  <c r="L17" i="5" s="1"/>
  <c r="E46" i="9"/>
  <c r="B15" i="9"/>
  <c r="C15" i="9" s="1"/>
  <c r="G15" i="9" s="1"/>
  <c r="B16" i="9"/>
  <c r="C16" i="9" s="1"/>
  <c r="I45" i="9"/>
  <c r="I43" i="9"/>
  <c r="I39" i="9"/>
  <c r="H39" i="9"/>
  <c r="I35" i="9"/>
  <c r="I31" i="9"/>
  <c r="I27" i="9"/>
  <c r="I23" i="9"/>
  <c r="I19" i="9"/>
  <c r="I15" i="9"/>
  <c r="I46" i="9" s="1"/>
  <c r="H7" i="9"/>
  <c r="C7" i="9"/>
  <c r="F7" i="9"/>
  <c r="D5" i="7"/>
  <c r="F5" i="7"/>
  <c r="C14" i="5"/>
  <c r="C17" i="5"/>
  <c r="J10" i="5"/>
  <c r="J12" i="5"/>
  <c r="S11" i="5"/>
  <c r="S13" i="5" s="1"/>
  <c r="R11" i="5"/>
  <c r="Q11" i="5"/>
  <c r="Q13" i="5" s="1"/>
  <c r="Q14" i="5" s="1"/>
  <c r="Q17" i="5" s="1"/>
  <c r="P11" i="5"/>
  <c r="O11" i="5"/>
  <c r="O13" i="5" s="1"/>
  <c r="O14" i="5" s="1"/>
  <c r="O17" i="5" s="1"/>
  <c r="L11" i="5"/>
  <c r="F11" i="5"/>
  <c r="M11" i="5" s="1"/>
  <c r="H11" i="5"/>
  <c r="H13" i="5" s="1"/>
  <c r="H14" i="5"/>
  <c r="H17" i="5" s="1"/>
  <c r="F12" i="5"/>
  <c r="D10" i="7"/>
  <c r="D9" i="7"/>
  <c r="D6" i="7"/>
  <c r="D7" i="7"/>
  <c r="D8" i="7"/>
  <c r="F9" i="7"/>
  <c r="S14" i="5"/>
  <c r="S17" i="5" s="1"/>
  <c r="F13" i="5"/>
  <c r="F14" i="5" s="1"/>
  <c r="F17" i="5" s="1"/>
  <c r="D13" i="5"/>
  <c r="D14" i="5"/>
  <c r="D17" i="5" s="1"/>
  <c r="E13" i="5"/>
  <c r="E14" i="5" s="1"/>
  <c r="E17" i="5" s="1"/>
  <c r="U14" i="5"/>
  <c r="T13" i="5"/>
  <c r="T14" i="5" s="1"/>
  <c r="T17" i="5"/>
  <c r="R13" i="5"/>
  <c r="R14" i="5"/>
  <c r="R17" i="5" s="1"/>
  <c r="P13" i="5"/>
  <c r="P14" i="5" s="1"/>
  <c r="P17" i="5"/>
  <c r="N14" i="5"/>
  <c r="N17" i="5" s="1"/>
  <c r="D6" i="6"/>
  <c r="C6" i="6"/>
  <c r="C7" i="6" s="1"/>
  <c r="E42" i="7"/>
  <c r="G7" i="9"/>
  <c r="J7" i="9"/>
  <c r="G11" i="9"/>
  <c r="H11" i="9"/>
  <c r="J11" i="9" s="1"/>
  <c r="L13" i="9"/>
  <c r="M13" i="9"/>
  <c r="C41" i="7"/>
  <c r="J15" i="9" l="1"/>
  <c r="C8" i="6"/>
  <c r="D8" i="6"/>
  <c r="D7" i="6"/>
  <c r="J19" i="5"/>
  <c r="V19" i="5" s="1"/>
  <c r="H46" i="9"/>
  <c r="B13" i="7"/>
  <c r="F15" i="9"/>
  <c r="K19" i="5"/>
  <c r="K21" i="5" s="1"/>
  <c r="B17" i="9"/>
  <c r="M13" i="5"/>
  <c r="C17" i="9" l="1"/>
  <c r="B18" i="9"/>
  <c r="E9" i="6"/>
  <c r="D9" i="6"/>
  <c r="C9" i="6"/>
  <c r="M17" i="5"/>
  <c r="M14" i="5"/>
  <c r="B14" i="7"/>
  <c r="C14" i="7"/>
  <c r="C15" i="7" l="1"/>
  <c r="B15" i="7"/>
  <c r="C10" i="6"/>
  <c r="D10" i="6"/>
  <c r="C18" i="9"/>
  <c r="B19" i="9"/>
  <c r="C19" i="9" l="1"/>
  <c r="F19" i="9" s="1"/>
  <c r="B20" i="9"/>
  <c r="C16" i="7"/>
  <c r="B16" i="7"/>
  <c r="C11" i="6"/>
  <c r="D11" i="6"/>
  <c r="B17" i="7" l="1"/>
  <c r="C17" i="7"/>
  <c r="D12" i="6"/>
  <c r="C12" i="6"/>
  <c r="F17" i="7"/>
  <c r="H17" i="7"/>
  <c r="J17" i="7" s="1"/>
  <c r="B21" i="9"/>
  <c r="C20" i="9"/>
  <c r="G19" i="9"/>
  <c r="C13" i="6" l="1"/>
  <c r="D13" i="6"/>
  <c r="E13" i="6" s="1"/>
  <c r="C18" i="7"/>
  <c r="B18" i="7"/>
  <c r="J19" i="9"/>
  <c r="C21" i="9"/>
  <c r="B22" i="9"/>
  <c r="C22" i="9" l="1"/>
  <c r="B23" i="9"/>
  <c r="C19" i="7"/>
  <c r="B19" i="7"/>
  <c r="C14" i="6"/>
  <c r="D14" i="6"/>
  <c r="D15" i="6" l="1"/>
  <c r="C15" i="6"/>
  <c r="B20" i="7"/>
  <c r="C20" i="7"/>
  <c r="B24" i="9"/>
  <c r="C23" i="9"/>
  <c r="F23" i="9" s="1"/>
  <c r="G23" i="9"/>
  <c r="C24" i="9" l="1"/>
  <c r="B25" i="9"/>
  <c r="C21" i="7"/>
  <c r="H21" i="7" s="1"/>
  <c r="J21" i="7" s="1"/>
  <c r="B21" i="7"/>
  <c r="J23" i="9"/>
  <c r="F21" i="7"/>
  <c r="C16" i="6"/>
  <c r="D16" i="6"/>
  <c r="D17" i="6" l="1"/>
  <c r="C17" i="6"/>
  <c r="E17" i="6"/>
  <c r="B22" i="7"/>
  <c r="C22" i="7"/>
  <c r="C25" i="9"/>
  <c r="B26" i="9"/>
  <c r="C26" i="9" l="1"/>
  <c r="B27" i="9"/>
  <c r="B23" i="7"/>
  <c r="C23" i="7"/>
  <c r="D18" i="6"/>
  <c r="C18" i="6"/>
  <c r="C19" i="6" l="1"/>
  <c r="D19" i="6"/>
  <c r="C27" i="9"/>
  <c r="F27" i="9" s="1"/>
  <c r="B28" i="9"/>
  <c r="B24" i="7"/>
  <c r="C24" i="7"/>
  <c r="F25" i="7" l="1"/>
  <c r="G27" i="9"/>
  <c r="C25" i="7"/>
  <c r="H25" i="7" s="1"/>
  <c r="J25" i="7" s="1"/>
  <c r="B25" i="7"/>
  <c r="C28" i="9"/>
  <c r="B29" i="9"/>
  <c r="C20" i="6"/>
  <c r="D20" i="6"/>
  <c r="B30" i="9" l="1"/>
  <c r="C29" i="9"/>
  <c r="C26" i="7"/>
  <c r="B26" i="7"/>
  <c r="J27" i="9"/>
  <c r="D21" i="6"/>
  <c r="E21" i="6" s="1"/>
  <c r="C21" i="6"/>
  <c r="C27" i="7" l="1"/>
  <c r="B27" i="7"/>
  <c r="D22" i="6"/>
  <c r="C22" i="6"/>
  <c r="C30" i="9"/>
  <c r="B31" i="9"/>
  <c r="B32" i="9" l="1"/>
  <c r="C31" i="9"/>
  <c r="F31" i="9" s="1"/>
  <c r="D23" i="6"/>
  <c r="C23" i="6"/>
  <c r="C28" i="7"/>
  <c r="B28" i="7"/>
  <c r="G31" i="9"/>
  <c r="J31" i="9" l="1"/>
  <c r="F29" i="7"/>
  <c r="C32" i="9"/>
  <c r="B33" i="9"/>
  <c r="C29" i="7"/>
  <c r="H29" i="7" s="1"/>
  <c r="J29" i="7" s="1"/>
  <c r="B29" i="7"/>
  <c r="D24" i="6"/>
  <c r="C24" i="6"/>
  <c r="D25" i="6" l="1"/>
  <c r="E25" i="6" s="1"/>
  <c r="C25" i="6"/>
  <c r="B30" i="7"/>
  <c r="C30" i="7"/>
  <c r="C33" i="9"/>
  <c r="B34" i="9"/>
  <c r="B31" i="7" l="1"/>
  <c r="C31" i="7"/>
  <c r="B35" i="9"/>
  <c r="C34" i="9"/>
  <c r="C26" i="6"/>
  <c r="D26" i="6"/>
  <c r="C27" i="6" l="1"/>
  <c r="D27" i="6"/>
  <c r="C35" i="9"/>
  <c r="G35" i="9" s="1"/>
  <c r="J35" i="9" s="1"/>
  <c r="B36" i="9"/>
  <c r="B32" i="7"/>
  <c r="C32" i="7"/>
  <c r="C33" i="7" l="1"/>
  <c r="H33" i="7" s="1"/>
  <c r="J33" i="7" s="1"/>
  <c r="B33" i="7"/>
  <c r="D28" i="6"/>
  <c r="C28" i="6"/>
  <c r="F35" i="9"/>
  <c r="F33" i="7"/>
  <c r="B37" i="9"/>
  <c r="C36" i="9"/>
  <c r="C29" i="6" l="1"/>
  <c r="D29" i="6"/>
  <c r="E29" i="6" s="1"/>
  <c r="C34" i="7"/>
  <c r="B34" i="7"/>
  <c r="C37" i="9"/>
  <c r="B38" i="9"/>
  <c r="C30" i="6" l="1"/>
  <c r="D30" i="6"/>
  <c r="C38" i="9"/>
  <c r="B39" i="9"/>
  <c r="C35" i="7"/>
  <c r="B35" i="7"/>
  <c r="F39" i="9" l="1"/>
  <c r="C36" i="7"/>
  <c r="B36" i="7"/>
  <c r="C39" i="9"/>
  <c r="G39" i="9" s="1"/>
  <c r="J39" i="9" s="1"/>
  <c r="B40" i="9"/>
  <c r="D31" i="6"/>
  <c r="C31" i="6"/>
  <c r="F37" i="7" l="1"/>
  <c r="C32" i="6"/>
  <c r="D32" i="6"/>
  <c r="C40" i="9"/>
  <c r="B41" i="9"/>
  <c r="C37" i="7"/>
  <c r="H37" i="7" s="1"/>
  <c r="J37" i="7" s="1"/>
  <c r="B37" i="7"/>
  <c r="B38" i="7" l="1"/>
  <c r="C38" i="7"/>
  <c r="C41" i="9"/>
  <c r="B42" i="9"/>
  <c r="D33" i="6"/>
  <c r="E33" i="6" s="1"/>
  <c r="C33" i="6"/>
  <c r="C42" i="9" l="1"/>
  <c r="B43" i="9"/>
  <c r="D34" i="6"/>
  <c r="C34" i="6"/>
  <c r="B39" i="7"/>
  <c r="C40" i="7" s="1"/>
  <c r="C39" i="7"/>
  <c r="H41" i="7" s="1"/>
  <c r="J41" i="7" s="1"/>
  <c r="D35" i="6" l="1"/>
  <c r="C35" i="6"/>
  <c r="F41" i="7"/>
  <c r="F42" i="7" s="1"/>
  <c r="C43" i="9"/>
  <c r="F43" i="9" s="1"/>
  <c r="B44" i="9"/>
  <c r="G43" i="9"/>
  <c r="J43" i="9" s="1"/>
  <c r="C36" i="6" l="1"/>
  <c r="D36" i="6"/>
  <c r="C44" i="9"/>
  <c r="B45" i="9"/>
  <c r="C45" i="9" s="1"/>
  <c r="G45" i="9" l="1"/>
  <c r="F45" i="9"/>
  <c r="F46" i="9" s="1"/>
  <c r="F47" i="9" s="1"/>
  <c r="C37" i="6"/>
  <c r="D37" i="6"/>
  <c r="E37" i="6" s="1"/>
  <c r="D38" i="6" l="1"/>
  <c r="C38" i="6"/>
  <c r="J45" i="9"/>
  <c r="J46" i="9" s="1"/>
  <c r="G46" i="9"/>
  <c r="C39" i="6" l="1"/>
  <c r="D39" i="6"/>
  <c r="D40" i="6" l="1"/>
  <c r="C40" i="6"/>
  <c r="D41" i="6" l="1"/>
  <c r="E41" i="6" s="1"/>
  <c r="C41" i="6"/>
  <c r="C42" i="6" l="1"/>
  <c r="D42" i="6"/>
  <c r="C43" i="6" l="1"/>
  <c r="D43" i="6"/>
  <c r="D44" i="6" l="1"/>
  <c r="C44" i="6"/>
  <c r="C45" i="6" l="1"/>
  <c r="D45" i="6"/>
  <c r="E45" i="6" s="1"/>
</calcChain>
</file>

<file path=xl/sharedStrings.xml><?xml version="1.0" encoding="utf-8"?>
<sst xmlns="http://schemas.openxmlformats.org/spreadsheetml/2006/main" count="82" uniqueCount="66">
  <si>
    <t>ezer Ft-ban</t>
  </si>
  <si>
    <t>Lejárat</t>
  </si>
  <si>
    <t>Várható</t>
  </si>
  <si>
    <t>felvétel</t>
  </si>
  <si>
    <t>ideje</t>
  </si>
  <si>
    <t>fennálló</t>
  </si>
  <si>
    <t>kamat</t>
  </si>
  <si>
    <t>összege</t>
  </si>
  <si>
    <t>időpontja</t>
  </si>
  <si>
    <t>tartozás</t>
  </si>
  <si>
    <t>%-a</t>
  </si>
  <si>
    <t>2020.</t>
  </si>
  <si>
    <t>Szerződés</t>
  </si>
  <si>
    <t>Igénybevett</t>
  </si>
  <si>
    <t>2016.</t>
  </si>
  <si>
    <t>TAMÁSI VÁROS ÖNKORMÁNYZATA ADÓSSÁGOT KELETKEZTETŐ ÜGYLETEIBŐL FENNÁLLÓ KÖTELEZETTSÉGEI</t>
  </si>
  <si>
    <t>törlesztés</t>
  </si>
  <si>
    <t>kamat+ egyéb fiz.köt.</t>
  </si>
  <si>
    <t>Hosszú lejáratú kötelezettségek összesen:</t>
  </si>
  <si>
    <t>Kötelezettségek mindösszesen:</t>
  </si>
  <si>
    <t>terv</t>
  </si>
  <si>
    <t>Tervezett</t>
  </si>
  <si>
    <t>Fizetendő tőke, kamat és egyéb költségek</t>
  </si>
  <si>
    <t>tervezett fennálló tartozás</t>
  </si>
  <si>
    <t>igénybevétel alapján</t>
  </si>
  <si>
    <t>2015.</t>
  </si>
  <si>
    <t>2026.</t>
  </si>
  <si>
    <t>2021.</t>
  </si>
  <si>
    <t>2022.</t>
  </si>
  <si>
    <t>2023.</t>
  </si>
  <si>
    <t>2024.</t>
  </si>
  <si>
    <t>2025.</t>
  </si>
  <si>
    <t>Kamat</t>
  </si>
  <si>
    <t>Likviditási célú hitel</t>
  </si>
  <si>
    <t>Rövid lejáratú kötelezettségek összesen:</t>
  </si>
  <si>
    <t>Dátum</t>
  </si>
  <si>
    <t>Fennálló tart.</t>
  </si>
  <si>
    <t>10. számú melléklet</t>
  </si>
  <si>
    <t>2027.</t>
  </si>
  <si>
    <t>2028.</t>
  </si>
  <si>
    <t>Tervezett hitel:</t>
  </si>
  <si>
    <t>Rendelkezésre tartási jutalék</t>
  </si>
  <si>
    <t>Fennálló tartozás/Lehívott összeg</t>
  </si>
  <si>
    <t>Adott évi törlesztés</t>
  </si>
  <si>
    <t>Összesen</t>
  </si>
  <si>
    <t>Hitel/kölcsön fajtája</t>
  </si>
  <si>
    <t>hitel/kölcsön</t>
  </si>
  <si>
    <t>Hitel/kölcsön</t>
  </si>
  <si>
    <t>Felhalmozási célú hitelek/kölcsönök:</t>
  </si>
  <si>
    <t>Felhalmozási célú hitelek/kölcsönök összesen:</t>
  </si>
  <si>
    <t>1) Szennyvízcsatorna beruházáshoz kapcsolódó pótlólagos csatornaszakaszok, rákötések és útfelújítások (OTP Bank Nyrt.)</t>
  </si>
  <si>
    <t>2) Az Aquainvest Vagyonkezelő és Szolgáltató Kft Tamási Közös Víz- és Csatornaműben meglévő üzletrészének megvásárlása (OTP Bank Nyrt.)</t>
  </si>
  <si>
    <t>szerinti hitel/kölcsön</t>
  </si>
  <si>
    <t>2019.12.31-én</t>
  </si>
  <si>
    <t xml:space="preserve">3) Fejlesztési célú kölcsön fejlesztési kiadások és TOP-os projektek önrészének fedezetére (OTP Bank Nyrt) </t>
  </si>
  <si>
    <t>2020. évi</t>
  </si>
  <si>
    <t>2020.12.31-én</t>
  </si>
  <si>
    <t>2018.-2020.</t>
  </si>
  <si>
    <t>200 milliós hitel:</t>
  </si>
  <si>
    <t>s</t>
  </si>
  <si>
    <t>2,06 %, 2023. évtől 2,5 %</t>
  </si>
  <si>
    <t>Rendelkezésre tartási jutalék (0,2 %)</t>
  </si>
  <si>
    <t>összege 2020.12.31-ig</t>
  </si>
  <si>
    <t>tény</t>
  </si>
  <si>
    <t>Teljesített</t>
  </si>
  <si>
    <t>tényleges fennálló tartozás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</si>
</sst>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5" formatCode="_-* #,##0.00\ _F_t_-;\-* #,##0.00\ _F_t_-;_-* &quot;-&quot;??\ _F_t_-;_-@_-"/>
    <numFmt numFmtId="174" formatCode="#,###"/>
    <numFmt numFmtId="175" formatCode="#,###.00"/>
    <numFmt numFmtId="185" formatCode="#,###.0"/>
    <numFmt numFmtId="189" formatCode="_-* #,##0\ _F_t_-;\-* #,##0\ _F_t_-;_-* &quot;-&quot;??\ _F_t_-;_-@_-"/>
  </numFmts>
  <fonts count="13" x14ac:knownFonts="1">
    <font>
      <sz val="10"/>
      <name val="Arial"/>
      <charset val="238"/>
    </font>
    <font>
      <sz val="10"/>
      <name val="Arial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164">
    <xf numFmtId="0" fontId="0" fillId="0" borderId="0" xfId="0"/>
    <xf numFmtId="0" fontId="3" fillId="0" borderId="0" xfId="0" applyFont="1" applyFill="1"/>
    <xf numFmtId="0" fontId="3" fillId="0" borderId="0" xfId="0" applyFont="1"/>
    <xf numFmtId="174" fontId="3" fillId="0" borderId="0" xfId="0" applyNumberFormat="1" applyFont="1" applyFill="1"/>
    <xf numFmtId="174" fontId="3" fillId="0" borderId="0" xfId="2" applyNumberFormat="1" applyFont="1" applyFill="1" applyAlignment="1">
      <alignment vertical="center" wrapText="1"/>
    </xf>
    <xf numFmtId="0" fontId="3" fillId="0" borderId="0" xfId="2" applyFont="1" applyFill="1"/>
    <xf numFmtId="174" fontId="5" fillId="0" borderId="0" xfId="2" applyNumberFormat="1" applyFont="1" applyFill="1" applyAlignment="1">
      <alignment horizontal="center" vertical="center" wrapText="1"/>
    </xf>
    <xf numFmtId="174" fontId="5" fillId="0" borderId="1" xfId="2" applyNumberFormat="1" applyFont="1" applyFill="1" applyBorder="1" applyAlignment="1">
      <alignment vertical="center" wrapText="1"/>
    </xf>
    <xf numFmtId="174" fontId="3" fillId="0" borderId="0" xfId="2" applyNumberFormat="1" applyFont="1" applyFill="1" applyAlignment="1">
      <alignment horizontal="center" vertical="center" wrapText="1"/>
    </xf>
    <xf numFmtId="175" fontId="3" fillId="0" borderId="0" xfId="2" applyNumberFormat="1" applyFont="1" applyFill="1" applyAlignment="1">
      <alignment horizontal="center" vertical="center" wrapText="1"/>
    </xf>
    <xf numFmtId="174" fontId="3" fillId="0" borderId="2" xfId="2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/>
    </xf>
    <xf numFmtId="174" fontId="3" fillId="2" borderId="4" xfId="2" applyNumberFormat="1" applyFont="1" applyFill="1" applyBorder="1" applyAlignment="1">
      <alignment horizontal="center" vertical="center" wrapText="1"/>
    </xf>
    <xf numFmtId="174" fontId="3" fillId="2" borderId="5" xfId="2" applyNumberFormat="1" applyFont="1" applyFill="1" applyBorder="1" applyAlignment="1">
      <alignment horizontal="center" vertical="center" wrapText="1"/>
    </xf>
    <xf numFmtId="174" fontId="3" fillId="2" borderId="1" xfId="2" applyNumberFormat="1" applyFont="1" applyFill="1" applyBorder="1" applyAlignment="1">
      <alignment horizontal="center" vertical="center" wrapText="1"/>
    </xf>
    <xf numFmtId="174" fontId="5" fillId="0" borderId="6" xfId="2" applyNumberFormat="1" applyFont="1" applyFill="1" applyBorder="1" applyAlignment="1">
      <alignment horizontal="left" vertical="center" wrapText="1"/>
    </xf>
    <xf numFmtId="174" fontId="5" fillId="0" borderId="7" xfId="2" applyNumberFormat="1" applyFont="1" applyFill="1" applyBorder="1" applyAlignment="1">
      <alignment horizontal="left" vertical="center" wrapText="1"/>
    </xf>
    <xf numFmtId="174" fontId="3" fillId="2" borderId="8" xfId="2" applyNumberFormat="1" applyFont="1" applyFill="1" applyBorder="1" applyAlignment="1">
      <alignment horizontal="center" vertical="center" wrapText="1"/>
    </xf>
    <xf numFmtId="175" fontId="3" fillId="2" borderId="4" xfId="2" applyNumberFormat="1" applyFont="1" applyFill="1" applyBorder="1" applyAlignment="1">
      <alignment horizontal="center" vertical="center" wrapText="1"/>
    </xf>
    <xf numFmtId="175" fontId="3" fillId="2" borderId="5" xfId="2" applyNumberFormat="1" applyFont="1" applyFill="1" applyBorder="1" applyAlignment="1">
      <alignment horizontal="center" vertical="center" wrapText="1"/>
    </xf>
    <xf numFmtId="174" fontId="3" fillId="2" borderId="7" xfId="2" applyNumberFormat="1" applyFont="1" applyFill="1" applyBorder="1" applyAlignment="1">
      <alignment horizontal="center" vertical="center" wrapText="1"/>
    </xf>
    <xf numFmtId="175" fontId="3" fillId="2" borderId="1" xfId="2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/>
    <xf numFmtId="174" fontId="3" fillId="0" borderId="0" xfId="2" applyNumberFormat="1" applyFont="1" applyFill="1" applyAlignment="1">
      <alignment horizontal="right" vertical="center" wrapText="1"/>
    </xf>
    <xf numFmtId="174" fontId="3" fillId="0" borderId="0" xfId="2" applyNumberFormat="1" applyFont="1" applyFill="1" applyBorder="1" applyAlignment="1">
      <alignment horizontal="right" vertical="center" wrapText="1"/>
    </xf>
    <xf numFmtId="174" fontId="5" fillId="0" borderId="1" xfId="2" applyNumberFormat="1" applyFont="1" applyFill="1" applyBorder="1" applyAlignment="1">
      <alignment horizontal="right" vertical="center" wrapText="1"/>
    </xf>
    <xf numFmtId="17" fontId="3" fillId="2" borderId="4" xfId="2" applyNumberFormat="1" applyFont="1" applyFill="1" applyBorder="1" applyAlignment="1">
      <alignment horizontal="center" vertical="center" wrapText="1"/>
    </xf>
    <xf numFmtId="174" fontId="6" fillId="0" borderId="9" xfId="2" applyNumberFormat="1" applyFont="1" applyFill="1" applyBorder="1" applyAlignment="1">
      <alignment horizontal="left" vertical="center" wrapText="1"/>
    </xf>
    <xf numFmtId="174" fontId="6" fillId="0" borderId="10" xfId="2" applyNumberFormat="1" applyFont="1" applyFill="1" applyBorder="1" applyAlignment="1">
      <alignment vertical="center" wrapText="1"/>
    </xf>
    <xf numFmtId="174" fontId="3" fillId="0" borderId="10" xfId="2" applyNumberFormat="1" applyFont="1" applyFill="1" applyBorder="1" applyAlignment="1">
      <alignment vertical="center" wrapText="1"/>
    </xf>
    <xf numFmtId="175" fontId="3" fillId="0" borderId="10" xfId="2" applyNumberFormat="1" applyFont="1" applyFill="1" applyBorder="1" applyAlignment="1">
      <alignment vertical="center" wrapText="1"/>
    </xf>
    <xf numFmtId="0" fontId="3" fillId="3" borderId="0" xfId="0" applyFont="1" applyFill="1"/>
    <xf numFmtId="185" fontId="5" fillId="0" borderId="1" xfId="2" applyNumberFormat="1" applyFont="1" applyFill="1" applyBorder="1" applyAlignment="1">
      <alignment vertical="center" wrapText="1"/>
    </xf>
    <xf numFmtId="185" fontId="5" fillId="0" borderId="1" xfId="2" applyNumberFormat="1" applyFont="1" applyFill="1" applyBorder="1" applyAlignment="1">
      <alignment horizontal="right" vertical="center" wrapText="1"/>
    </xf>
    <xf numFmtId="174" fontId="5" fillId="0" borderId="11" xfId="2" applyNumberFormat="1" applyFont="1" applyFill="1" applyBorder="1" applyAlignment="1">
      <alignment vertical="center" wrapText="1"/>
    </xf>
    <xf numFmtId="3" fontId="3" fillId="3" borderId="0" xfId="0" applyNumberFormat="1" applyFont="1" applyFill="1"/>
    <xf numFmtId="174" fontId="5" fillId="0" borderId="10" xfId="2" applyNumberFormat="1" applyFont="1" applyFill="1" applyBorder="1" applyAlignment="1">
      <alignment vertical="center" wrapText="1"/>
    </xf>
    <xf numFmtId="185" fontId="5" fillId="0" borderId="10" xfId="2" applyNumberFormat="1" applyFont="1" applyFill="1" applyBorder="1" applyAlignment="1">
      <alignment vertical="center" wrapText="1"/>
    </xf>
    <xf numFmtId="174" fontId="3" fillId="0" borderId="1" xfId="2" applyNumberFormat="1" applyFont="1" applyFill="1" applyBorder="1" applyAlignment="1">
      <alignment vertical="center" wrapText="1"/>
    </xf>
    <xf numFmtId="185" fontId="3" fillId="0" borderId="1" xfId="2" applyNumberFormat="1" applyFont="1" applyFill="1" applyBorder="1" applyAlignment="1">
      <alignment vertical="center" wrapText="1"/>
    </xf>
    <xf numFmtId="0" fontId="8" fillId="0" borderId="12" xfId="0" applyFont="1" applyBorder="1" applyAlignment="1">
      <alignment horizontal="center"/>
    </xf>
    <xf numFmtId="14" fontId="0" fillId="4" borderId="12" xfId="0" applyNumberFormat="1" applyFill="1" applyBorder="1" applyAlignment="1">
      <alignment horizontal="left"/>
    </xf>
    <xf numFmtId="3" fontId="0" fillId="4" borderId="12" xfId="0" applyNumberFormat="1" applyFill="1" applyBorder="1"/>
    <xf numFmtId="14" fontId="0" fillId="5" borderId="12" xfId="0" applyNumberFormat="1" applyFill="1" applyBorder="1" applyAlignment="1">
      <alignment horizontal="left"/>
    </xf>
    <xf numFmtId="3" fontId="0" fillId="5" borderId="12" xfId="0" applyNumberFormat="1" applyFill="1" applyBorder="1"/>
    <xf numFmtId="14" fontId="0" fillId="6" borderId="12" xfId="0" applyNumberFormat="1" applyFill="1" applyBorder="1" applyAlignment="1">
      <alignment horizontal="left"/>
    </xf>
    <xf numFmtId="3" fontId="0" fillId="6" borderId="12" xfId="0" applyNumberFormat="1" applyFill="1" applyBorder="1"/>
    <xf numFmtId="14" fontId="0" fillId="7" borderId="12" xfId="0" applyNumberFormat="1" applyFill="1" applyBorder="1" applyAlignment="1">
      <alignment horizontal="left"/>
    </xf>
    <xf numFmtId="14" fontId="0" fillId="8" borderId="12" xfId="0" applyNumberFormat="1" applyFill="1" applyBorder="1" applyAlignment="1">
      <alignment horizontal="left"/>
    </xf>
    <xf numFmtId="14" fontId="0" fillId="9" borderId="12" xfId="0" applyNumberFormat="1" applyFill="1" applyBorder="1" applyAlignment="1">
      <alignment horizontal="left"/>
    </xf>
    <xf numFmtId="14" fontId="0" fillId="10" borderId="12" xfId="0" applyNumberFormat="1" applyFill="1" applyBorder="1" applyAlignment="1">
      <alignment horizontal="left"/>
    </xf>
    <xf numFmtId="14" fontId="0" fillId="11" borderId="12" xfId="0" applyNumberFormat="1" applyFill="1" applyBorder="1" applyAlignment="1">
      <alignment horizontal="left"/>
    </xf>
    <xf numFmtId="3" fontId="0" fillId="10" borderId="12" xfId="0" applyNumberFormat="1" applyFill="1" applyBorder="1"/>
    <xf numFmtId="3" fontId="0" fillId="8" borderId="12" xfId="0" applyNumberFormat="1" applyFill="1" applyBorder="1"/>
    <xf numFmtId="3" fontId="0" fillId="11" borderId="12" xfId="0" applyNumberFormat="1" applyFill="1" applyBorder="1"/>
    <xf numFmtId="3" fontId="0" fillId="7" borderId="12" xfId="0" applyNumberFormat="1" applyFill="1" applyBorder="1"/>
    <xf numFmtId="3" fontId="0" fillId="9" borderId="12" xfId="0" applyNumberFormat="1" applyFill="1" applyBorder="1"/>
    <xf numFmtId="14" fontId="0" fillId="12" borderId="12" xfId="0" applyNumberFormat="1" applyFill="1" applyBorder="1" applyAlignment="1">
      <alignment horizontal="left"/>
    </xf>
    <xf numFmtId="3" fontId="0" fillId="12" borderId="12" xfId="0" applyNumberFormat="1" applyFill="1" applyBorder="1"/>
    <xf numFmtId="3" fontId="0" fillId="0" borderId="0" xfId="0" applyNumberFormat="1"/>
    <xf numFmtId="174" fontId="3" fillId="0" borderId="0" xfId="0" applyNumberFormat="1" applyFont="1"/>
    <xf numFmtId="0" fontId="9" fillId="0" borderId="0" xfId="0" applyFont="1" applyBorder="1"/>
    <xf numFmtId="0" fontId="10" fillId="0" borderId="0" xfId="0" applyFont="1" applyBorder="1"/>
    <xf numFmtId="0" fontId="0" fillId="0" borderId="0" xfId="0" applyFill="1" applyBorder="1"/>
    <xf numFmtId="14" fontId="0" fillId="0" borderId="0" xfId="0" applyNumberFormat="1" applyFill="1" applyBorder="1" applyAlignment="1">
      <alignment horizontal="left"/>
    </xf>
    <xf numFmtId="3" fontId="0" fillId="0" borderId="0" xfId="0" applyNumberFormat="1" applyFill="1" applyBorder="1"/>
    <xf numFmtId="3" fontId="0" fillId="13" borderId="12" xfId="0" applyNumberFormat="1" applyFill="1" applyBorder="1"/>
    <xf numFmtId="3" fontId="0" fillId="14" borderId="12" xfId="0" applyNumberFormat="1" applyFill="1" applyBorder="1"/>
    <xf numFmtId="0" fontId="7" fillId="0" borderId="0" xfId="0" applyFont="1"/>
    <xf numFmtId="0" fontId="7" fillId="0" borderId="0" xfId="0" applyFont="1" applyFill="1" applyBorder="1"/>
    <xf numFmtId="0" fontId="8" fillId="0" borderId="0" xfId="0" applyFont="1" applyFill="1" applyBorder="1" applyAlignment="1">
      <alignment horizontal="center"/>
    </xf>
    <xf numFmtId="14" fontId="0" fillId="0" borderId="0" xfId="0" applyNumberFormat="1" applyFill="1" applyBorder="1"/>
    <xf numFmtId="189" fontId="0" fillId="0" borderId="0" xfId="1" applyNumberFormat="1" applyFont="1" applyFill="1" applyBorder="1" applyAlignment="1"/>
    <xf numFmtId="189" fontId="0" fillId="0" borderId="0" xfId="1" applyNumberFormat="1" applyFont="1" applyFill="1" applyBorder="1" applyAlignment="1">
      <alignment horizontal="right"/>
    </xf>
    <xf numFmtId="3" fontId="0" fillId="0" borderId="12" xfId="1" applyNumberFormat="1" applyFont="1" applyBorder="1" applyAlignment="1">
      <alignment horizontal="right"/>
    </xf>
    <xf numFmtId="0" fontId="9" fillId="0" borderId="0" xfId="0" applyFont="1"/>
    <xf numFmtId="3" fontId="0" fillId="0" borderId="12" xfId="0" applyNumberFormat="1" applyBorder="1"/>
    <xf numFmtId="3" fontId="7" fillId="15" borderId="12" xfId="0" applyNumberFormat="1" applyFont="1" applyFill="1" applyBorder="1"/>
    <xf numFmtId="3" fontId="11" fillId="15" borderId="12" xfId="0" applyNumberFormat="1" applyFont="1" applyFill="1" applyBorder="1" applyAlignment="1">
      <alignment horizontal="right"/>
    </xf>
    <xf numFmtId="174" fontId="3" fillId="2" borderId="13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 applyProtection="1">
      <alignment vertical="center" wrapText="1"/>
      <protection locked="0"/>
    </xf>
    <xf numFmtId="0" fontId="3" fillId="0" borderId="14" xfId="0" applyFont="1" applyFill="1" applyBorder="1" applyAlignment="1">
      <alignment vertical="center"/>
    </xf>
    <xf numFmtId="174" fontId="5" fillId="0" borderId="15" xfId="2" applyNumberFormat="1" applyFont="1" applyFill="1" applyBorder="1" applyAlignment="1">
      <alignment vertical="center" wrapText="1"/>
    </xf>
    <xf numFmtId="174" fontId="3" fillId="0" borderId="16" xfId="2" applyNumberFormat="1" applyFont="1" applyFill="1" applyBorder="1" applyAlignment="1">
      <alignment vertical="center" wrapText="1"/>
    </xf>
    <xf numFmtId="3" fontId="3" fillId="0" borderId="0" xfId="0" applyNumberFormat="1" applyFont="1"/>
    <xf numFmtId="3" fontId="0" fillId="16" borderId="12" xfId="0" applyNumberFormat="1" applyFill="1" applyBorder="1"/>
    <xf numFmtId="3" fontId="0" fillId="17" borderId="12" xfId="0" applyNumberFormat="1" applyFill="1" applyBorder="1"/>
    <xf numFmtId="14" fontId="11" fillId="15" borderId="17" xfId="0" applyNumberFormat="1" applyFont="1" applyFill="1" applyBorder="1" applyAlignment="1">
      <alignment horizontal="right"/>
    </xf>
    <xf numFmtId="3" fontId="7" fillId="15" borderId="18" xfId="0" applyNumberFormat="1" applyFont="1" applyFill="1" applyBorder="1"/>
    <xf numFmtId="14" fontId="0" fillId="0" borderId="17" xfId="0" applyNumberFormat="1" applyBorder="1" applyAlignment="1">
      <alignment horizontal="right"/>
    </xf>
    <xf numFmtId="3" fontId="0" fillId="0" borderId="18" xfId="0" applyNumberFormat="1" applyBorder="1"/>
    <xf numFmtId="14" fontId="0" fillId="6" borderId="17" xfId="0" applyNumberFormat="1" applyFill="1" applyBorder="1" applyAlignment="1">
      <alignment horizontal="right"/>
    </xf>
    <xf numFmtId="3" fontId="0" fillId="6" borderId="18" xfId="0" applyNumberFormat="1" applyFill="1" applyBorder="1"/>
    <xf numFmtId="14" fontId="0" fillId="7" borderId="17" xfId="0" applyNumberFormat="1" applyFill="1" applyBorder="1" applyAlignment="1">
      <alignment horizontal="right"/>
    </xf>
    <xf numFmtId="3" fontId="0" fillId="7" borderId="18" xfId="0" applyNumberFormat="1" applyFill="1" applyBorder="1"/>
    <xf numFmtId="14" fontId="0" fillId="8" borderId="17" xfId="0" applyNumberFormat="1" applyFill="1" applyBorder="1" applyAlignment="1">
      <alignment horizontal="right"/>
    </xf>
    <xf numFmtId="3" fontId="0" fillId="8" borderId="18" xfId="0" applyNumberFormat="1" applyFill="1" applyBorder="1"/>
    <xf numFmtId="14" fontId="0" fillId="16" borderId="17" xfId="0" applyNumberFormat="1" applyFill="1" applyBorder="1" applyAlignment="1">
      <alignment horizontal="right"/>
    </xf>
    <xf numFmtId="3" fontId="0" fillId="16" borderId="18" xfId="0" applyNumberFormat="1" applyFill="1" applyBorder="1"/>
    <xf numFmtId="14" fontId="0" fillId="9" borderId="17" xfId="0" applyNumberFormat="1" applyFill="1" applyBorder="1" applyAlignment="1">
      <alignment horizontal="right"/>
    </xf>
    <xf numFmtId="3" fontId="0" fillId="9" borderId="18" xfId="0" applyNumberFormat="1" applyFill="1" applyBorder="1"/>
    <xf numFmtId="14" fontId="0" fillId="5" borderId="17" xfId="0" applyNumberFormat="1" applyFill="1" applyBorder="1" applyAlignment="1">
      <alignment horizontal="right"/>
    </xf>
    <xf numFmtId="3" fontId="0" fillId="5" borderId="18" xfId="0" applyNumberFormat="1" applyFill="1" applyBorder="1"/>
    <xf numFmtId="14" fontId="0" fillId="14" borderId="17" xfId="0" applyNumberFormat="1" applyFill="1" applyBorder="1" applyAlignment="1">
      <alignment horizontal="right"/>
    </xf>
    <xf numFmtId="3" fontId="0" fillId="14" borderId="18" xfId="0" applyNumberFormat="1" applyFill="1" applyBorder="1"/>
    <xf numFmtId="14" fontId="0" fillId="13" borderId="17" xfId="0" applyNumberFormat="1" applyFill="1" applyBorder="1" applyAlignment="1">
      <alignment horizontal="right"/>
    </xf>
    <xf numFmtId="3" fontId="0" fillId="13" borderId="18" xfId="0" applyNumberFormat="1" applyFill="1" applyBorder="1"/>
    <xf numFmtId="14" fontId="0" fillId="17" borderId="17" xfId="0" applyNumberFormat="1" applyFill="1" applyBorder="1" applyAlignment="1">
      <alignment horizontal="right"/>
    </xf>
    <xf numFmtId="3" fontId="0" fillId="17" borderId="18" xfId="0" applyNumberFormat="1" applyFill="1" applyBorder="1"/>
    <xf numFmtId="14" fontId="11" fillId="15" borderId="19" xfId="0" applyNumberFormat="1" applyFont="1" applyFill="1" applyBorder="1" applyAlignment="1">
      <alignment horizontal="right"/>
    </xf>
    <xf numFmtId="0" fontId="11" fillId="15" borderId="3" xfId="0" applyFont="1" applyFill="1" applyBorder="1" applyAlignment="1">
      <alignment horizontal="right"/>
    </xf>
    <xf numFmtId="0" fontId="11" fillId="15" borderId="3" xfId="0" applyFont="1" applyFill="1" applyBorder="1" applyAlignment="1">
      <alignment horizontal="center"/>
    </xf>
    <xf numFmtId="3" fontId="7" fillId="15" borderId="3" xfId="0" applyNumberFormat="1" applyFont="1" applyFill="1" applyBorder="1"/>
    <xf numFmtId="3" fontId="7" fillId="15" borderId="14" xfId="0" applyNumberFormat="1" applyFont="1" applyFill="1" applyBorder="1"/>
    <xf numFmtId="0" fontId="8" fillId="17" borderId="6" xfId="0" applyFont="1" applyFill="1" applyBorder="1" applyAlignment="1">
      <alignment horizontal="center" vertical="center"/>
    </xf>
    <xf numFmtId="0" fontId="8" fillId="17" borderId="11" xfId="0" applyFont="1" applyFill="1" applyBorder="1" applyAlignment="1">
      <alignment horizontal="center" vertical="center"/>
    </xf>
    <xf numFmtId="0" fontId="8" fillId="17" borderId="11" xfId="0" applyFont="1" applyFill="1" applyBorder="1" applyAlignment="1">
      <alignment horizontal="center" vertical="center" wrapText="1"/>
    </xf>
    <xf numFmtId="0" fontId="8" fillId="17" borderId="20" xfId="0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right"/>
    </xf>
    <xf numFmtId="3" fontId="12" fillId="6" borderId="12" xfId="1" applyNumberFormat="1" applyFont="1" applyFill="1" applyBorder="1" applyAlignment="1">
      <alignment horizontal="right"/>
    </xf>
    <xf numFmtId="14" fontId="0" fillId="17" borderId="21" xfId="0" applyNumberFormat="1" applyFill="1" applyBorder="1" applyAlignment="1">
      <alignment horizontal="right"/>
    </xf>
    <xf numFmtId="3" fontId="0" fillId="17" borderId="22" xfId="0" applyNumberFormat="1" applyFill="1" applyBorder="1"/>
    <xf numFmtId="3" fontId="0" fillId="17" borderId="23" xfId="0" applyNumberFormat="1" applyFill="1" applyBorder="1"/>
    <xf numFmtId="14" fontId="0" fillId="18" borderId="17" xfId="0" applyNumberFormat="1" applyFill="1" applyBorder="1" applyAlignment="1">
      <alignment horizontal="right"/>
    </xf>
    <xf numFmtId="3" fontId="0" fillId="18" borderId="12" xfId="0" applyNumberFormat="1" applyFill="1" applyBorder="1"/>
    <xf numFmtId="3" fontId="0" fillId="18" borderId="18" xfId="0" applyNumberFormat="1" applyFill="1" applyBorder="1"/>
    <xf numFmtId="3" fontId="7" fillId="7" borderId="12" xfId="0" applyNumberFormat="1" applyFont="1" applyFill="1" applyBorder="1"/>
    <xf numFmtId="174" fontId="3" fillId="2" borderId="24" xfId="2" applyNumberFormat="1" applyFont="1" applyFill="1" applyBorder="1" applyAlignment="1">
      <alignment horizontal="center" vertical="center" wrapText="1"/>
    </xf>
    <xf numFmtId="174" fontId="3" fillId="0" borderId="17" xfId="2" applyNumberFormat="1" applyFont="1" applyFill="1" applyBorder="1" applyAlignment="1">
      <alignment horizontal="left" vertical="center" wrapText="1"/>
    </xf>
    <xf numFmtId="174" fontId="3" fillId="0" borderId="12" xfId="2" applyNumberFormat="1" applyFont="1" applyFill="1" applyBorder="1" applyAlignment="1">
      <alignment vertical="center" wrapText="1"/>
    </xf>
    <xf numFmtId="174" fontId="3" fillId="0" borderId="12" xfId="2" applyNumberFormat="1" applyFont="1" applyFill="1" applyBorder="1" applyAlignment="1">
      <alignment horizontal="center" vertical="center" wrapText="1"/>
    </xf>
    <xf numFmtId="14" fontId="3" fillId="0" borderId="12" xfId="2" applyNumberFormat="1" applyFont="1" applyFill="1" applyBorder="1" applyAlignment="1">
      <alignment horizontal="center" vertical="center" wrapText="1"/>
    </xf>
    <xf numFmtId="175" fontId="3" fillId="0" borderId="12" xfId="2" applyNumberFormat="1" applyFont="1" applyFill="1" applyBorder="1" applyAlignment="1">
      <alignment vertical="center" wrapText="1"/>
    </xf>
    <xf numFmtId="3" fontId="3" fillId="0" borderId="12" xfId="2" applyNumberFormat="1" applyFont="1" applyFill="1" applyBorder="1" applyAlignment="1">
      <alignment vertical="center" wrapText="1"/>
    </xf>
    <xf numFmtId="3" fontId="3" fillId="0" borderId="25" xfId="2" applyNumberFormat="1" applyFont="1" applyFill="1" applyBorder="1" applyAlignment="1">
      <alignment horizontal="center" vertical="center" wrapText="1"/>
    </xf>
    <xf numFmtId="3" fontId="3" fillId="0" borderId="12" xfId="0" applyNumberFormat="1" applyFont="1" applyFill="1" applyBorder="1" applyAlignment="1">
      <alignment horizontal="center" vertical="center"/>
    </xf>
    <xf numFmtId="3" fontId="3" fillId="0" borderId="18" xfId="0" applyNumberFormat="1" applyFont="1" applyFill="1" applyBorder="1" applyAlignment="1">
      <alignment horizontal="center" vertical="center"/>
    </xf>
    <xf numFmtId="3" fontId="3" fillId="0" borderId="18" xfId="2" applyNumberFormat="1" applyFont="1" applyFill="1" applyBorder="1" applyAlignment="1">
      <alignment vertical="center" wrapText="1"/>
    </xf>
    <xf numFmtId="174" fontId="3" fillId="0" borderId="7" xfId="2" applyNumberFormat="1" applyFont="1" applyFill="1" applyBorder="1" applyAlignment="1">
      <alignment horizontal="left" vertical="center" wrapText="1"/>
    </xf>
    <xf numFmtId="174" fontId="3" fillId="0" borderId="1" xfId="2" applyNumberFormat="1" applyFont="1" applyFill="1" applyBorder="1" applyAlignment="1">
      <alignment horizontal="center" vertical="center" wrapText="1"/>
    </xf>
    <xf numFmtId="3" fontId="3" fillId="0" borderId="1" xfId="2" applyNumberFormat="1" applyFont="1" applyFill="1" applyBorder="1" applyAlignment="1">
      <alignment vertical="center" wrapText="1"/>
    </xf>
    <xf numFmtId="3" fontId="3" fillId="0" borderId="1" xfId="2" applyNumberFormat="1" applyFont="1" applyFill="1" applyBorder="1" applyAlignment="1">
      <alignment horizontal="right" vertical="center" wrapText="1"/>
    </xf>
    <xf numFmtId="3" fontId="3" fillId="0" borderId="23" xfId="2" applyNumberFormat="1" applyFont="1" applyFill="1" applyBorder="1" applyAlignment="1">
      <alignment vertical="center" wrapText="1"/>
    </xf>
    <xf numFmtId="3" fontId="5" fillId="0" borderId="20" xfId="2" applyNumberFormat="1" applyFont="1" applyFill="1" applyBorder="1" applyAlignment="1">
      <alignment vertical="center" wrapText="1"/>
    </xf>
    <xf numFmtId="3" fontId="5" fillId="0" borderId="16" xfId="2" applyNumberFormat="1" applyFont="1" applyFill="1" applyBorder="1" applyAlignment="1">
      <alignment vertical="center" wrapText="1"/>
    </xf>
    <xf numFmtId="3" fontId="5" fillId="0" borderId="16" xfId="2" applyNumberFormat="1" applyFont="1" applyFill="1" applyBorder="1" applyAlignment="1">
      <alignment horizontal="right" vertical="center" wrapText="1"/>
    </xf>
    <xf numFmtId="14" fontId="3" fillId="0" borderId="1" xfId="2" applyNumberFormat="1" applyFont="1" applyFill="1" applyBorder="1" applyAlignment="1">
      <alignment horizontal="center" vertical="center" wrapText="1"/>
    </xf>
    <xf numFmtId="3" fontId="3" fillId="0" borderId="32" xfId="2" applyNumberFormat="1" applyFont="1" applyFill="1" applyBorder="1" applyAlignment="1">
      <alignment vertical="center" wrapText="1"/>
    </xf>
    <xf numFmtId="3" fontId="3" fillId="0" borderId="25" xfId="2" applyNumberFormat="1" applyFont="1" applyFill="1" applyBorder="1" applyAlignment="1">
      <alignment vertical="center" wrapText="1"/>
    </xf>
    <xf numFmtId="174" fontId="3" fillId="12" borderId="4" xfId="2" applyNumberFormat="1" applyFont="1" applyFill="1" applyBorder="1" applyAlignment="1">
      <alignment horizontal="center" vertical="center" wrapText="1"/>
    </xf>
    <xf numFmtId="174" fontId="3" fillId="12" borderId="5" xfId="2" applyNumberFormat="1" applyFont="1" applyFill="1" applyBorder="1" applyAlignment="1">
      <alignment horizontal="center" vertical="center" wrapText="1"/>
    </xf>
    <xf numFmtId="174" fontId="3" fillId="12" borderId="1" xfId="2" applyNumberFormat="1" applyFont="1" applyFill="1" applyBorder="1" applyAlignment="1">
      <alignment horizontal="center" vertical="center" wrapText="1"/>
    </xf>
    <xf numFmtId="185" fontId="3" fillId="0" borderId="0" xfId="0" applyNumberFormat="1" applyFont="1"/>
    <xf numFmtId="174" fontId="3" fillId="0" borderId="0" xfId="2" applyNumberFormat="1" applyFont="1" applyFill="1" applyAlignment="1">
      <alignment horizontal="left" vertical="center"/>
    </xf>
    <xf numFmtId="174" fontId="3" fillId="0" borderId="0" xfId="2" applyNumberFormat="1" applyFont="1" applyFill="1" applyBorder="1" applyAlignment="1">
      <alignment horizontal="right" vertical="center" wrapText="1"/>
    </xf>
    <xf numFmtId="174" fontId="3" fillId="2" borderId="26" xfId="2" applyNumberFormat="1" applyFont="1" applyFill="1" applyBorder="1" applyAlignment="1">
      <alignment horizontal="center" vertical="center" wrapText="1"/>
    </xf>
    <xf numFmtId="174" fontId="3" fillId="2" borderId="27" xfId="2" applyNumberFormat="1" applyFont="1" applyFill="1" applyBorder="1" applyAlignment="1">
      <alignment horizontal="center" vertical="center" wrapText="1"/>
    </xf>
    <xf numFmtId="174" fontId="3" fillId="2" borderId="28" xfId="2" applyNumberFormat="1" applyFont="1" applyFill="1" applyBorder="1" applyAlignment="1">
      <alignment horizontal="center" vertical="center" wrapText="1"/>
    </xf>
    <xf numFmtId="174" fontId="3" fillId="2" borderId="2" xfId="2" applyNumberFormat="1" applyFont="1" applyFill="1" applyBorder="1" applyAlignment="1">
      <alignment horizontal="center" vertical="center" wrapText="1"/>
    </xf>
    <xf numFmtId="174" fontId="3" fillId="2" borderId="29" xfId="2" applyNumberFormat="1" applyFont="1" applyFill="1" applyBorder="1" applyAlignment="1">
      <alignment horizontal="center" vertical="center" wrapText="1"/>
    </xf>
    <xf numFmtId="174" fontId="3" fillId="2" borderId="30" xfId="2" applyNumberFormat="1" applyFont="1" applyFill="1" applyBorder="1" applyAlignment="1">
      <alignment horizontal="center" vertical="center" wrapText="1"/>
    </xf>
    <xf numFmtId="174" fontId="3" fillId="0" borderId="0" xfId="2" applyNumberFormat="1" applyFont="1" applyFill="1" applyAlignment="1">
      <alignment horizontal="right" vertical="center"/>
    </xf>
    <xf numFmtId="174" fontId="3" fillId="0" borderId="31" xfId="2" applyNumberFormat="1" applyFont="1" applyFill="1" applyBorder="1" applyAlignment="1">
      <alignment horizontal="right" vertical="center" wrapText="1"/>
    </xf>
    <xf numFmtId="174" fontId="5" fillId="0" borderId="0" xfId="2" applyNumberFormat="1" applyFont="1" applyFill="1" applyAlignment="1">
      <alignment horizontal="center" vertical="center" wrapText="1"/>
    </xf>
  </cellXfs>
  <cellStyles count="3">
    <cellStyle name="Ezres" xfId="1" builtinId="3"/>
    <cellStyle name="Normál" xfId="0" builtinId="0"/>
    <cellStyle name="Normál_Munk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W25"/>
  <sheetViews>
    <sheetView tabSelected="1" zoomScale="65" zoomScaleNormal="65" workbookViewId="0">
      <selection activeCell="A3" sqref="A3:U3"/>
    </sheetView>
  </sheetViews>
  <sheetFormatPr defaultRowHeight="15.75" x14ac:dyDescent="0.25"/>
  <cols>
    <col min="1" max="1" width="40.7109375" style="2" customWidth="1"/>
    <col min="2" max="2" width="12.7109375" style="2" customWidth="1"/>
    <col min="3" max="3" width="13.5703125" style="2" bestFit="1" customWidth="1"/>
    <col min="4" max="4" width="13.28515625" style="2" bestFit="1" customWidth="1"/>
    <col min="5" max="5" width="11.28515625" style="2" customWidth="1"/>
    <col min="6" max="6" width="12.42578125" style="2" customWidth="1"/>
    <col min="7" max="7" width="9.5703125" style="2" bestFit="1" customWidth="1"/>
    <col min="8" max="9" width="12.42578125" style="1" customWidth="1"/>
    <col min="10" max="11" width="13" style="2" customWidth="1"/>
    <col min="12" max="12" width="13.5703125" style="1" customWidth="1"/>
    <col min="13" max="13" width="15.140625" style="1" customWidth="1"/>
    <col min="14" max="14" width="9.42578125" style="2" bestFit="1" customWidth="1"/>
    <col min="15" max="15" width="9.5703125" style="2" bestFit="1" customWidth="1"/>
    <col min="16" max="16" width="10.140625" style="2" bestFit="1" customWidth="1"/>
    <col min="17" max="17" width="12.140625" style="2" customWidth="1"/>
    <col min="18" max="18" width="9.5703125" style="2" customWidth="1"/>
    <col min="19" max="19" width="10.140625" style="2" customWidth="1"/>
    <col min="20" max="20" width="9.140625" style="2"/>
    <col min="21" max="21" width="9.42578125" style="1" customWidth="1"/>
    <col min="22" max="16384" width="9.140625" style="2"/>
  </cols>
  <sheetData>
    <row r="1" spans="1:23" ht="15.75" customHeight="1" x14ac:dyDescent="0.25">
      <c r="A1" s="8"/>
      <c r="B1" s="8"/>
      <c r="C1" s="4"/>
      <c r="D1" s="8"/>
      <c r="E1" s="8"/>
      <c r="F1" s="4"/>
      <c r="G1" s="9"/>
      <c r="H1" s="4"/>
      <c r="I1" s="4"/>
      <c r="J1" s="4"/>
      <c r="K1" s="4"/>
      <c r="L1" s="4"/>
      <c r="M1" s="4"/>
      <c r="N1" s="23"/>
      <c r="O1" s="1"/>
      <c r="P1" s="153"/>
      <c r="Q1" s="153"/>
      <c r="T1" s="161" t="s">
        <v>37</v>
      </c>
      <c r="U1" s="161"/>
    </row>
    <row r="2" spans="1:23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"/>
      <c r="P2" s="1"/>
      <c r="Q2" s="1"/>
    </row>
    <row r="3" spans="1:23" ht="32.25" customHeight="1" x14ac:dyDescent="0.25">
      <c r="A3" s="163" t="s">
        <v>15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</row>
    <row r="4" spans="1:2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1"/>
      <c r="P4" s="1"/>
      <c r="Q4" s="1"/>
    </row>
    <row r="5" spans="1:23" ht="16.5" customHeight="1" thickBot="1" x14ac:dyDescent="0.3">
      <c r="A5" s="8"/>
      <c r="B5" s="8"/>
      <c r="C5" s="4"/>
      <c r="D5" s="8"/>
      <c r="E5" s="8"/>
      <c r="F5" s="4"/>
      <c r="G5" s="9"/>
      <c r="H5" s="4"/>
      <c r="I5" s="4"/>
      <c r="J5" s="4"/>
      <c r="K5" s="4"/>
      <c r="L5" s="4"/>
      <c r="M5" s="4"/>
      <c r="N5" s="24"/>
      <c r="O5" s="1"/>
      <c r="P5" s="154"/>
      <c r="Q5" s="154"/>
      <c r="S5" s="162" t="s">
        <v>0</v>
      </c>
      <c r="T5" s="162"/>
      <c r="U5" s="162"/>
    </row>
    <row r="6" spans="1:23" ht="35.25" customHeight="1" x14ac:dyDescent="0.25">
      <c r="A6" s="17"/>
      <c r="B6" s="12" t="s">
        <v>12</v>
      </c>
      <c r="C6" s="12" t="s">
        <v>13</v>
      </c>
      <c r="D6" s="12" t="s">
        <v>47</v>
      </c>
      <c r="E6" s="12" t="s">
        <v>1</v>
      </c>
      <c r="F6" s="12" t="s">
        <v>53</v>
      </c>
      <c r="G6" s="18" t="s">
        <v>2</v>
      </c>
      <c r="H6" s="12" t="s">
        <v>55</v>
      </c>
      <c r="I6" s="12" t="s">
        <v>55</v>
      </c>
      <c r="J6" s="12" t="s">
        <v>21</v>
      </c>
      <c r="K6" s="149" t="s">
        <v>64</v>
      </c>
      <c r="L6" s="26" t="s">
        <v>56</v>
      </c>
      <c r="M6" s="26" t="s">
        <v>56</v>
      </c>
      <c r="N6" s="155" t="s">
        <v>22</v>
      </c>
      <c r="O6" s="156"/>
      <c r="P6" s="156"/>
      <c r="Q6" s="156"/>
      <c r="R6" s="156"/>
      <c r="S6" s="156"/>
      <c r="T6" s="156"/>
      <c r="U6" s="157"/>
    </row>
    <row r="7" spans="1:23" ht="48.75" customHeight="1" x14ac:dyDescent="0.25">
      <c r="A7" s="79" t="s">
        <v>45</v>
      </c>
      <c r="B7" s="13" t="s">
        <v>52</v>
      </c>
      <c r="C7" s="13" t="s">
        <v>46</v>
      </c>
      <c r="D7" s="13" t="s">
        <v>3</v>
      </c>
      <c r="E7" s="13" t="s">
        <v>4</v>
      </c>
      <c r="F7" s="13" t="s">
        <v>5</v>
      </c>
      <c r="G7" s="19" t="s">
        <v>6</v>
      </c>
      <c r="H7" s="13" t="s">
        <v>16</v>
      </c>
      <c r="I7" s="13" t="s">
        <v>16</v>
      </c>
      <c r="J7" s="13" t="s">
        <v>17</v>
      </c>
      <c r="K7" s="150" t="s">
        <v>17</v>
      </c>
      <c r="L7" s="13" t="s">
        <v>23</v>
      </c>
      <c r="M7" s="13" t="s">
        <v>65</v>
      </c>
      <c r="N7" s="158"/>
      <c r="O7" s="159"/>
      <c r="P7" s="159"/>
      <c r="Q7" s="159"/>
      <c r="R7" s="159"/>
      <c r="S7" s="159"/>
      <c r="T7" s="159"/>
      <c r="U7" s="160"/>
    </row>
    <row r="8" spans="1:23" ht="42" customHeight="1" thickBot="1" x14ac:dyDescent="0.3">
      <c r="A8" s="20"/>
      <c r="B8" s="14" t="s">
        <v>7</v>
      </c>
      <c r="C8" s="14" t="s">
        <v>62</v>
      </c>
      <c r="D8" s="14" t="s">
        <v>8</v>
      </c>
      <c r="E8" s="14"/>
      <c r="F8" s="14" t="s">
        <v>9</v>
      </c>
      <c r="G8" s="21" t="s">
        <v>10</v>
      </c>
      <c r="H8" s="14" t="s">
        <v>20</v>
      </c>
      <c r="I8" s="14" t="s">
        <v>63</v>
      </c>
      <c r="J8" s="14" t="s">
        <v>11</v>
      </c>
      <c r="K8" s="151" t="s">
        <v>11</v>
      </c>
      <c r="L8" s="14" t="s">
        <v>24</v>
      </c>
      <c r="M8" s="14" t="s">
        <v>24</v>
      </c>
      <c r="N8" s="14" t="s">
        <v>27</v>
      </c>
      <c r="O8" s="14" t="s">
        <v>28</v>
      </c>
      <c r="P8" s="14" t="s">
        <v>29</v>
      </c>
      <c r="Q8" s="14" t="s">
        <v>30</v>
      </c>
      <c r="R8" s="14" t="s">
        <v>31</v>
      </c>
      <c r="S8" s="14" t="s">
        <v>26</v>
      </c>
      <c r="T8" s="14" t="s">
        <v>38</v>
      </c>
      <c r="U8" s="127" t="s">
        <v>39</v>
      </c>
    </row>
    <row r="9" spans="1:23" ht="20.100000000000001" customHeight="1" x14ac:dyDescent="0.25">
      <c r="A9" s="27" t="s">
        <v>48</v>
      </c>
      <c r="B9" s="28"/>
      <c r="C9" s="29"/>
      <c r="D9" s="29"/>
      <c r="E9" s="29"/>
      <c r="F9" s="29"/>
      <c r="G9" s="30"/>
      <c r="H9" s="29"/>
      <c r="I9" s="29"/>
      <c r="J9" s="29"/>
      <c r="K9" s="29"/>
      <c r="L9" s="29"/>
      <c r="M9" s="10"/>
      <c r="N9" s="10"/>
      <c r="O9" s="11"/>
      <c r="P9" s="11"/>
      <c r="Q9" s="11"/>
      <c r="R9" s="10"/>
      <c r="S9" s="11"/>
      <c r="T9" s="11"/>
      <c r="U9" s="81"/>
    </row>
    <row r="10" spans="1:23" s="31" customFormat="1" ht="54.75" customHeight="1" x14ac:dyDescent="0.25">
      <c r="A10" s="128" t="s">
        <v>50</v>
      </c>
      <c r="B10" s="129">
        <v>125000</v>
      </c>
      <c r="C10" s="129">
        <v>124991</v>
      </c>
      <c r="D10" s="130" t="s">
        <v>25</v>
      </c>
      <c r="E10" s="131" t="s">
        <v>11</v>
      </c>
      <c r="F10" s="129">
        <v>124991</v>
      </c>
      <c r="G10" s="132">
        <v>3.08</v>
      </c>
      <c r="H10" s="133">
        <v>124991</v>
      </c>
      <c r="I10" s="133">
        <v>124991</v>
      </c>
      <c r="J10" s="133">
        <f>1600+200</f>
        <v>1800</v>
      </c>
      <c r="K10" s="133">
        <f>1242+196</f>
        <v>1438</v>
      </c>
      <c r="L10" s="133">
        <v>0</v>
      </c>
      <c r="M10" s="148">
        <f>F10-I10</f>
        <v>0</v>
      </c>
      <c r="N10" s="134"/>
      <c r="O10" s="135"/>
      <c r="P10" s="135"/>
      <c r="Q10" s="135"/>
      <c r="R10" s="134"/>
      <c r="S10" s="135"/>
      <c r="T10" s="135"/>
      <c r="U10" s="136"/>
    </row>
    <row r="11" spans="1:23" s="31" customFormat="1" ht="74.25" customHeight="1" x14ac:dyDescent="0.25">
      <c r="A11" s="128" t="s">
        <v>51</v>
      </c>
      <c r="B11" s="133">
        <v>114020</v>
      </c>
      <c r="C11" s="129">
        <v>114020</v>
      </c>
      <c r="D11" s="130" t="s">
        <v>14</v>
      </c>
      <c r="E11" s="131" t="s">
        <v>26</v>
      </c>
      <c r="F11" s="129">
        <f>114020-11402-11402+2851-11402-2851</f>
        <v>79814</v>
      </c>
      <c r="G11" s="132">
        <v>3.08</v>
      </c>
      <c r="H11" s="133">
        <f>11402</f>
        <v>11402</v>
      </c>
      <c r="I11" s="133">
        <v>11402</v>
      </c>
      <c r="J11" s="133">
        <f>2516+500+30</f>
        <v>3046</v>
      </c>
      <c r="K11" s="133">
        <f>2662+384</f>
        <v>3046</v>
      </c>
      <c r="L11" s="133">
        <f>114020-11402-11402-11402-11402</f>
        <v>68412</v>
      </c>
      <c r="M11" s="133">
        <f>F11-I11</f>
        <v>68412</v>
      </c>
      <c r="N11" s="133">
        <f>11402+2136+580</f>
        <v>14118</v>
      </c>
      <c r="O11" s="133">
        <f>11402+1756+560</f>
        <v>13718</v>
      </c>
      <c r="P11" s="133">
        <f>11402+1376+540</f>
        <v>13318</v>
      </c>
      <c r="Q11" s="133">
        <f>11402+997+520</f>
        <v>12919</v>
      </c>
      <c r="R11" s="133">
        <f>11402+617+500</f>
        <v>12519</v>
      </c>
      <c r="S11" s="133">
        <f>11402+237+480</f>
        <v>12119</v>
      </c>
      <c r="T11" s="133">
        <v>0</v>
      </c>
      <c r="U11" s="137">
        <v>0</v>
      </c>
      <c r="V11" s="35"/>
    </row>
    <row r="12" spans="1:23" s="1" customFormat="1" ht="74.25" customHeight="1" thickBot="1" x14ac:dyDescent="0.3">
      <c r="A12" s="138" t="s">
        <v>54</v>
      </c>
      <c r="B12" s="140">
        <f>200000-23000</f>
        <v>177000</v>
      </c>
      <c r="C12" s="38">
        <v>175686</v>
      </c>
      <c r="D12" s="139" t="s">
        <v>57</v>
      </c>
      <c r="E12" s="146" t="s">
        <v>38</v>
      </c>
      <c r="F12" s="140">
        <f>29861+56000</f>
        <v>85861</v>
      </c>
      <c r="G12" s="39">
        <v>2.4</v>
      </c>
      <c r="H12" s="140">
        <v>12500</v>
      </c>
      <c r="I12" s="140">
        <v>12500</v>
      </c>
      <c r="J12" s="141">
        <f>5000+100</f>
        <v>5100</v>
      </c>
      <c r="K12" s="141">
        <f>2483+179</f>
        <v>2662</v>
      </c>
      <c r="L12" s="140">
        <f>177000-1314-12500</f>
        <v>163186</v>
      </c>
      <c r="M12" s="140">
        <f>C12-I12</f>
        <v>163186</v>
      </c>
      <c r="N12" s="140">
        <v>28692</v>
      </c>
      <c r="O12" s="140">
        <v>28092</v>
      </c>
      <c r="P12" s="140">
        <v>27492</v>
      </c>
      <c r="Q12" s="140">
        <v>26892</v>
      </c>
      <c r="R12" s="140">
        <v>26292</v>
      </c>
      <c r="S12" s="140">
        <v>25692</v>
      </c>
      <c r="T12" s="147">
        <v>13311</v>
      </c>
      <c r="U12" s="142">
        <v>0</v>
      </c>
      <c r="V12" s="22"/>
      <c r="W12" s="22"/>
    </row>
    <row r="13" spans="1:23" s="1" customFormat="1" ht="38.25" customHeight="1" thickBot="1" x14ac:dyDescent="0.3">
      <c r="A13" s="15" t="s">
        <v>49</v>
      </c>
      <c r="B13" s="34">
        <f>SUM(B10:B12)</f>
        <v>416020</v>
      </c>
      <c r="C13" s="34">
        <f>SUM(C10:C12)</f>
        <v>414697</v>
      </c>
      <c r="D13" s="34">
        <f t="shared" ref="D13:T13" si="0">SUM(D10:D12)</f>
        <v>0</v>
      </c>
      <c r="E13" s="34">
        <f t="shared" si="0"/>
        <v>0</v>
      </c>
      <c r="F13" s="34">
        <f>SUM(F10:F12)</f>
        <v>290666</v>
      </c>
      <c r="G13" s="34"/>
      <c r="H13" s="34">
        <f>SUM(H10:H12)</f>
        <v>148893</v>
      </c>
      <c r="I13" s="34">
        <f>SUM(I10:I12)</f>
        <v>148893</v>
      </c>
      <c r="J13" s="34">
        <f t="shared" si="0"/>
        <v>9946</v>
      </c>
      <c r="K13" s="34">
        <f>SUM(K10:K12)</f>
        <v>7146</v>
      </c>
      <c r="L13" s="34">
        <f>SUM(L10:L12)</f>
        <v>231598</v>
      </c>
      <c r="M13" s="34">
        <f>SUM(M10:M12)</f>
        <v>231598</v>
      </c>
      <c r="N13" s="34">
        <f t="shared" si="0"/>
        <v>42810</v>
      </c>
      <c r="O13" s="34">
        <f t="shared" si="0"/>
        <v>41810</v>
      </c>
      <c r="P13" s="34">
        <f t="shared" si="0"/>
        <v>40810</v>
      </c>
      <c r="Q13" s="34">
        <f t="shared" si="0"/>
        <v>39811</v>
      </c>
      <c r="R13" s="34">
        <f t="shared" si="0"/>
        <v>38811</v>
      </c>
      <c r="S13" s="34">
        <f t="shared" si="0"/>
        <v>37811</v>
      </c>
      <c r="T13" s="34">
        <f t="shared" si="0"/>
        <v>13311</v>
      </c>
      <c r="U13" s="143">
        <f>SUM(U11:U12)</f>
        <v>0</v>
      </c>
    </row>
    <row r="14" spans="1:23" s="1" customFormat="1" ht="36.75" customHeight="1" thickBot="1" x14ac:dyDescent="0.3">
      <c r="A14" s="16" t="s">
        <v>18</v>
      </c>
      <c r="B14" s="7">
        <f>SUM(B13)</f>
        <v>416020</v>
      </c>
      <c r="C14" s="7">
        <f t="shared" ref="C14:J14" si="1">SUM(C13)</f>
        <v>414697</v>
      </c>
      <c r="D14" s="7">
        <f t="shared" si="1"/>
        <v>0</v>
      </c>
      <c r="E14" s="7">
        <f t="shared" si="1"/>
        <v>0</v>
      </c>
      <c r="F14" s="7">
        <f t="shared" si="1"/>
        <v>290666</v>
      </c>
      <c r="G14" s="32"/>
      <c r="H14" s="7">
        <f t="shared" si="1"/>
        <v>148893</v>
      </c>
      <c r="I14" s="7">
        <f>SUM(I13)</f>
        <v>148893</v>
      </c>
      <c r="J14" s="7">
        <f t="shared" si="1"/>
        <v>9946</v>
      </c>
      <c r="K14" s="7">
        <f>SUM(K10:K12)</f>
        <v>7146</v>
      </c>
      <c r="L14" s="7">
        <f t="shared" ref="L14:U14" si="2">SUM(L13)</f>
        <v>231598</v>
      </c>
      <c r="M14" s="7">
        <f>SUM(M13)</f>
        <v>231598</v>
      </c>
      <c r="N14" s="7">
        <f t="shared" si="2"/>
        <v>42810</v>
      </c>
      <c r="O14" s="7">
        <f t="shared" si="2"/>
        <v>41810</v>
      </c>
      <c r="P14" s="7">
        <f t="shared" si="2"/>
        <v>40810</v>
      </c>
      <c r="Q14" s="7">
        <f t="shared" si="2"/>
        <v>39811</v>
      </c>
      <c r="R14" s="7">
        <f t="shared" si="2"/>
        <v>38811</v>
      </c>
      <c r="S14" s="7">
        <f t="shared" si="2"/>
        <v>37811</v>
      </c>
      <c r="T14" s="7">
        <f t="shared" si="2"/>
        <v>13311</v>
      </c>
      <c r="U14" s="144">
        <f t="shared" si="2"/>
        <v>0</v>
      </c>
    </row>
    <row r="15" spans="1:23" s="1" customFormat="1" ht="21.75" customHeight="1" x14ac:dyDescent="0.25">
      <c r="A15" s="27" t="s">
        <v>33</v>
      </c>
      <c r="B15" s="36"/>
      <c r="C15" s="36"/>
      <c r="D15" s="36"/>
      <c r="E15" s="36"/>
      <c r="F15" s="36"/>
      <c r="G15" s="37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82"/>
    </row>
    <row r="16" spans="1:23" s="1" customFormat="1" ht="36.75" customHeight="1" thickBot="1" x14ac:dyDescent="0.3">
      <c r="A16" s="16" t="s">
        <v>34</v>
      </c>
      <c r="B16" s="7"/>
      <c r="C16" s="38"/>
      <c r="D16" s="38"/>
      <c r="E16" s="38"/>
      <c r="F16" s="38"/>
      <c r="G16" s="39"/>
      <c r="H16" s="7"/>
      <c r="I16" s="7"/>
      <c r="J16" s="7"/>
      <c r="K16" s="7"/>
      <c r="L16" s="80"/>
      <c r="M16" s="80"/>
      <c r="N16" s="38"/>
      <c r="O16" s="38"/>
      <c r="P16" s="38"/>
      <c r="Q16" s="38"/>
      <c r="R16" s="38"/>
      <c r="S16" s="38"/>
      <c r="T16" s="38"/>
      <c r="U16" s="83"/>
    </row>
    <row r="17" spans="1:22" s="1" customFormat="1" ht="30" customHeight="1" thickBot="1" x14ac:dyDescent="0.3">
      <c r="A17" s="16" t="s">
        <v>19</v>
      </c>
      <c r="B17" s="25">
        <f>SUM(B14+B16)</f>
        <v>416020</v>
      </c>
      <c r="C17" s="25">
        <f>SUM(C14)</f>
        <v>414697</v>
      </c>
      <c r="D17" s="25">
        <f>SUM(D14)</f>
        <v>0</v>
      </c>
      <c r="E17" s="25">
        <f>SUM(E14)</f>
        <v>0</v>
      </c>
      <c r="F17" s="25">
        <f>SUM(F14)</f>
        <v>290666</v>
      </c>
      <c r="G17" s="33"/>
      <c r="H17" s="25">
        <f>SUM(H16,H14)</f>
        <v>148893</v>
      </c>
      <c r="I17" s="25">
        <f>SUM(I14)</f>
        <v>148893</v>
      </c>
      <c r="J17" s="25">
        <f>SUM(J14+J16)</f>
        <v>9946</v>
      </c>
      <c r="K17" s="25">
        <f>SUM(K14)</f>
        <v>7146</v>
      </c>
      <c r="L17" s="25">
        <f>SUM(L14+L16)</f>
        <v>231598</v>
      </c>
      <c r="M17" s="25">
        <f>SUM(M13)</f>
        <v>231598</v>
      </c>
      <c r="N17" s="25">
        <f t="shared" ref="N17:T17" si="3">SUM(N14)</f>
        <v>42810</v>
      </c>
      <c r="O17" s="25">
        <f t="shared" si="3"/>
        <v>41810</v>
      </c>
      <c r="P17" s="25">
        <f t="shared" si="3"/>
        <v>40810</v>
      </c>
      <c r="Q17" s="25">
        <f t="shared" si="3"/>
        <v>39811</v>
      </c>
      <c r="R17" s="25">
        <f t="shared" si="3"/>
        <v>38811</v>
      </c>
      <c r="S17" s="25">
        <f t="shared" si="3"/>
        <v>37811</v>
      </c>
      <c r="T17" s="25">
        <f t="shared" si="3"/>
        <v>13311</v>
      </c>
      <c r="U17" s="145">
        <f>SUM(U14)</f>
        <v>0</v>
      </c>
    </row>
    <row r="18" spans="1:22" x14ac:dyDescent="0.25">
      <c r="B18" s="1"/>
      <c r="C18" s="1"/>
      <c r="D18" s="1"/>
      <c r="E18" s="1"/>
      <c r="F18" s="1"/>
      <c r="G18" s="1"/>
      <c r="J18" s="1"/>
      <c r="K18" s="1"/>
      <c r="N18" s="1"/>
      <c r="O18" s="1"/>
      <c r="P18" s="1"/>
      <c r="Q18" s="1"/>
      <c r="R18" s="1"/>
      <c r="S18" s="1"/>
      <c r="T18" s="1"/>
    </row>
    <row r="19" spans="1:22" x14ac:dyDescent="0.25">
      <c r="B19" s="1"/>
      <c r="C19" s="1"/>
      <c r="D19" s="1"/>
      <c r="E19" s="1"/>
      <c r="F19" s="1"/>
      <c r="G19" s="1"/>
      <c r="J19" s="3">
        <f>H17+J17</f>
        <v>158839</v>
      </c>
      <c r="K19" s="3">
        <f>I17+K17</f>
        <v>156039</v>
      </c>
      <c r="L19" s="22"/>
      <c r="M19" s="22"/>
      <c r="N19" s="1"/>
      <c r="O19" s="1"/>
      <c r="P19" s="1"/>
      <c r="Q19" s="1"/>
      <c r="R19" s="1"/>
      <c r="S19" s="1"/>
      <c r="T19" s="1"/>
      <c r="V19" s="60">
        <f>SUM(N17:U17)+J19</f>
        <v>414013</v>
      </c>
    </row>
    <row r="20" spans="1:22" x14ac:dyDescent="0.25">
      <c r="L20" s="3"/>
      <c r="M20" s="3"/>
    </row>
    <row r="21" spans="1:22" x14ac:dyDescent="0.25">
      <c r="H21" s="3"/>
      <c r="I21" s="3"/>
      <c r="J21" s="60"/>
      <c r="K21" s="152">
        <f>K19/J19*100</f>
        <v>98.237208745962889</v>
      </c>
      <c r="L21" s="3"/>
      <c r="M21" s="3"/>
    </row>
    <row r="22" spans="1:22" x14ac:dyDescent="0.25">
      <c r="J22" s="84"/>
      <c r="K22" s="84"/>
      <c r="L22" s="22"/>
      <c r="M22" s="22"/>
    </row>
    <row r="25" spans="1:22" x14ac:dyDescent="0.25">
      <c r="D25" s="84">
        <f>B12-C12</f>
        <v>1314</v>
      </c>
    </row>
  </sheetData>
  <mergeCells count="6">
    <mergeCell ref="P1:Q1"/>
    <mergeCell ref="P5:Q5"/>
    <mergeCell ref="N6:U7"/>
    <mergeCell ref="T1:U1"/>
    <mergeCell ref="S5:U5"/>
    <mergeCell ref="A3:U3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4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7"/>
  <sheetViews>
    <sheetView zoomScaleNormal="100" workbookViewId="0">
      <selection activeCell="I27" sqref="I27"/>
    </sheetView>
  </sheetViews>
  <sheetFormatPr defaultRowHeight="12.75" x14ac:dyDescent="0.2"/>
  <cols>
    <col min="2" max="2" width="12" customWidth="1"/>
    <col min="3" max="3" width="12.28515625" customWidth="1"/>
    <col min="4" max="4" width="14.42578125" customWidth="1"/>
    <col min="5" max="5" width="20.85546875" customWidth="1"/>
    <col min="9" max="9" width="10.140625" bestFit="1" customWidth="1"/>
    <col min="10" max="10" width="15.28515625" bestFit="1" customWidth="1"/>
    <col min="12" max="12" width="11.140625" bestFit="1" customWidth="1"/>
  </cols>
  <sheetData>
    <row r="2" spans="1:13" x14ac:dyDescent="0.2">
      <c r="A2" s="61" t="s">
        <v>59</v>
      </c>
      <c r="B2" s="62"/>
      <c r="C2" s="62"/>
      <c r="D2" s="62"/>
      <c r="I2" s="69"/>
      <c r="J2" s="63"/>
      <c r="K2" s="63"/>
      <c r="L2" s="63"/>
      <c r="M2" s="63"/>
    </row>
    <row r="3" spans="1:13" x14ac:dyDescent="0.2">
      <c r="I3" s="63"/>
      <c r="J3" s="63"/>
      <c r="K3" s="63"/>
      <c r="L3" s="63"/>
      <c r="M3" s="63"/>
    </row>
    <row r="4" spans="1:13" x14ac:dyDescent="0.2">
      <c r="B4" s="40" t="s">
        <v>35</v>
      </c>
      <c r="C4" s="40" t="s">
        <v>36</v>
      </c>
      <c r="D4" s="40" t="s">
        <v>32</v>
      </c>
      <c r="I4" s="70"/>
      <c r="J4" s="70"/>
      <c r="K4" s="70"/>
      <c r="L4" s="63"/>
      <c r="M4" s="63"/>
    </row>
    <row r="5" spans="1:13" x14ac:dyDescent="0.2">
      <c r="B5" s="45">
        <v>42736</v>
      </c>
      <c r="C5" s="46">
        <v>114020000</v>
      </c>
      <c r="D5" s="46">
        <v>0</v>
      </c>
      <c r="I5" s="71"/>
      <c r="J5" s="72"/>
      <c r="K5" s="73"/>
      <c r="L5" s="63"/>
      <c r="M5" s="63"/>
    </row>
    <row r="6" spans="1:13" x14ac:dyDescent="0.2">
      <c r="B6" s="45">
        <v>42825</v>
      </c>
      <c r="C6" s="46">
        <f>C5-2850500</f>
        <v>111169500</v>
      </c>
      <c r="D6" s="46">
        <f t="shared" ref="D6:D45" si="0">C5*(0.0333/4)</f>
        <v>949216.50000000012</v>
      </c>
      <c r="I6" s="71"/>
      <c r="J6" s="72"/>
      <c r="K6" s="73"/>
      <c r="L6" s="63"/>
      <c r="M6" s="63"/>
    </row>
    <row r="7" spans="1:13" x14ac:dyDescent="0.2">
      <c r="B7" s="45">
        <v>42916</v>
      </c>
      <c r="C7" s="46">
        <f>C6-2850500</f>
        <v>108319000</v>
      </c>
      <c r="D7" s="46">
        <f t="shared" si="0"/>
        <v>925486.08750000014</v>
      </c>
      <c r="I7" s="71"/>
      <c r="J7" s="72"/>
      <c r="K7" s="73"/>
      <c r="L7" s="63"/>
      <c r="M7" s="63"/>
    </row>
    <row r="8" spans="1:13" x14ac:dyDescent="0.2">
      <c r="B8" s="45">
        <v>43008</v>
      </c>
      <c r="C8" s="46">
        <f>C7-2850500</f>
        <v>105468500</v>
      </c>
      <c r="D8" s="46">
        <f t="shared" si="0"/>
        <v>901755.67500000005</v>
      </c>
      <c r="I8" s="71"/>
      <c r="J8" s="72"/>
      <c r="K8" s="73"/>
      <c r="L8" s="63"/>
      <c r="M8" s="63"/>
    </row>
    <row r="9" spans="1:13" x14ac:dyDescent="0.2">
      <c r="B9" s="45">
        <v>43100</v>
      </c>
      <c r="C9" s="46">
        <f>C8-2850500</f>
        <v>102618000</v>
      </c>
      <c r="D9" s="46">
        <f t="shared" si="0"/>
        <v>878025.26250000007</v>
      </c>
      <c r="E9" s="59">
        <f>SUM(D6:D9)</f>
        <v>3654483.5250000004</v>
      </c>
      <c r="I9" s="71"/>
      <c r="J9" s="72"/>
      <c r="K9" s="73"/>
      <c r="L9" s="65"/>
      <c r="M9" s="63"/>
    </row>
    <row r="10" spans="1:13" x14ac:dyDescent="0.2">
      <c r="B10" s="50">
        <v>43190</v>
      </c>
      <c r="C10" s="52">
        <f t="shared" ref="C10:C45" si="1">C9-2850500</f>
        <v>99767500</v>
      </c>
      <c r="D10" s="52">
        <f t="shared" si="0"/>
        <v>854294.85000000009</v>
      </c>
      <c r="I10" s="64"/>
      <c r="J10" s="65"/>
      <c r="K10" s="65"/>
      <c r="L10" s="63"/>
      <c r="M10" s="63"/>
    </row>
    <row r="11" spans="1:13" x14ac:dyDescent="0.2">
      <c r="B11" s="50">
        <v>43281</v>
      </c>
      <c r="C11" s="52">
        <f t="shared" si="1"/>
        <v>96917000</v>
      </c>
      <c r="D11" s="52">
        <f t="shared" si="0"/>
        <v>830564.43750000012</v>
      </c>
      <c r="I11" s="64"/>
      <c r="J11" s="65"/>
      <c r="K11" s="65"/>
      <c r="L11" s="63"/>
      <c r="M11" s="63"/>
    </row>
    <row r="12" spans="1:13" x14ac:dyDescent="0.2">
      <c r="B12" s="50">
        <v>43373</v>
      </c>
      <c r="C12" s="52">
        <f t="shared" si="1"/>
        <v>94066500</v>
      </c>
      <c r="D12" s="52">
        <f t="shared" si="0"/>
        <v>806834.02500000002</v>
      </c>
      <c r="I12" s="64"/>
      <c r="J12" s="65"/>
      <c r="K12" s="65"/>
      <c r="L12" s="63"/>
      <c r="M12" s="63"/>
    </row>
    <row r="13" spans="1:13" x14ac:dyDescent="0.2">
      <c r="B13" s="50">
        <v>43465</v>
      </c>
      <c r="C13" s="52">
        <f t="shared" si="1"/>
        <v>91216000</v>
      </c>
      <c r="D13" s="52">
        <f t="shared" si="0"/>
        <v>783103.61250000005</v>
      </c>
      <c r="E13" s="59">
        <f>SUM(D10:D13)</f>
        <v>3274796.9249999998</v>
      </c>
      <c r="I13" s="64"/>
      <c r="J13" s="65"/>
      <c r="K13" s="65"/>
      <c r="L13" s="65"/>
      <c r="M13" s="63"/>
    </row>
    <row r="14" spans="1:13" x14ac:dyDescent="0.2">
      <c r="B14" s="48">
        <v>43555</v>
      </c>
      <c r="C14" s="53">
        <f t="shared" si="1"/>
        <v>88365500</v>
      </c>
      <c r="D14" s="53">
        <f t="shared" si="0"/>
        <v>759373.20000000007</v>
      </c>
      <c r="E14" s="59"/>
      <c r="I14" s="64"/>
      <c r="J14" s="65"/>
      <c r="K14" s="65"/>
      <c r="L14" s="65"/>
      <c r="M14" s="63"/>
    </row>
    <row r="15" spans="1:13" x14ac:dyDescent="0.2">
      <c r="B15" s="48">
        <v>43646</v>
      </c>
      <c r="C15" s="53">
        <f t="shared" si="1"/>
        <v>85515000</v>
      </c>
      <c r="D15" s="53">
        <f t="shared" si="0"/>
        <v>735642.78750000009</v>
      </c>
      <c r="I15" s="64"/>
      <c r="J15" s="65"/>
      <c r="K15" s="65"/>
      <c r="L15" s="63"/>
      <c r="M15" s="63"/>
    </row>
    <row r="16" spans="1:13" x14ac:dyDescent="0.2">
      <c r="B16" s="48">
        <v>43738</v>
      </c>
      <c r="C16" s="53">
        <f t="shared" si="1"/>
        <v>82664500</v>
      </c>
      <c r="D16" s="53">
        <f t="shared" si="0"/>
        <v>711912.37500000012</v>
      </c>
      <c r="I16" s="64"/>
      <c r="J16" s="65"/>
      <c r="K16" s="65"/>
      <c r="L16" s="63"/>
      <c r="M16" s="63"/>
    </row>
    <row r="17" spans="2:13" x14ac:dyDescent="0.2">
      <c r="B17" s="48">
        <v>43830</v>
      </c>
      <c r="C17" s="53">
        <f t="shared" si="1"/>
        <v>79814000</v>
      </c>
      <c r="D17" s="53">
        <f t="shared" si="0"/>
        <v>688181.96250000002</v>
      </c>
      <c r="E17" s="59">
        <f>SUM(D14:D17)</f>
        <v>2895110.3250000002</v>
      </c>
      <c r="I17" s="64"/>
      <c r="J17" s="65"/>
      <c r="K17" s="65"/>
      <c r="L17" s="63"/>
      <c r="M17" s="63"/>
    </row>
    <row r="18" spans="2:13" x14ac:dyDescent="0.2">
      <c r="B18" s="51">
        <v>43921</v>
      </c>
      <c r="C18" s="54">
        <f t="shared" si="1"/>
        <v>76963500</v>
      </c>
      <c r="D18" s="54">
        <f t="shared" si="0"/>
        <v>664451.55000000005</v>
      </c>
      <c r="I18" s="64"/>
      <c r="J18" s="65"/>
      <c r="K18" s="65"/>
      <c r="L18" s="65"/>
      <c r="M18" s="63"/>
    </row>
    <row r="19" spans="2:13" x14ac:dyDescent="0.2">
      <c r="B19" s="51">
        <v>44012</v>
      </c>
      <c r="C19" s="54">
        <f t="shared" si="1"/>
        <v>74113000</v>
      </c>
      <c r="D19" s="54">
        <f t="shared" si="0"/>
        <v>640721.13750000007</v>
      </c>
      <c r="I19" s="64"/>
      <c r="J19" s="65"/>
      <c r="K19" s="65"/>
      <c r="L19" s="65"/>
      <c r="M19" s="63"/>
    </row>
    <row r="20" spans="2:13" x14ac:dyDescent="0.2">
      <c r="B20" s="51">
        <v>44104</v>
      </c>
      <c r="C20" s="54">
        <f t="shared" si="1"/>
        <v>71262500</v>
      </c>
      <c r="D20" s="54">
        <f t="shared" si="0"/>
        <v>616990.72500000009</v>
      </c>
      <c r="I20" s="64"/>
      <c r="J20" s="65"/>
      <c r="K20" s="65"/>
      <c r="L20" s="63"/>
      <c r="M20" s="63"/>
    </row>
    <row r="21" spans="2:13" x14ac:dyDescent="0.2">
      <c r="B21" s="51">
        <v>44196</v>
      </c>
      <c r="C21" s="54">
        <f t="shared" si="1"/>
        <v>68412000</v>
      </c>
      <c r="D21" s="54">
        <f t="shared" si="0"/>
        <v>593260.3125</v>
      </c>
      <c r="E21" s="59">
        <f>SUM(D18:D21)</f>
        <v>2515423.7250000001</v>
      </c>
      <c r="I21" s="64"/>
      <c r="J21" s="65"/>
      <c r="K21" s="65"/>
      <c r="L21" s="63"/>
      <c r="M21" s="63"/>
    </row>
    <row r="22" spans="2:13" x14ac:dyDescent="0.2">
      <c r="B22" s="49">
        <v>44286</v>
      </c>
      <c r="C22" s="56">
        <f t="shared" si="1"/>
        <v>65561500</v>
      </c>
      <c r="D22" s="56">
        <f t="shared" si="0"/>
        <v>569529.9</v>
      </c>
      <c r="I22" s="64"/>
      <c r="J22" s="65"/>
      <c r="K22" s="65"/>
      <c r="L22" s="65"/>
      <c r="M22" s="63"/>
    </row>
    <row r="23" spans="2:13" x14ac:dyDescent="0.2">
      <c r="B23" s="49">
        <v>44377</v>
      </c>
      <c r="C23" s="56">
        <f t="shared" si="1"/>
        <v>62711000</v>
      </c>
      <c r="D23" s="56">
        <f t="shared" si="0"/>
        <v>545799.48750000005</v>
      </c>
      <c r="I23" s="64"/>
      <c r="J23" s="65"/>
      <c r="K23" s="65"/>
      <c r="L23" s="63"/>
      <c r="M23" s="63"/>
    </row>
    <row r="24" spans="2:13" x14ac:dyDescent="0.2">
      <c r="B24" s="49">
        <v>44469</v>
      </c>
      <c r="C24" s="56">
        <f t="shared" si="1"/>
        <v>59860500</v>
      </c>
      <c r="D24" s="56">
        <f t="shared" si="0"/>
        <v>522069.07500000007</v>
      </c>
      <c r="I24" s="64"/>
      <c r="J24" s="65"/>
      <c r="K24" s="65"/>
      <c r="L24" s="63"/>
      <c r="M24" s="63"/>
    </row>
    <row r="25" spans="2:13" x14ac:dyDescent="0.2">
      <c r="B25" s="49">
        <v>44561</v>
      </c>
      <c r="C25" s="56">
        <f t="shared" si="1"/>
        <v>57010000</v>
      </c>
      <c r="D25" s="56">
        <f t="shared" si="0"/>
        <v>498338.66250000003</v>
      </c>
      <c r="E25" s="59">
        <f>SUM(D22:D25)</f>
        <v>2135737.1250000005</v>
      </c>
      <c r="I25" s="64"/>
      <c r="J25" s="65"/>
      <c r="K25" s="65"/>
      <c r="L25" s="63"/>
      <c r="M25" s="63"/>
    </row>
    <row r="26" spans="2:13" x14ac:dyDescent="0.2">
      <c r="B26" s="43">
        <v>44651</v>
      </c>
      <c r="C26" s="44">
        <f t="shared" si="1"/>
        <v>54159500</v>
      </c>
      <c r="D26" s="44">
        <f t="shared" si="0"/>
        <v>474608.25000000006</v>
      </c>
      <c r="I26" s="64"/>
      <c r="J26" s="65"/>
      <c r="K26" s="65"/>
      <c r="L26" s="65"/>
      <c r="M26" s="63"/>
    </row>
    <row r="27" spans="2:13" x14ac:dyDescent="0.2">
      <c r="B27" s="43">
        <v>44742</v>
      </c>
      <c r="C27" s="44">
        <f t="shared" si="1"/>
        <v>51309000</v>
      </c>
      <c r="D27" s="44">
        <f t="shared" si="0"/>
        <v>450877.83750000002</v>
      </c>
      <c r="I27" s="64"/>
      <c r="J27" s="65"/>
      <c r="K27" s="65"/>
      <c r="L27" s="63"/>
      <c r="M27" s="63"/>
    </row>
    <row r="28" spans="2:13" x14ac:dyDescent="0.2">
      <c r="B28" s="43">
        <v>44834</v>
      </c>
      <c r="C28" s="44">
        <f t="shared" si="1"/>
        <v>48458500</v>
      </c>
      <c r="D28" s="44">
        <f t="shared" si="0"/>
        <v>427147.42500000005</v>
      </c>
      <c r="I28" s="64"/>
      <c r="J28" s="65"/>
      <c r="K28" s="65"/>
      <c r="L28" s="63"/>
      <c r="M28" s="63"/>
    </row>
    <row r="29" spans="2:13" x14ac:dyDescent="0.2">
      <c r="B29" s="43">
        <v>44926</v>
      </c>
      <c r="C29" s="44">
        <f t="shared" si="1"/>
        <v>45608000</v>
      </c>
      <c r="D29" s="44">
        <f t="shared" si="0"/>
        <v>403417.01250000001</v>
      </c>
      <c r="E29" s="59">
        <f>SUM(D26:D29)</f>
        <v>1756050.5250000001</v>
      </c>
      <c r="I29" s="64"/>
      <c r="J29" s="65"/>
      <c r="K29" s="65"/>
      <c r="L29" s="63"/>
      <c r="M29" s="63"/>
    </row>
    <row r="30" spans="2:13" x14ac:dyDescent="0.2">
      <c r="B30" s="47">
        <v>45016</v>
      </c>
      <c r="C30" s="55">
        <f t="shared" si="1"/>
        <v>42757500</v>
      </c>
      <c r="D30" s="55">
        <f t="shared" si="0"/>
        <v>379686.60000000003</v>
      </c>
      <c r="I30" s="64"/>
      <c r="J30" s="65"/>
      <c r="K30" s="65"/>
      <c r="L30" s="65"/>
      <c r="M30" s="63"/>
    </row>
    <row r="31" spans="2:13" x14ac:dyDescent="0.2">
      <c r="B31" s="47">
        <v>45107</v>
      </c>
      <c r="C31" s="55">
        <f t="shared" si="1"/>
        <v>39907000</v>
      </c>
      <c r="D31" s="55">
        <f t="shared" si="0"/>
        <v>355956.18750000006</v>
      </c>
      <c r="I31" s="64"/>
      <c r="J31" s="65"/>
      <c r="K31" s="65"/>
      <c r="L31" s="63"/>
      <c r="M31" s="63"/>
    </row>
    <row r="32" spans="2:13" x14ac:dyDescent="0.2">
      <c r="B32" s="47">
        <v>45199</v>
      </c>
      <c r="C32" s="55">
        <f t="shared" si="1"/>
        <v>37056500</v>
      </c>
      <c r="D32" s="55">
        <f t="shared" si="0"/>
        <v>332225.77500000002</v>
      </c>
      <c r="I32" s="64"/>
      <c r="J32" s="65"/>
      <c r="K32" s="65"/>
      <c r="L32" s="63"/>
      <c r="M32" s="63"/>
    </row>
    <row r="33" spans="2:13" x14ac:dyDescent="0.2">
      <c r="B33" s="47">
        <v>45291</v>
      </c>
      <c r="C33" s="55">
        <f t="shared" si="1"/>
        <v>34206000</v>
      </c>
      <c r="D33" s="55">
        <f t="shared" si="0"/>
        <v>308495.36250000005</v>
      </c>
      <c r="E33" s="59">
        <f>SUM(D30:D33)</f>
        <v>1376363.925</v>
      </c>
      <c r="I33" s="64"/>
      <c r="J33" s="65"/>
      <c r="K33" s="65"/>
      <c r="L33" s="63"/>
      <c r="M33" s="63"/>
    </row>
    <row r="34" spans="2:13" x14ac:dyDescent="0.2">
      <c r="B34" s="41">
        <v>45382</v>
      </c>
      <c r="C34" s="42">
        <f t="shared" si="1"/>
        <v>31355500</v>
      </c>
      <c r="D34" s="42">
        <f t="shared" si="0"/>
        <v>284764.95</v>
      </c>
      <c r="I34" s="64"/>
      <c r="J34" s="65"/>
      <c r="K34" s="65"/>
      <c r="L34" s="65"/>
      <c r="M34" s="63"/>
    </row>
    <row r="35" spans="2:13" x14ac:dyDescent="0.2">
      <c r="B35" s="41">
        <v>45473</v>
      </c>
      <c r="C35" s="42">
        <f t="shared" si="1"/>
        <v>28505000</v>
      </c>
      <c r="D35" s="42">
        <f t="shared" si="0"/>
        <v>261034.53750000003</v>
      </c>
      <c r="I35" s="64"/>
      <c r="J35" s="65"/>
      <c r="K35" s="65"/>
      <c r="L35" s="63"/>
      <c r="M35" s="63"/>
    </row>
    <row r="36" spans="2:13" x14ac:dyDescent="0.2">
      <c r="B36" s="41">
        <v>45565</v>
      </c>
      <c r="C36" s="42">
        <f t="shared" si="1"/>
        <v>25654500</v>
      </c>
      <c r="D36" s="42">
        <f t="shared" si="0"/>
        <v>237304.12500000003</v>
      </c>
      <c r="I36" s="64"/>
      <c r="J36" s="65"/>
      <c r="K36" s="65"/>
      <c r="L36" s="63"/>
      <c r="M36" s="63"/>
    </row>
    <row r="37" spans="2:13" x14ac:dyDescent="0.2">
      <c r="B37" s="41">
        <v>45657</v>
      </c>
      <c r="C37" s="42">
        <f t="shared" si="1"/>
        <v>22804000</v>
      </c>
      <c r="D37" s="42">
        <f t="shared" si="0"/>
        <v>213573.71250000002</v>
      </c>
      <c r="E37" s="59">
        <f>SUM(D34:D37)</f>
        <v>996677.32500000007</v>
      </c>
      <c r="I37" s="64"/>
      <c r="J37" s="65"/>
      <c r="K37" s="65"/>
      <c r="L37" s="63"/>
      <c r="M37" s="63"/>
    </row>
    <row r="38" spans="2:13" x14ac:dyDescent="0.2">
      <c r="B38" s="45">
        <v>45747</v>
      </c>
      <c r="C38" s="46">
        <f t="shared" si="1"/>
        <v>19953500</v>
      </c>
      <c r="D38" s="46">
        <f t="shared" si="0"/>
        <v>189843.30000000002</v>
      </c>
      <c r="I38" s="64"/>
      <c r="J38" s="65"/>
      <c r="K38" s="65"/>
      <c r="L38" s="65"/>
      <c r="M38" s="63"/>
    </row>
    <row r="39" spans="2:13" x14ac:dyDescent="0.2">
      <c r="B39" s="45">
        <v>45838</v>
      </c>
      <c r="C39" s="46">
        <f t="shared" si="1"/>
        <v>17103000</v>
      </c>
      <c r="D39" s="46">
        <f t="shared" si="0"/>
        <v>166112.88750000001</v>
      </c>
      <c r="I39" s="64"/>
      <c r="J39" s="65"/>
      <c r="K39" s="65"/>
      <c r="L39" s="63"/>
      <c r="M39" s="63"/>
    </row>
    <row r="40" spans="2:13" x14ac:dyDescent="0.2">
      <c r="B40" s="45">
        <v>45930</v>
      </c>
      <c r="C40" s="46">
        <f t="shared" si="1"/>
        <v>14252500</v>
      </c>
      <c r="D40" s="46">
        <f t="shared" si="0"/>
        <v>142382.47500000001</v>
      </c>
      <c r="I40" s="64"/>
      <c r="J40" s="65"/>
      <c r="K40" s="65"/>
      <c r="L40" s="63"/>
      <c r="M40" s="63"/>
    </row>
    <row r="41" spans="2:13" x14ac:dyDescent="0.2">
      <c r="B41" s="45">
        <v>46022</v>
      </c>
      <c r="C41" s="46">
        <f t="shared" si="1"/>
        <v>11402000</v>
      </c>
      <c r="D41" s="46">
        <f t="shared" si="0"/>
        <v>118652.06250000001</v>
      </c>
      <c r="E41" s="59">
        <f>SUM(D38:D41)</f>
        <v>616990.72499999998</v>
      </c>
      <c r="I41" s="64"/>
      <c r="J41" s="65"/>
      <c r="K41" s="65"/>
      <c r="L41" s="63"/>
      <c r="M41" s="63"/>
    </row>
    <row r="42" spans="2:13" x14ac:dyDescent="0.2">
      <c r="B42" s="57">
        <v>46112</v>
      </c>
      <c r="C42" s="58">
        <f t="shared" si="1"/>
        <v>8551500</v>
      </c>
      <c r="D42" s="58">
        <f t="shared" si="0"/>
        <v>94921.650000000009</v>
      </c>
      <c r="I42" s="64"/>
      <c r="J42" s="65"/>
      <c r="K42" s="65"/>
      <c r="L42" s="65"/>
      <c r="M42" s="63"/>
    </row>
    <row r="43" spans="2:13" x14ac:dyDescent="0.2">
      <c r="B43" s="57">
        <v>46203</v>
      </c>
      <c r="C43" s="58">
        <f t="shared" si="1"/>
        <v>5701000</v>
      </c>
      <c r="D43" s="58">
        <f t="shared" si="0"/>
        <v>71191.237500000003</v>
      </c>
      <c r="I43" s="64"/>
      <c r="J43" s="65"/>
      <c r="K43" s="65"/>
      <c r="L43" s="63"/>
      <c r="M43" s="63"/>
    </row>
    <row r="44" spans="2:13" x14ac:dyDescent="0.2">
      <c r="B44" s="57">
        <v>46295</v>
      </c>
      <c r="C44" s="58">
        <f t="shared" si="1"/>
        <v>2850500</v>
      </c>
      <c r="D44" s="58">
        <f t="shared" si="0"/>
        <v>47460.825000000004</v>
      </c>
      <c r="I44" s="64"/>
      <c r="J44" s="65"/>
      <c r="K44" s="65"/>
      <c r="L44" s="63"/>
      <c r="M44" s="63"/>
    </row>
    <row r="45" spans="2:13" x14ac:dyDescent="0.2">
      <c r="B45" s="57">
        <v>46387</v>
      </c>
      <c r="C45" s="58">
        <f t="shared" si="1"/>
        <v>0</v>
      </c>
      <c r="D45" s="58">
        <f t="shared" si="0"/>
        <v>23730.412500000002</v>
      </c>
      <c r="E45" s="59">
        <f>SUM(D42:D45)</f>
        <v>237304.12500000003</v>
      </c>
      <c r="I45" s="64"/>
      <c r="J45" s="65"/>
      <c r="K45" s="65"/>
      <c r="L45" s="63"/>
      <c r="M45" s="63"/>
    </row>
    <row r="46" spans="2:13" x14ac:dyDescent="0.2">
      <c r="I46" s="63"/>
      <c r="J46" s="65"/>
      <c r="K46" s="65"/>
    </row>
    <row r="47" spans="2:13" x14ac:dyDescent="0.2">
      <c r="I47" s="63"/>
      <c r="J47" s="65"/>
      <c r="K47" s="65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zoomScaleNormal="100" workbookViewId="0">
      <selection activeCell="J33" sqref="J33"/>
    </sheetView>
  </sheetViews>
  <sheetFormatPr defaultRowHeight="12.75" x14ac:dyDescent="0.2"/>
  <cols>
    <col min="1" max="1" width="10.7109375" customWidth="1"/>
    <col min="2" max="2" width="32" bestFit="1" customWidth="1"/>
    <col min="4" max="4" width="18" customWidth="1"/>
    <col min="5" max="5" width="12" style="59" customWidth="1"/>
    <col min="6" max="6" width="12" customWidth="1"/>
    <col min="8" max="10" width="10.140625" bestFit="1" customWidth="1"/>
    <col min="12" max="12" width="10.140625" bestFit="1" customWidth="1"/>
  </cols>
  <sheetData>
    <row r="1" spans="1:12" x14ac:dyDescent="0.2">
      <c r="A1" s="75" t="s">
        <v>58</v>
      </c>
    </row>
    <row r="2" spans="1:12" ht="13.5" thickBot="1" x14ac:dyDescent="0.25"/>
    <row r="3" spans="1:12" ht="29.25" customHeight="1" thickBot="1" x14ac:dyDescent="0.25">
      <c r="A3" s="114" t="s">
        <v>35</v>
      </c>
      <c r="B3" s="115" t="s">
        <v>42</v>
      </c>
      <c r="C3" s="115" t="s">
        <v>32</v>
      </c>
      <c r="D3" s="116" t="s">
        <v>41</v>
      </c>
      <c r="E3" s="116" t="s">
        <v>43</v>
      </c>
      <c r="F3" s="117" t="s">
        <v>44</v>
      </c>
    </row>
    <row r="4" spans="1:12" s="68" customFormat="1" x14ac:dyDescent="0.2">
      <c r="A4" s="109">
        <v>43373</v>
      </c>
      <c r="B4" s="110">
        <v>0</v>
      </c>
      <c r="C4" s="111"/>
      <c r="D4" s="111"/>
      <c r="E4" s="112"/>
      <c r="F4" s="113"/>
    </row>
    <row r="5" spans="1:12" s="68" customFormat="1" ht="12" customHeight="1" x14ac:dyDescent="0.2">
      <c r="A5" s="87">
        <v>43465</v>
      </c>
      <c r="B5" s="78">
        <v>29860809</v>
      </c>
      <c r="C5" s="78">
        <f>29861000*(0.024/4)</f>
        <v>179166</v>
      </c>
      <c r="D5" s="78">
        <f>170139000*(0.002/4)</f>
        <v>85069.5</v>
      </c>
      <c r="E5" s="77"/>
      <c r="F5" s="88">
        <f>SUM(C5:E5)</f>
        <v>264235.5</v>
      </c>
    </row>
    <row r="6" spans="1:12" x14ac:dyDescent="0.2">
      <c r="A6" s="89">
        <v>43555</v>
      </c>
      <c r="B6" s="74">
        <v>29860809</v>
      </c>
      <c r="C6" s="74">
        <f t="shared" ref="C6:C11" si="0">B6*(0.024/4)</f>
        <v>179164.85399999999</v>
      </c>
      <c r="D6" s="118">
        <f>170139000*(0.002/4)</f>
        <v>85069.5</v>
      </c>
      <c r="E6" s="76"/>
      <c r="F6" s="90"/>
    </row>
    <row r="7" spans="1:12" x14ac:dyDescent="0.2">
      <c r="A7" s="89">
        <v>43646</v>
      </c>
      <c r="B7" s="74">
        <v>29860809</v>
      </c>
      <c r="C7" s="74">
        <f t="shared" si="0"/>
        <v>179164.85399999999</v>
      </c>
      <c r="D7" s="118">
        <f>170139000*(0.002/4)</f>
        <v>85069.5</v>
      </c>
      <c r="E7" s="76"/>
      <c r="F7" s="90"/>
    </row>
    <row r="8" spans="1:12" x14ac:dyDescent="0.2">
      <c r="A8" s="89">
        <v>43738</v>
      </c>
      <c r="B8" s="74">
        <v>26860809</v>
      </c>
      <c r="C8" s="74">
        <f t="shared" si="0"/>
        <v>161164.85399999999</v>
      </c>
      <c r="D8" s="118">
        <f>170139000*(0.002/4)</f>
        <v>85069.5</v>
      </c>
      <c r="E8" s="76"/>
      <c r="F8" s="90"/>
    </row>
    <row r="9" spans="1:12" x14ac:dyDescent="0.2">
      <c r="A9" s="89">
        <v>43830</v>
      </c>
      <c r="B9" s="74">
        <f>29860809+56000000</f>
        <v>85860809</v>
      </c>
      <c r="C9" s="74">
        <f t="shared" si="0"/>
        <v>515164.85399999999</v>
      </c>
      <c r="D9" s="74">
        <f>114139000*(0.002/4)</f>
        <v>57069.5</v>
      </c>
      <c r="E9" s="76"/>
      <c r="F9" s="90">
        <f>C6+C7+C8+C9+D6</f>
        <v>1119728.916</v>
      </c>
      <c r="H9" s="59"/>
      <c r="I9" s="59"/>
    </row>
    <row r="10" spans="1:12" x14ac:dyDescent="0.2">
      <c r="A10" s="91">
        <v>43921</v>
      </c>
      <c r="B10" s="46">
        <v>85860809</v>
      </c>
      <c r="C10" s="46">
        <f t="shared" si="0"/>
        <v>515164.85399999999</v>
      </c>
      <c r="D10" s="119">
        <f>114139000*(0.002/4)</f>
        <v>57069.5</v>
      </c>
      <c r="E10" s="46"/>
      <c r="F10" s="92"/>
    </row>
    <row r="11" spans="1:12" x14ac:dyDescent="0.2">
      <c r="A11" s="91">
        <v>44012</v>
      </c>
      <c r="B11" s="46">
        <f>85860809+32000000</f>
        <v>117860809</v>
      </c>
      <c r="C11" s="46">
        <f t="shared" si="0"/>
        <v>707164.85400000005</v>
      </c>
      <c r="D11" s="46"/>
      <c r="E11" s="46"/>
      <c r="F11" s="92"/>
    </row>
    <row r="12" spans="1:12" x14ac:dyDescent="0.2">
      <c r="A12" s="91">
        <v>44104</v>
      </c>
      <c r="B12" s="46">
        <f>B11-6250000</f>
        <v>111610809</v>
      </c>
      <c r="C12" s="46">
        <f t="shared" ref="C12:C41" si="1">B11*(0.024/4)</f>
        <v>707164.85400000005</v>
      </c>
      <c r="D12" s="46"/>
      <c r="E12" s="46">
        <v>6250000</v>
      </c>
      <c r="F12" s="92"/>
    </row>
    <row r="13" spans="1:12" x14ac:dyDescent="0.2">
      <c r="A13" s="91">
        <v>44196</v>
      </c>
      <c r="B13" s="46">
        <f>B12+44000000+5447324+8377174-6250000</f>
        <v>163185307</v>
      </c>
      <c r="C13" s="46">
        <f t="shared" si="1"/>
        <v>669664.85400000005</v>
      </c>
      <c r="D13" s="46"/>
      <c r="E13" s="46">
        <v>6250000</v>
      </c>
      <c r="F13" s="92">
        <f>C10+C11+C12+C13+E13+E12</f>
        <v>15099159.416000001</v>
      </c>
      <c r="H13" s="59"/>
      <c r="J13" s="59"/>
      <c r="L13" s="59"/>
    </row>
    <row r="14" spans="1:12" x14ac:dyDescent="0.2">
      <c r="A14" s="93">
        <v>44286</v>
      </c>
      <c r="B14" s="55">
        <f>B13-6250000</f>
        <v>156935307</v>
      </c>
      <c r="C14" s="55">
        <f t="shared" si="1"/>
        <v>979111.84200000006</v>
      </c>
      <c r="D14" s="55"/>
      <c r="E14" s="55">
        <v>6250000</v>
      </c>
      <c r="F14" s="94"/>
    </row>
    <row r="15" spans="1:12" x14ac:dyDescent="0.2">
      <c r="A15" s="93">
        <v>44377</v>
      </c>
      <c r="B15" s="55">
        <f>B14-6250000</f>
        <v>150685307</v>
      </c>
      <c r="C15" s="55">
        <f t="shared" si="1"/>
        <v>941611.84200000006</v>
      </c>
      <c r="D15" s="55"/>
      <c r="E15" s="55">
        <v>6250000</v>
      </c>
      <c r="F15" s="94"/>
    </row>
    <row r="16" spans="1:12" x14ac:dyDescent="0.2">
      <c r="A16" s="93">
        <v>44469</v>
      </c>
      <c r="B16" s="55">
        <f t="shared" ref="B16:B39" si="2">B15-6250000</f>
        <v>144435307</v>
      </c>
      <c r="C16" s="55">
        <f t="shared" si="1"/>
        <v>904111.84200000006</v>
      </c>
      <c r="D16" s="55"/>
      <c r="E16" s="55">
        <v>6250000</v>
      </c>
      <c r="F16" s="94"/>
    </row>
    <row r="17" spans="1:10" x14ac:dyDescent="0.2">
      <c r="A17" s="93">
        <v>44561</v>
      </c>
      <c r="B17" s="55">
        <f>B16-6250000</f>
        <v>138185307</v>
      </c>
      <c r="C17" s="55">
        <f t="shared" si="1"/>
        <v>866611.84200000006</v>
      </c>
      <c r="D17" s="55"/>
      <c r="E17" s="55">
        <v>6250000</v>
      </c>
      <c r="F17" s="94">
        <f>C14+C15+C16+C17+E17+E14+E15+E16</f>
        <v>28691447.368000001</v>
      </c>
      <c r="H17" s="59">
        <f>SUM(C14:C17)</f>
        <v>3691447.3680000002</v>
      </c>
      <c r="I17" s="59">
        <f>SUM(E14:E17)</f>
        <v>25000000</v>
      </c>
      <c r="J17" s="59">
        <f>SUM(H17:I17)</f>
        <v>28691447.368000001</v>
      </c>
    </row>
    <row r="18" spans="1:10" x14ac:dyDescent="0.2">
      <c r="A18" s="95">
        <v>44651</v>
      </c>
      <c r="B18" s="53">
        <f>B17-6250000</f>
        <v>131935307</v>
      </c>
      <c r="C18" s="53">
        <f t="shared" si="1"/>
        <v>829111.84200000006</v>
      </c>
      <c r="D18" s="53"/>
      <c r="E18" s="53">
        <v>6250000</v>
      </c>
      <c r="F18" s="96"/>
    </row>
    <row r="19" spans="1:10" x14ac:dyDescent="0.2">
      <c r="A19" s="95">
        <v>44742</v>
      </c>
      <c r="B19" s="53">
        <f t="shared" si="2"/>
        <v>125685307</v>
      </c>
      <c r="C19" s="53">
        <f t="shared" si="1"/>
        <v>791611.84200000006</v>
      </c>
      <c r="D19" s="53"/>
      <c r="E19" s="53">
        <v>6250000</v>
      </c>
      <c r="F19" s="96"/>
    </row>
    <row r="20" spans="1:10" x14ac:dyDescent="0.2">
      <c r="A20" s="95">
        <v>44834</v>
      </c>
      <c r="B20" s="53">
        <f t="shared" si="2"/>
        <v>119435307</v>
      </c>
      <c r="C20" s="53">
        <f t="shared" si="1"/>
        <v>754111.84200000006</v>
      </c>
      <c r="D20" s="53"/>
      <c r="E20" s="53">
        <v>6250000</v>
      </c>
      <c r="F20" s="96"/>
    </row>
    <row r="21" spans="1:10" x14ac:dyDescent="0.2">
      <c r="A21" s="95">
        <v>44926</v>
      </c>
      <c r="B21" s="53">
        <f t="shared" si="2"/>
        <v>113185307</v>
      </c>
      <c r="C21" s="53">
        <f t="shared" si="1"/>
        <v>716611.84200000006</v>
      </c>
      <c r="D21" s="53"/>
      <c r="E21" s="53">
        <v>6250000</v>
      </c>
      <c r="F21" s="96">
        <f>C18+C19+C20+C21+E21+E18+E19+E20</f>
        <v>28091447.368000001</v>
      </c>
      <c r="H21" s="59">
        <f>SUM(C18:C21)</f>
        <v>3091447.3680000002</v>
      </c>
      <c r="I21" s="59">
        <f>SUM(E18:E21)</f>
        <v>25000000</v>
      </c>
      <c r="J21" s="59">
        <f>SUM(H21:I21)</f>
        <v>28091447.368000001</v>
      </c>
    </row>
    <row r="22" spans="1:10" x14ac:dyDescent="0.2">
      <c r="A22" s="97">
        <v>45016</v>
      </c>
      <c r="B22" s="85">
        <f t="shared" si="2"/>
        <v>106935307</v>
      </c>
      <c r="C22" s="85">
        <f t="shared" si="1"/>
        <v>679111.84200000006</v>
      </c>
      <c r="D22" s="85"/>
      <c r="E22" s="85">
        <v>6250000</v>
      </c>
      <c r="F22" s="98"/>
    </row>
    <row r="23" spans="1:10" x14ac:dyDescent="0.2">
      <c r="A23" s="97">
        <v>45107</v>
      </c>
      <c r="B23" s="85">
        <f t="shared" si="2"/>
        <v>100685307</v>
      </c>
      <c r="C23" s="85">
        <f t="shared" si="1"/>
        <v>641611.84200000006</v>
      </c>
      <c r="D23" s="85"/>
      <c r="E23" s="85">
        <v>6250000</v>
      </c>
      <c r="F23" s="98"/>
    </row>
    <row r="24" spans="1:10" x14ac:dyDescent="0.2">
      <c r="A24" s="97">
        <v>45199</v>
      </c>
      <c r="B24" s="85">
        <f t="shared" si="2"/>
        <v>94435307</v>
      </c>
      <c r="C24" s="85">
        <f t="shared" si="1"/>
        <v>604111.84200000006</v>
      </c>
      <c r="D24" s="85"/>
      <c r="E24" s="85">
        <v>6250000</v>
      </c>
      <c r="F24" s="98"/>
    </row>
    <row r="25" spans="1:10" x14ac:dyDescent="0.2">
      <c r="A25" s="97">
        <v>45291</v>
      </c>
      <c r="B25" s="85">
        <f t="shared" si="2"/>
        <v>88185307</v>
      </c>
      <c r="C25" s="85">
        <f t="shared" si="1"/>
        <v>566611.84200000006</v>
      </c>
      <c r="D25" s="85"/>
      <c r="E25" s="85">
        <v>6250000</v>
      </c>
      <c r="F25" s="98">
        <f>C22+C23+C24+C25+E25+E22+E23+E24</f>
        <v>27491447.368000001</v>
      </c>
      <c r="H25" s="59">
        <f>SUM(C22:C25)</f>
        <v>2491447.3680000002</v>
      </c>
      <c r="I25" s="59">
        <f>SUM(E22:E25)</f>
        <v>25000000</v>
      </c>
      <c r="J25" s="59">
        <f>SUM(H25:I25)</f>
        <v>27491447.368000001</v>
      </c>
    </row>
    <row r="26" spans="1:10" x14ac:dyDescent="0.2">
      <c r="A26" s="99">
        <v>45382</v>
      </c>
      <c r="B26" s="56">
        <f t="shared" si="2"/>
        <v>81935307</v>
      </c>
      <c r="C26" s="56">
        <f t="shared" si="1"/>
        <v>529111.84200000006</v>
      </c>
      <c r="D26" s="56"/>
      <c r="E26" s="56">
        <v>6250000</v>
      </c>
      <c r="F26" s="100"/>
      <c r="J26" s="59"/>
    </row>
    <row r="27" spans="1:10" x14ac:dyDescent="0.2">
      <c r="A27" s="99">
        <v>45473</v>
      </c>
      <c r="B27" s="56">
        <f t="shared" si="2"/>
        <v>75685307</v>
      </c>
      <c r="C27" s="56">
        <f t="shared" si="1"/>
        <v>491611.842</v>
      </c>
      <c r="D27" s="56"/>
      <c r="E27" s="56">
        <v>6250000</v>
      </c>
      <c r="F27" s="100"/>
    </row>
    <row r="28" spans="1:10" x14ac:dyDescent="0.2">
      <c r="A28" s="99">
        <v>45565</v>
      </c>
      <c r="B28" s="56">
        <f t="shared" si="2"/>
        <v>69435307</v>
      </c>
      <c r="C28" s="56">
        <f t="shared" si="1"/>
        <v>454111.842</v>
      </c>
      <c r="D28" s="56"/>
      <c r="E28" s="56">
        <v>6250000</v>
      </c>
      <c r="F28" s="100"/>
    </row>
    <row r="29" spans="1:10" x14ac:dyDescent="0.2">
      <c r="A29" s="99">
        <v>45657</v>
      </c>
      <c r="B29" s="56">
        <f t="shared" si="2"/>
        <v>63185307</v>
      </c>
      <c r="C29" s="56">
        <f t="shared" si="1"/>
        <v>416611.842</v>
      </c>
      <c r="D29" s="56"/>
      <c r="E29" s="56">
        <v>6250000</v>
      </c>
      <c r="F29" s="100">
        <f>C26+C27+C28+C29+E29+E26+E27+E28</f>
        <v>26891447.368000001</v>
      </c>
      <c r="H29" s="59">
        <f>SUM(C26:C29)</f>
        <v>1891447.368</v>
      </c>
      <c r="I29" s="59">
        <f>SUM(E26:E29)</f>
        <v>25000000</v>
      </c>
      <c r="J29" s="59">
        <f>SUM(H29:I29)</f>
        <v>26891447.368000001</v>
      </c>
    </row>
    <row r="30" spans="1:10" x14ac:dyDescent="0.2">
      <c r="A30" s="101">
        <v>45747</v>
      </c>
      <c r="B30" s="44">
        <f t="shared" si="2"/>
        <v>56935307</v>
      </c>
      <c r="C30" s="44">
        <f t="shared" si="1"/>
        <v>379111.842</v>
      </c>
      <c r="D30" s="44"/>
      <c r="E30" s="44">
        <v>6250000</v>
      </c>
      <c r="F30" s="102"/>
    </row>
    <row r="31" spans="1:10" x14ac:dyDescent="0.2">
      <c r="A31" s="101">
        <v>45838</v>
      </c>
      <c r="B31" s="44">
        <f t="shared" si="2"/>
        <v>50685307</v>
      </c>
      <c r="C31" s="44">
        <f t="shared" si="1"/>
        <v>341611.842</v>
      </c>
      <c r="D31" s="44"/>
      <c r="E31" s="44">
        <v>6250000</v>
      </c>
      <c r="F31" s="102"/>
    </row>
    <row r="32" spans="1:10" x14ac:dyDescent="0.2">
      <c r="A32" s="101">
        <v>45930</v>
      </c>
      <c r="B32" s="44">
        <f t="shared" si="2"/>
        <v>44435307</v>
      </c>
      <c r="C32" s="44">
        <f t="shared" si="1"/>
        <v>304111.842</v>
      </c>
      <c r="D32" s="44"/>
      <c r="E32" s="44">
        <v>6250000</v>
      </c>
      <c r="F32" s="102"/>
    </row>
    <row r="33" spans="1:10" x14ac:dyDescent="0.2">
      <c r="A33" s="101">
        <v>46022</v>
      </c>
      <c r="B33" s="44">
        <f t="shared" si="2"/>
        <v>38185307</v>
      </c>
      <c r="C33" s="44">
        <f t="shared" si="1"/>
        <v>266611.842</v>
      </c>
      <c r="D33" s="44"/>
      <c r="E33" s="44">
        <v>6250000</v>
      </c>
      <c r="F33" s="102">
        <f>C30+C31+C32+C33+E33+E30+E31+E32</f>
        <v>26291447.368000001</v>
      </c>
      <c r="H33" s="59">
        <f>SUM(C30:C33)</f>
        <v>1291447.368</v>
      </c>
      <c r="I33" s="59">
        <f>SUM(E30:E33)</f>
        <v>25000000</v>
      </c>
      <c r="J33" s="59">
        <f>SUM(H33:I33)</f>
        <v>26291447.368000001</v>
      </c>
    </row>
    <row r="34" spans="1:10" x14ac:dyDescent="0.2">
      <c r="A34" s="103">
        <v>46112</v>
      </c>
      <c r="B34" s="67">
        <f t="shared" si="2"/>
        <v>31935307</v>
      </c>
      <c r="C34" s="67">
        <f t="shared" si="1"/>
        <v>229111.842</v>
      </c>
      <c r="D34" s="67"/>
      <c r="E34" s="67">
        <v>6250000</v>
      </c>
      <c r="F34" s="104"/>
    </row>
    <row r="35" spans="1:10" x14ac:dyDescent="0.2">
      <c r="A35" s="103">
        <v>46203</v>
      </c>
      <c r="B35" s="67">
        <f t="shared" si="2"/>
        <v>25685307</v>
      </c>
      <c r="C35" s="67">
        <f t="shared" si="1"/>
        <v>191611.842</v>
      </c>
      <c r="D35" s="67"/>
      <c r="E35" s="67">
        <v>6250000</v>
      </c>
      <c r="F35" s="104"/>
    </row>
    <row r="36" spans="1:10" x14ac:dyDescent="0.2">
      <c r="A36" s="103">
        <v>46295</v>
      </c>
      <c r="B36" s="67">
        <f t="shared" si="2"/>
        <v>19435307</v>
      </c>
      <c r="C36" s="67">
        <f t="shared" si="1"/>
        <v>154111.842</v>
      </c>
      <c r="D36" s="67"/>
      <c r="E36" s="67">
        <v>6250000</v>
      </c>
      <c r="F36" s="104"/>
    </row>
    <row r="37" spans="1:10" x14ac:dyDescent="0.2">
      <c r="A37" s="103">
        <v>46387</v>
      </c>
      <c r="B37" s="67">
        <f t="shared" si="2"/>
        <v>13185307</v>
      </c>
      <c r="C37" s="67">
        <f t="shared" si="1"/>
        <v>116611.842</v>
      </c>
      <c r="D37" s="67"/>
      <c r="E37" s="67">
        <v>6250000</v>
      </c>
      <c r="F37" s="104">
        <f>C34+C35+C36+C37+E37+E34+E35+E36</f>
        <v>25691447.368000001</v>
      </c>
      <c r="H37" s="59">
        <f>SUM(C34:C37)</f>
        <v>691447.36800000002</v>
      </c>
      <c r="I37" s="59">
        <f>SUM(E34:E37)</f>
        <v>25000000</v>
      </c>
      <c r="J37" s="59">
        <f>SUM(H37:I37)</f>
        <v>25691447.368000001</v>
      </c>
    </row>
    <row r="38" spans="1:10" x14ac:dyDescent="0.2">
      <c r="A38" s="105">
        <v>46477</v>
      </c>
      <c r="B38" s="66">
        <f t="shared" si="2"/>
        <v>6935307</v>
      </c>
      <c r="C38" s="66">
        <f t="shared" si="1"/>
        <v>79111.842000000004</v>
      </c>
      <c r="D38" s="66"/>
      <c r="E38" s="66">
        <v>6250000</v>
      </c>
      <c r="F38" s="106"/>
    </row>
    <row r="39" spans="1:10" ht="13.5" customHeight="1" x14ac:dyDescent="0.2">
      <c r="A39" s="105">
        <v>46568</v>
      </c>
      <c r="B39" s="66">
        <f t="shared" si="2"/>
        <v>685307</v>
      </c>
      <c r="C39" s="66">
        <f t="shared" si="1"/>
        <v>41611.842000000004</v>
      </c>
      <c r="D39" s="66"/>
      <c r="E39" s="66">
        <v>6250000</v>
      </c>
      <c r="F39" s="106"/>
    </row>
    <row r="40" spans="1:10" x14ac:dyDescent="0.2">
      <c r="A40" s="105">
        <v>46660</v>
      </c>
      <c r="B40" s="66"/>
      <c r="C40" s="66">
        <f t="shared" si="1"/>
        <v>4111.8419999999996</v>
      </c>
      <c r="D40" s="66"/>
      <c r="E40" s="66">
        <v>685307</v>
      </c>
      <c r="F40" s="106"/>
    </row>
    <row r="41" spans="1:10" x14ac:dyDescent="0.2">
      <c r="A41" s="105">
        <v>46752</v>
      </c>
      <c r="B41" s="66"/>
      <c r="C41" s="66">
        <f t="shared" si="1"/>
        <v>0</v>
      </c>
      <c r="D41" s="66"/>
      <c r="E41" s="66">
        <v>0</v>
      </c>
      <c r="F41" s="106">
        <f>C38+C39+C40+C41+E41+E38+E39+E40</f>
        <v>13310142.526000001</v>
      </c>
      <c r="H41" s="59">
        <f>SUM(C38:C41)</f>
        <v>124835.52600000001</v>
      </c>
      <c r="I41" s="59">
        <f>SUM(E38:E41)</f>
        <v>13185307</v>
      </c>
      <c r="J41" s="59">
        <f>SUM(H41:I41)</f>
        <v>13310142.526000001</v>
      </c>
    </row>
    <row r="42" spans="1:10" x14ac:dyDescent="0.2">
      <c r="A42" s="64"/>
      <c r="B42" s="65"/>
      <c r="C42" s="65"/>
      <c r="D42" s="65"/>
      <c r="E42" s="59">
        <f>SUM(E4:E41)</f>
        <v>175685307</v>
      </c>
      <c r="F42" s="59">
        <f>SUM(F4:F41)</f>
        <v>192941950.56599998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opLeftCell="A7" workbookViewId="0">
      <selection activeCell="I15" sqref="I15"/>
    </sheetView>
  </sheetViews>
  <sheetFormatPr defaultRowHeight="12.75" x14ac:dyDescent="0.2"/>
  <cols>
    <col min="1" max="1" width="10.7109375" customWidth="1"/>
    <col min="2" max="2" width="32" bestFit="1" customWidth="1"/>
    <col min="4" max="4" width="19.5703125" customWidth="1"/>
    <col min="5" max="5" width="12" style="59" customWidth="1"/>
    <col min="6" max="6" width="12" customWidth="1"/>
    <col min="7" max="8" width="10.140625" bestFit="1" customWidth="1"/>
    <col min="9" max="10" width="11.140625" bestFit="1" customWidth="1"/>
    <col min="12" max="12" width="12.7109375" bestFit="1" customWidth="1"/>
    <col min="13" max="13" width="11.140625" bestFit="1" customWidth="1"/>
  </cols>
  <sheetData>
    <row r="1" spans="1:13" x14ac:dyDescent="0.2">
      <c r="A1" s="75" t="s">
        <v>40</v>
      </c>
    </row>
    <row r="2" spans="1:13" ht="13.5" thickBot="1" x14ac:dyDescent="0.25">
      <c r="C2" s="68" t="s">
        <v>60</v>
      </c>
    </row>
    <row r="3" spans="1:13" ht="29.25" customHeight="1" thickBot="1" x14ac:dyDescent="0.25">
      <c r="A3" s="114" t="s">
        <v>35</v>
      </c>
      <c r="B3" s="115" t="s">
        <v>42</v>
      </c>
      <c r="C3" s="115" t="s">
        <v>32</v>
      </c>
      <c r="D3" s="116" t="s">
        <v>61</v>
      </c>
      <c r="E3" s="116" t="s">
        <v>43</v>
      </c>
      <c r="F3" s="117" t="s">
        <v>44</v>
      </c>
    </row>
    <row r="4" spans="1:13" x14ac:dyDescent="0.2">
      <c r="A4" s="91">
        <v>43921</v>
      </c>
      <c r="B4" s="46"/>
      <c r="C4" s="46"/>
      <c r="D4" s="119"/>
      <c r="E4" s="46"/>
      <c r="F4" s="92"/>
    </row>
    <row r="5" spans="1:13" x14ac:dyDescent="0.2">
      <c r="A5" s="91">
        <v>44012</v>
      </c>
      <c r="B5" s="46"/>
      <c r="C5" s="46"/>
      <c r="D5" s="46"/>
      <c r="E5" s="46"/>
      <c r="F5" s="92"/>
    </row>
    <row r="6" spans="1:13" x14ac:dyDescent="0.2">
      <c r="A6" s="91">
        <v>44104</v>
      </c>
      <c r="B6" s="46"/>
      <c r="C6" s="46"/>
      <c r="D6" s="46"/>
      <c r="E6" s="46"/>
      <c r="F6" s="92"/>
    </row>
    <row r="7" spans="1:13" x14ac:dyDescent="0.2">
      <c r="A7" s="91">
        <v>44196</v>
      </c>
      <c r="B7" s="46">
        <v>0</v>
      </c>
      <c r="C7" s="46">
        <f>B7*0.02/4</f>
        <v>0</v>
      </c>
      <c r="D7" s="119">
        <v>2083</v>
      </c>
      <c r="E7" s="46"/>
      <c r="F7" s="92">
        <f>SUM(C7:E7)</f>
        <v>2083</v>
      </c>
      <c r="G7" s="59">
        <f>SUM(C7)</f>
        <v>0</v>
      </c>
      <c r="H7" s="59">
        <f>SUM(D7)</f>
        <v>2083</v>
      </c>
      <c r="I7">
        <v>0</v>
      </c>
      <c r="J7" s="59">
        <f>SUM(G7:I7)</f>
        <v>2083</v>
      </c>
      <c r="L7" s="59"/>
    </row>
    <row r="8" spans="1:13" x14ac:dyDescent="0.2">
      <c r="A8" s="93">
        <v>44286</v>
      </c>
      <c r="B8" s="126">
        <v>93750000</v>
      </c>
      <c r="C8" s="55">
        <f t="shared" ref="C8:C15" si="0">B8*(0.0206/4)</f>
        <v>482812.5</v>
      </c>
      <c r="D8" s="55">
        <f>(375000000-B8)*(0.002/4)</f>
        <v>140625</v>
      </c>
      <c r="E8" s="55"/>
      <c r="F8" s="94"/>
    </row>
    <row r="9" spans="1:13" x14ac:dyDescent="0.2">
      <c r="A9" s="93">
        <v>44377</v>
      </c>
      <c r="B9" s="55">
        <v>187500000</v>
      </c>
      <c r="C9" s="55">
        <f t="shared" si="0"/>
        <v>965625</v>
      </c>
      <c r="D9" s="55">
        <f>(375000000-B9)*(0.002/4)</f>
        <v>93750</v>
      </c>
      <c r="E9" s="55"/>
      <c r="F9" s="94"/>
    </row>
    <row r="10" spans="1:13" x14ac:dyDescent="0.2">
      <c r="A10" s="93">
        <v>44469</v>
      </c>
      <c r="B10" s="55">
        <v>281250000</v>
      </c>
      <c r="C10" s="55">
        <f t="shared" si="0"/>
        <v>1448437.5</v>
      </c>
      <c r="D10" s="55">
        <f>(375000000-B10)*(0.002/4)</f>
        <v>46875</v>
      </c>
      <c r="E10" s="55"/>
      <c r="F10" s="94"/>
    </row>
    <row r="11" spans="1:13" x14ac:dyDescent="0.2">
      <c r="A11" s="93">
        <v>44561</v>
      </c>
      <c r="B11" s="55">
        <v>375000000</v>
      </c>
      <c r="C11" s="55">
        <f t="shared" si="0"/>
        <v>1931250</v>
      </c>
      <c r="D11" s="55">
        <f>(375000000-B11)*(0.002/4)</f>
        <v>0</v>
      </c>
      <c r="E11" s="55"/>
      <c r="F11" s="94">
        <f>C8+C9+C10+C11+D8+D9+D10+D11</f>
        <v>5109375</v>
      </c>
      <c r="G11" s="59">
        <f>SUM(C8:C11)</f>
        <v>4828125</v>
      </c>
      <c r="H11" s="59">
        <f>SUM(D8:D11)</f>
        <v>281250</v>
      </c>
      <c r="I11">
        <v>0</v>
      </c>
      <c r="J11" s="59">
        <f>SUM(G11:I11)</f>
        <v>5109375</v>
      </c>
    </row>
    <row r="12" spans="1:13" x14ac:dyDescent="0.2">
      <c r="A12" s="95">
        <v>44651</v>
      </c>
      <c r="B12" s="53">
        <v>375000000</v>
      </c>
      <c r="C12" s="53">
        <f t="shared" si="0"/>
        <v>1931250</v>
      </c>
      <c r="D12" s="53"/>
      <c r="E12" s="53"/>
      <c r="F12" s="96"/>
    </row>
    <row r="13" spans="1:13" x14ac:dyDescent="0.2">
      <c r="A13" s="95">
        <v>44742</v>
      </c>
      <c r="B13" s="53">
        <v>375000000</v>
      </c>
      <c r="C13" s="53">
        <f t="shared" si="0"/>
        <v>1931250</v>
      </c>
      <c r="D13" s="53"/>
      <c r="E13" s="53"/>
      <c r="F13" s="96"/>
      <c r="L13" s="59">
        <f>SUM(B7:B11)</f>
        <v>937500000</v>
      </c>
      <c r="M13" s="59">
        <f>SUM(B8:B11)</f>
        <v>937500000</v>
      </c>
    </row>
    <row r="14" spans="1:13" x14ac:dyDescent="0.2">
      <c r="A14" s="95">
        <v>44834</v>
      </c>
      <c r="B14" s="53">
        <v>375000000</v>
      </c>
      <c r="C14" s="53">
        <f t="shared" si="0"/>
        <v>1931250</v>
      </c>
      <c r="D14" s="53"/>
      <c r="E14" s="53">
        <v>11718750</v>
      </c>
      <c r="F14" s="96"/>
    </row>
    <row r="15" spans="1:13" x14ac:dyDescent="0.2">
      <c r="A15" s="95">
        <v>44926</v>
      </c>
      <c r="B15" s="53">
        <f>B14-E14</f>
        <v>363281250</v>
      </c>
      <c r="C15" s="53">
        <f t="shared" si="0"/>
        <v>1870898.4375</v>
      </c>
      <c r="D15" s="53"/>
      <c r="E15" s="53">
        <v>11718750</v>
      </c>
      <c r="F15" s="96">
        <f>C12+C13+C14+C15+E15+E14</f>
        <v>31102148.4375</v>
      </c>
      <c r="G15" s="59">
        <f>SUM(C12:C15)</f>
        <v>7664648.4375</v>
      </c>
      <c r="H15" s="59">
        <v>0</v>
      </c>
      <c r="I15" s="59">
        <f>SUM(E12:E15)</f>
        <v>23437500</v>
      </c>
      <c r="J15" s="59">
        <f>SUM(G15:I15)</f>
        <v>31102148.4375</v>
      </c>
    </row>
    <row r="16" spans="1:13" x14ac:dyDescent="0.2">
      <c r="A16" s="97">
        <v>45016</v>
      </c>
      <c r="B16" s="85">
        <f>B15-11718750</f>
        <v>351562500</v>
      </c>
      <c r="C16" s="85">
        <f>B16*(0.025/4)</f>
        <v>2197265.625</v>
      </c>
      <c r="D16" s="85"/>
      <c r="E16" s="85">
        <v>11718750</v>
      </c>
      <c r="F16" s="98"/>
    </row>
    <row r="17" spans="1:10" x14ac:dyDescent="0.2">
      <c r="A17" s="97">
        <v>45107</v>
      </c>
      <c r="B17" s="85">
        <f>B16-11718750</f>
        <v>339843750</v>
      </c>
      <c r="C17" s="85">
        <f>B17*(0.025/4)</f>
        <v>2124023.4375</v>
      </c>
      <c r="D17" s="85"/>
      <c r="E17" s="85">
        <v>11718750</v>
      </c>
      <c r="F17" s="98"/>
    </row>
    <row r="18" spans="1:10" x14ac:dyDescent="0.2">
      <c r="A18" s="97">
        <v>45199</v>
      </c>
      <c r="B18" s="85">
        <f>B17-11718750</f>
        <v>328125000</v>
      </c>
      <c r="C18" s="85">
        <f>B18*(0.025/4)</f>
        <v>2050781.25</v>
      </c>
      <c r="D18" s="85"/>
      <c r="E18" s="85">
        <v>11718750</v>
      </c>
      <c r="F18" s="98"/>
    </row>
    <row r="19" spans="1:10" x14ac:dyDescent="0.2">
      <c r="A19" s="97">
        <v>45291</v>
      </c>
      <c r="B19" s="85">
        <f>B18-11718750</f>
        <v>316406250</v>
      </c>
      <c r="C19" s="85">
        <f>B19*(0.025/4)</f>
        <v>1977539.0625</v>
      </c>
      <c r="D19" s="85"/>
      <c r="E19" s="85">
        <v>11718750</v>
      </c>
      <c r="F19" s="98">
        <f>C16+C17+C18+C19+E19+E18+E17+E16</f>
        <v>55224609.375</v>
      </c>
      <c r="G19" s="59">
        <f>SUM(C16:C19)</f>
        <v>8349609.375</v>
      </c>
      <c r="H19" s="59">
        <v>0</v>
      </c>
      <c r="I19" s="59">
        <f>SUM(E16:E19)</f>
        <v>46875000</v>
      </c>
      <c r="J19" s="59">
        <f>SUM(G19:I19)</f>
        <v>55224609.375</v>
      </c>
    </row>
    <row r="20" spans="1:10" x14ac:dyDescent="0.2">
      <c r="A20" s="99">
        <v>45382</v>
      </c>
      <c r="B20" s="56">
        <f t="shared" ref="B20:B45" si="1">B19-11718750</f>
        <v>304687500</v>
      </c>
      <c r="C20" s="56">
        <f t="shared" ref="C20:C44" si="2">B20*(0.025/4)</f>
        <v>1904296.875</v>
      </c>
      <c r="D20" s="56"/>
      <c r="E20" s="56">
        <v>11718750</v>
      </c>
      <c r="F20" s="100"/>
    </row>
    <row r="21" spans="1:10" x14ac:dyDescent="0.2">
      <c r="A21" s="99">
        <v>45473</v>
      </c>
      <c r="B21" s="56">
        <f t="shared" si="1"/>
        <v>292968750</v>
      </c>
      <c r="C21" s="56">
        <f t="shared" si="2"/>
        <v>1831054.6875</v>
      </c>
      <c r="D21" s="56"/>
      <c r="E21" s="56">
        <v>11718750</v>
      </c>
      <c r="F21" s="100"/>
    </row>
    <row r="22" spans="1:10" x14ac:dyDescent="0.2">
      <c r="A22" s="99">
        <v>45565</v>
      </c>
      <c r="B22" s="56">
        <f t="shared" si="1"/>
        <v>281250000</v>
      </c>
      <c r="C22" s="56">
        <f t="shared" si="2"/>
        <v>1757812.5</v>
      </c>
      <c r="D22" s="56"/>
      <c r="E22" s="56">
        <v>11718750</v>
      </c>
      <c r="F22" s="100"/>
    </row>
    <row r="23" spans="1:10" x14ac:dyDescent="0.2">
      <c r="A23" s="99">
        <v>45657</v>
      </c>
      <c r="B23" s="56">
        <f t="shared" si="1"/>
        <v>269531250</v>
      </c>
      <c r="C23" s="56">
        <f t="shared" si="2"/>
        <v>1684570.3125</v>
      </c>
      <c r="D23" s="56"/>
      <c r="E23" s="56">
        <v>11718750</v>
      </c>
      <c r="F23" s="100">
        <f>C20+C21+C22+C23+E23+E22+E21+E20</f>
        <v>54052734.375</v>
      </c>
      <c r="G23" s="59">
        <f>SUM(C20:C23)</f>
        <v>7177734.375</v>
      </c>
      <c r="H23" s="59">
        <v>0</v>
      </c>
      <c r="I23" s="59">
        <f>SUM(E20:E23)</f>
        <v>46875000</v>
      </c>
      <c r="J23" s="59">
        <f>SUM(G23:I23)</f>
        <v>54052734.375</v>
      </c>
    </row>
    <row r="24" spans="1:10" x14ac:dyDescent="0.2">
      <c r="A24" s="101">
        <v>45747</v>
      </c>
      <c r="B24" s="44">
        <f t="shared" si="1"/>
        <v>257812500</v>
      </c>
      <c r="C24" s="44">
        <f t="shared" si="2"/>
        <v>1611328.125</v>
      </c>
      <c r="D24" s="44"/>
      <c r="E24" s="44">
        <v>11718750</v>
      </c>
      <c r="F24" s="102"/>
    </row>
    <row r="25" spans="1:10" x14ac:dyDescent="0.2">
      <c r="A25" s="101">
        <v>45838</v>
      </c>
      <c r="B25" s="44">
        <f t="shared" si="1"/>
        <v>246093750</v>
      </c>
      <c r="C25" s="44">
        <f t="shared" si="2"/>
        <v>1538085.9375</v>
      </c>
      <c r="D25" s="44"/>
      <c r="E25" s="44">
        <v>11718750</v>
      </c>
      <c r="F25" s="102"/>
    </row>
    <row r="26" spans="1:10" x14ac:dyDescent="0.2">
      <c r="A26" s="101">
        <v>45930</v>
      </c>
      <c r="B26" s="44">
        <f t="shared" si="1"/>
        <v>234375000</v>
      </c>
      <c r="C26" s="44">
        <f t="shared" si="2"/>
        <v>1464843.75</v>
      </c>
      <c r="D26" s="44"/>
      <c r="E26" s="44">
        <v>11718750</v>
      </c>
      <c r="F26" s="102"/>
    </row>
    <row r="27" spans="1:10" x14ac:dyDescent="0.2">
      <c r="A27" s="101">
        <v>46022</v>
      </c>
      <c r="B27" s="44">
        <f t="shared" si="1"/>
        <v>222656250</v>
      </c>
      <c r="C27" s="44">
        <f>B27*(0.025/4)</f>
        <v>1391601.5625</v>
      </c>
      <c r="D27" s="44"/>
      <c r="E27" s="44">
        <v>11718750</v>
      </c>
      <c r="F27" s="102">
        <f>C24+C25+C26+C27+E27+E26+E25+E24</f>
        <v>52880859.375</v>
      </c>
      <c r="G27" s="59">
        <f>SUM(C24:C27)</f>
        <v>6005859.375</v>
      </c>
      <c r="H27">
        <v>0</v>
      </c>
      <c r="I27" s="59">
        <f>SUM(E24:E27)</f>
        <v>46875000</v>
      </c>
      <c r="J27" s="59">
        <f>SUM(G27:I27)</f>
        <v>52880859.375</v>
      </c>
    </row>
    <row r="28" spans="1:10" x14ac:dyDescent="0.2">
      <c r="A28" s="103">
        <v>46112</v>
      </c>
      <c r="B28" s="67">
        <f t="shared" si="1"/>
        <v>210937500</v>
      </c>
      <c r="C28" s="67">
        <f t="shared" si="2"/>
        <v>1318359.375</v>
      </c>
      <c r="D28" s="67"/>
      <c r="E28" s="67">
        <v>11718750</v>
      </c>
      <c r="F28" s="104"/>
    </row>
    <row r="29" spans="1:10" x14ac:dyDescent="0.2">
      <c r="A29" s="103">
        <v>46203</v>
      </c>
      <c r="B29" s="67">
        <f t="shared" si="1"/>
        <v>199218750</v>
      </c>
      <c r="C29" s="67">
        <f t="shared" si="2"/>
        <v>1245117.1875</v>
      </c>
      <c r="D29" s="67"/>
      <c r="E29" s="67">
        <v>11718750</v>
      </c>
      <c r="F29" s="104"/>
    </row>
    <row r="30" spans="1:10" x14ac:dyDescent="0.2">
      <c r="A30" s="103">
        <v>46295</v>
      </c>
      <c r="B30" s="67">
        <f t="shared" si="1"/>
        <v>187500000</v>
      </c>
      <c r="C30" s="67">
        <f t="shared" si="2"/>
        <v>1171875</v>
      </c>
      <c r="D30" s="67"/>
      <c r="E30" s="67">
        <v>11718750</v>
      </c>
      <c r="F30" s="104"/>
    </row>
    <row r="31" spans="1:10" x14ac:dyDescent="0.2">
      <c r="A31" s="103">
        <v>46387</v>
      </c>
      <c r="B31" s="67">
        <f t="shared" si="1"/>
        <v>175781250</v>
      </c>
      <c r="C31" s="67">
        <f>B31*(0.025/4)</f>
        <v>1098632.8125</v>
      </c>
      <c r="D31" s="67"/>
      <c r="E31" s="67">
        <v>11718750</v>
      </c>
      <c r="F31" s="104">
        <f>C28+C29+C30+C31+E31+E30+E29+E28</f>
        <v>51708984.375</v>
      </c>
      <c r="G31" s="59">
        <f>SUM(C28:C31)</f>
        <v>4833984.375</v>
      </c>
      <c r="H31">
        <v>0</v>
      </c>
      <c r="I31" s="59">
        <f>SUM(E28:E31)</f>
        <v>46875000</v>
      </c>
      <c r="J31" s="59">
        <f>SUM(G31:I31)</f>
        <v>51708984.375</v>
      </c>
    </row>
    <row r="32" spans="1:10" x14ac:dyDescent="0.2">
      <c r="A32" s="105">
        <v>46477</v>
      </c>
      <c r="B32" s="66">
        <f t="shared" si="1"/>
        <v>164062500</v>
      </c>
      <c r="C32" s="66">
        <f t="shared" si="2"/>
        <v>1025390.625</v>
      </c>
      <c r="D32" s="66"/>
      <c r="E32" s="66">
        <v>11718750</v>
      </c>
      <c r="F32" s="106"/>
    </row>
    <row r="33" spans="1:10" ht="13.5" customHeight="1" x14ac:dyDescent="0.2">
      <c r="A33" s="105">
        <v>46568</v>
      </c>
      <c r="B33" s="66">
        <f t="shared" si="1"/>
        <v>152343750</v>
      </c>
      <c r="C33" s="66">
        <f t="shared" si="2"/>
        <v>952148.4375</v>
      </c>
      <c r="D33" s="66"/>
      <c r="E33" s="66">
        <v>11718750</v>
      </c>
      <c r="F33" s="106"/>
    </row>
    <row r="34" spans="1:10" x14ac:dyDescent="0.2">
      <c r="A34" s="105">
        <v>46660</v>
      </c>
      <c r="B34" s="66">
        <f t="shared" si="1"/>
        <v>140625000</v>
      </c>
      <c r="C34" s="66">
        <f t="shared" si="2"/>
        <v>878906.25</v>
      </c>
      <c r="D34" s="66"/>
      <c r="E34" s="66">
        <v>11718750</v>
      </c>
      <c r="F34" s="106"/>
    </row>
    <row r="35" spans="1:10" x14ac:dyDescent="0.2">
      <c r="A35" s="105">
        <v>46752</v>
      </c>
      <c r="B35" s="66">
        <f t="shared" si="1"/>
        <v>128906250</v>
      </c>
      <c r="C35" s="66">
        <f>B35*(0.025/4)</f>
        <v>805664.0625</v>
      </c>
      <c r="D35" s="66"/>
      <c r="E35" s="66">
        <v>11718750</v>
      </c>
      <c r="F35" s="106">
        <f>C32+C33+C34+C35+E35+E34+E33+E32</f>
        <v>50537109.375</v>
      </c>
      <c r="G35" s="59">
        <f>SUM(C32:C35)</f>
        <v>3662109.375</v>
      </c>
      <c r="H35">
        <v>0</v>
      </c>
      <c r="I35" s="59">
        <f>SUM(E32:E35)</f>
        <v>46875000</v>
      </c>
      <c r="J35" s="59">
        <f>SUM(G35:I35)</f>
        <v>50537109.375</v>
      </c>
    </row>
    <row r="36" spans="1:10" x14ac:dyDescent="0.2">
      <c r="A36" s="107">
        <v>46843</v>
      </c>
      <c r="B36" s="86">
        <f t="shared" si="1"/>
        <v>117187500</v>
      </c>
      <c r="C36" s="86">
        <f t="shared" si="2"/>
        <v>732421.875</v>
      </c>
      <c r="D36" s="86"/>
      <c r="E36" s="86">
        <v>11718750</v>
      </c>
      <c r="F36" s="108"/>
    </row>
    <row r="37" spans="1:10" x14ac:dyDescent="0.2">
      <c r="A37" s="120">
        <v>46934</v>
      </c>
      <c r="B37" s="86">
        <f t="shared" si="1"/>
        <v>105468750</v>
      </c>
      <c r="C37" s="86">
        <f t="shared" si="2"/>
        <v>659179.6875</v>
      </c>
      <c r="D37" s="121"/>
      <c r="E37" s="121">
        <v>11718750</v>
      </c>
      <c r="F37" s="122"/>
      <c r="H37" s="59"/>
    </row>
    <row r="38" spans="1:10" x14ac:dyDescent="0.2">
      <c r="A38" s="107">
        <v>47026</v>
      </c>
      <c r="B38" s="86">
        <f t="shared" si="1"/>
        <v>93750000</v>
      </c>
      <c r="C38" s="86">
        <f t="shared" si="2"/>
        <v>585937.5</v>
      </c>
      <c r="D38" s="86"/>
      <c r="E38" s="86">
        <v>11718750</v>
      </c>
      <c r="F38" s="108"/>
      <c r="H38" s="59"/>
    </row>
    <row r="39" spans="1:10" x14ac:dyDescent="0.2">
      <c r="A39" s="107">
        <v>47118</v>
      </c>
      <c r="B39" s="86">
        <f t="shared" si="1"/>
        <v>82031250</v>
      </c>
      <c r="C39" s="86">
        <f>B39*(0.025/4)</f>
        <v>512695.3125</v>
      </c>
      <c r="D39" s="86"/>
      <c r="E39" s="86">
        <v>11718750</v>
      </c>
      <c r="F39" s="108">
        <f>C36+C37+C38+C39+E36+E37+E38+E39</f>
        <v>49365234.375</v>
      </c>
      <c r="G39" s="59">
        <f>SUM(C36:C39)</f>
        <v>2490234.375</v>
      </c>
      <c r="H39" s="59">
        <f>SUM(D36:D39)</f>
        <v>0</v>
      </c>
      <c r="I39" s="59">
        <f>SUM(E36:E39)</f>
        <v>46875000</v>
      </c>
      <c r="J39" s="59">
        <f>SUM(G39:I39)</f>
        <v>49365234.375</v>
      </c>
    </row>
    <row r="40" spans="1:10" x14ac:dyDescent="0.2">
      <c r="A40" s="123">
        <v>47208</v>
      </c>
      <c r="B40" s="124">
        <f t="shared" si="1"/>
        <v>70312500</v>
      </c>
      <c r="C40" s="124">
        <f t="shared" si="2"/>
        <v>439453.125</v>
      </c>
      <c r="D40" s="124"/>
      <c r="E40" s="124">
        <v>11718750</v>
      </c>
      <c r="F40" s="125"/>
      <c r="H40" s="59"/>
    </row>
    <row r="41" spans="1:10" x14ac:dyDescent="0.2">
      <c r="A41" s="123">
        <v>47299</v>
      </c>
      <c r="B41" s="124">
        <f t="shared" si="1"/>
        <v>58593750</v>
      </c>
      <c r="C41" s="124">
        <f t="shared" si="2"/>
        <v>366210.9375</v>
      </c>
      <c r="D41" s="124"/>
      <c r="E41" s="124">
        <v>11718750</v>
      </c>
      <c r="F41" s="125"/>
      <c r="H41" s="59"/>
    </row>
    <row r="42" spans="1:10" x14ac:dyDescent="0.2">
      <c r="A42" s="123">
        <v>47391</v>
      </c>
      <c r="B42" s="124">
        <f t="shared" si="1"/>
        <v>46875000</v>
      </c>
      <c r="C42" s="124">
        <f>B42*(0.025/4)</f>
        <v>292968.75</v>
      </c>
      <c r="D42" s="124"/>
      <c r="E42" s="124">
        <v>11718750</v>
      </c>
      <c r="F42" s="125"/>
      <c r="H42" s="59"/>
    </row>
    <row r="43" spans="1:10" x14ac:dyDescent="0.2">
      <c r="A43" s="123">
        <v>47483</v>
      </c>
      <c r="B43" s="124">
        <f t="shared" si="1"/>
        <v>35156250</v>
      </c>
      <c r="C43" s="124">
        <f t="shared" si="2"/>
        <v>219726.5625</v>
      </c>
      <c r="D43" s="124"/>
      <c r="E43" s="124">
        <v>11718750</v>
      </c>
      <c r="F43" s="125">
        <f>C40+C41+C42+C43+E40+E41+E42+E43</f>
        <v>48193359.375</v>
      </c>
      <c r="G43" s="59">
        <f>SUM(C40:C43)</f>
        <v>1318359.375</v>
      </c>
      <c r="H43" s="59">
        <v>0</v>
      </c>
      <c r="I43" s="59">
        <f>SUM(E40:E43)</f>
        <v>46875000</v>
      </c>
      <c r="J43" s="59">
        <f>SUM(G43:I43)</f>
        <v>48193359.375</v>
      </c>
    </row>
    <row r="44" spans="1:10" x14ac:dyDescent="0.2">
      <c r="A44" s="91">
        <v>47573</v>
      </c>
      <c r="B44" s="46">
        <f t="shared" si="1"/>
        <v>23437500</v>
      </c>
      <c r="C44" s="46">
        <f t="shared" si="2"/>
        <v>146484.375</v>
      </c>
      <c r="D44" s="46"/>
      <c r="E44" s="46">
        <v>11718750</v>
      </c>
      <c r="F44" s="92"/>
      <c r="H44" s="59"/>
    </row>
    <row r="45" spans="1:10" x14ac:dyDescent="0.2">
      <c r="A45" s="91">
        <v>47664</v>
      </c>
      <c r="B45" s="46">
        <f t="shared" si="1"/>
        <v>11718750</v>
      </c>
      <c r="C45" s="46">
        <f>B45*(0.025/4)</f>
        <v>73242.1875</v>
      </c>
      <c r="D45" s="46"/>
      <c r="E45" s="46">
        <v>11718750</v>
      </c>
      <c r="F45" s="92">
        <f>C44+C45+E44+E45</f>
        <v>23657226.5625</v>
      </c>
      <c r="G45" s="59">
        <f>SUM(C44:C45)</f>
        <v>219726.5625</v>
      </c>
      <c r="H45" s="59">
        <v>0</v>
      </c>
      <c r="I45" s="59">
        <f>SUM(E44:E45)</f>
        <v>23437500</v>
      </c>
      <c r="J45" s="59">
        <f>SUM(G45:I45)</f>
        <v>23657226.5625</v>
      </c>
    </row>
    <row r="46" spans="1:10" x14ac:dyDescent="0.2">
      <c r="A46" s="64"/>
      <c r="B46" s="65"/>
      <c r="C46" s="65"/>
      <c r="D46" s="65"/>
      <c r="E46" s="59">
        <f>SUM(E4:E45)</f>
        <v>375000000</v>
      </c>
      <c r="F46" s="59">
        <f>SUM(F4:F45)</f>
        <v>421833723.625</v>
      </c>
      <c r="G46" s="59">
        <f>SUM(G7:G45)</f>
        <v>46550390.625</v>
      </c>
      <c r="H46" s="59">
        <f>SUM(H7:H45)</f>
        <v>283333</v>
      </c>
      <c r="I46" s="59">
        <f>SUM(I7:I45)</f>
        <v>375000000</v>
      </c>
      <c r="J46" s="59">
        <f>SUM(J7:J45)</f>
        <v>421833723.625</v>
      </c>
    </row>
    <row r="47" spans="1:10" x14ac:dyDescent="0.2">
      <c r="F47" s="59">
        <f>F46-E46</f>
        <v>46833723.625</v>
      </c>
    </row>
  </sheetData>
  <pageMargins left="0.70866141732283472" right="0.70866141732283472" top="0.74803149606299213" bottom="0.74803149606299213" header="0.31496062992125984" footer="0.31496062992125984"/>
  <pageSetup paperSize="9"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2</vt:i4>
      </vt:variant>
    </vt:vector>
  </HeadingPairs>
  <TitlesOfParts>
    <vt:vector size="6" baseType="lpstr">
      <vt:lpstr>10.mell.2020Zárszám</vt:lpstr>
      <vt:lpstr>114 Millió</vt:lpstr>
      <vt:lpstr>200 Millió</vt:lpstr>
      <vt:lpstr>375 Millió</vt:lpstr>
      <vt:lpstr>'10.mell.2020Zárszám'!Nyomtatási_terület</vt:lpstr>
      <vt:lpstr>'200 Millió'!Nyomtatási_terület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Salamon Irénke 2</cp:lastModifiedBy>
  <cp:lastPrinted>2021-05-17T12:53:11Z</cp:lastPrinted>
  <dcterms:created xsi:type="dcterms:W3CDTF">2000-02-04T18:27:36Z</dcterms:created>
  <dcterms:modified xsi:type="dcterms:W3CDTF">2021-05-21T10:13:51Z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1110444922</vt:i4>
  </property>
  <property fmtid="{D5CDD505-2E9C-101B-9397-08002B2CF9AE}" pid="3" name="_EmailSubject">
    <vt:lpwstr/>
  </property>
  <property fmtid="{D5CDD505-2E9C-101B-9397-08002B2CF9AE}" pid="4" name="_AuthorEmail">
    <vt:lpwstr>simonne@tamasi.hu</vt:lpwstr>
  </property>
  <property fmtid="{D5CDD505-2E9C-101B-9397-08002B2CF9AE}" pid="5" name="_AuthorEmailDisplayName">
    <vt:lpwstr>Simonné Horváth Andrea</vt:lpwstr>
  </property>
  <property fmtid="{D5CDD505-2E9C-101B-9397-08002B2CF9AE}" pid="6" name="_ReviewingToolsShownOnce">
    <vt:lpwstr/>
  </property>
</Properties>
</file>