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3929"/>
  <workbookPr defaultThemeVersion="124226"/>
  <mc:AlternateContent xmlns:mc="http://schemas.openxmlformats.org/markup-compatibility/2006">
    <mc:Choice Requires="x15">
      <x15ac:absPath xmlns:x15ac="http://schemas.microsoft.com/office/spreadsheetml/2010/11/ac" url="E:\ASZTAL\irén\képviselő-testületi anyagok\2021\Kiküldendő előterjesztések\05. 21\06. napirendi pont zárszámadás\loc-lexbe\"/>
    </mc:Choice>
  </mc:AlternateContent>
  <xr:revisionPtr revIDLastSave="0" documentId="8_{B32AB0C2-A9CE-473A-8855-67A3A74BC2D4}" xr6:coauthVersionLast="46" xr6:coauthVersionMax="46" xr10:uidLastSave="{00000000-0000-0000-0000-000000000000}"/>
  <bookViews>
    <workbookView xWindow="-120" yWindow="-120" windowWidth="25440" windowHeight="15540"/>
  </bookViews>
  <sheets>
    <sheet name="13mell2020Zársz" sheetId="9" r:id="rId1"/>
  </sheets>
  <definedNames>
    <definedName name="_xlnm.Print_Area" localSheetId="0">'13mell2020Zársz'!$A$1:$V$97</definedName>
  </definedNames>
  <calcPr calcId="181029"/>
</workbook>
</file>

<file path=xl/calcChain.xml><?xml version="1.0" encoding="utf-8"?>
<calcChain xmlns="http://schemas.openxmlformats.org/spreadsheetml/2006/main">
  <c r="C81" i="9" l="1"/>
  <c r="O82" i="9"/>
  <c r="O84" i="9"/>
  <c r="E96" i="9"/>
  <c r="F96" i="9"/>
  <c r="G96" i="9"/>
  <c r="P96" i="9"/>
  <c r="R96" i="9"/>
  <c r="S96" i="9"/>
  <c r="T96" i="9"/>
  <c r="U96" i="9"/>
  <c r="V96" i="9"/>
  <c r="M94" i="9"/>
  <c r="M93" i="9"/>
  <c r="N93" i="9" s="1"/>
  <c r="E94" i="9"/>
  <c r="H93" i="9"/>
  <c r="G95" i="9"/>
  <c r="C94" i="9"/>
  <c r="H94" i="9" s="1"/>
  <c r="C95" i="9"/>
  <c r="C96" i="9" s="1"/>
  <c r="J105" i="9"/>
  <c r="J109" i="9" s="1"/>
  <c r="J111" i="9" s="1"/>
  <c r="K105" i="9"/>
  <c r="K109" i="9"/>
  <c r="I105" i="9"/>
  <c r="I109" i="9"/>
  <c r="H105" i="9"/>
  <c r="E105" i="9"/>
  <c r="J104" i="9"/>
  <c r="H104" i="9"/>
  <c r="D104" i="9"/>
  <c r="J108" i="9"/>
  <c r="D108" i="9"/>
  <c r="J106" i="9"/>
  <c r="D106" i="9"/>
  <c r="J107" i="9"/>
  <c r="D107" i="9"/>
  <c r="C107" i="9" s="1"/>
  <c r="M108" i="9"/>
  <c r="F107" i="9"/>
  <c r="C72" i="9"/>
  <c r="C71" i="9"/>
  <c r="C70" i="9"/>
  <c r="C69" i="9"/>
  <c r="C67" i="9"/>
  <c r="N67" i="9" s="1"/>
  <c r="C65" i="9"/>
  <c r="F70" i="9"/>
  <c r="F71" i="9"/>
  <c r="F72" i="9"/>
  <c r="F69" i="9"/>
  <c r="F64" i="9"/>
  <c r="D73" i="9"/>
  <c r="K64" i="9"/>
  <c r="O64" i="9"/>
  <c r="P64" i="9"/>
  <c r="Q64" i="9"/>
  <c r="R64" i="9"/>
  <c r="R73" i="9" s="1"/>
  <c r="S64" i="9"/>
  <c r="T64" i="9"/>
  <c r="T73" i="9" s="1"/>
  <c r="U64" i="9"/>
  <c r="V64" i="9"/>
  <c r="J64" i="9"/>
  <c r="G64" i="9"/>
  <c r="E65" i="9"/>
  <c r="M67" i="9"/>
  <c r="M68" i="9"/>
  <c r="M69" i="9"/>
  <c r="M70" i="9"/>
  <c r="M71" i="9"/>
  <c r="M64" i="9" s="1"/>
  <c r="N64" i="9" s="1"/>
  <c r="M72" i="9"/>
  <c r="N72" i="9"/>
  <c r="M66" i="9"/>
  <c r="E60" i="9"/>
  <c r="G60" i="9"/>
  <c r="E67" i="9"/>
  <c r="E68" i="9"/>
  <c r="C68" i="9"/>
  <c r="N68" i="9" s="1"/>
  <c r="E66" i="9"/>
  <c r="C66" i="9"/>
  <c r="C64" i="9" s="1"/>
  <c r="L65" i="9"/>
  <c r="L64" i="9" s="1"/>
  <c r="I64" i="9"/>
  <c r="D89" i="9"/>
  <c r="R84" i="9"/>
  <c r="S84" i="9"/>
  <c r="T84" i="9"/>
  <c r="T89" i="9" s="1"/>
  <c r="T97" i="9" s="1"/>
  <c r="U84" i="9"/>
  <c r="U89" i="9" s="1"/>
  <c r="V84" i="9"/>
  <c r="V89" i="9" s="1"/>
  <c r="V97" i="9" s="1"/>
  <c r="G83" i="9"/>
  <c r="G82" i="9"/>
  <c r="M82" i="9" s="1"/>
  <c r="G81" i="9"/>
  <c r="M81" i="9"/>
  <c r="G78" i="9"/>
  <c r="M78" i="9" s="1"/>
  <c r="G77" i="9"/>
  <c r="G79" i="9" s="1"/>
  <c r="G89" i="9" s="1"/>
  <c r="K59" i="9"/>
  <c r="J59" i="9"/>
  <c r="O59" i="9"/>
  <c r="E45" i="9"/>
  <c r="F48" i="9"/>
  <c r="F47" i="9"/>
  <c r="E51" i="9"/>
  <c r="E50" i="9"/>
  <c r="F52" i="9"/>
  <c r="F53" i="9"/>
  <c r="F49" i="9" s="1"/>
  <c r="F58" i="9"/>
  <c r="F54" i="9"/>
  <c r="F57" i="9"/>
  <c r="E61" i="9"/>
  <c r="F63" i="9"/>
  <c r="G62" i="9"/>
  <c r="G59" i="9" s="1"/>
  <c r="S54" i="9"/>
  <c r="S49" i="9"/>
  <c r="S43" i="9"/>
  <c r="M47" i="9"/>
  <c r="K46" i="9"/>
  <c r="K45" i="9"/>
  <c r="K43" i="9" s="1"/>
  <c r="K44" i="9"/>
  <c r="D113" i="9" s="1"/>
  <c r="J43" i="9"/>
  <c r="Q43" i="9"/>
  <c r="I43" i="9"/>
  <c r="C47" i="9"/>
  <c r="G46" i="9"/>
  <c r="G44" i="9"/>
  <c r="E44" i="9" s="1"/>
  <c r="E43" i="9"/>
  <c r="V36" i="9"/>
  <c r="U41" i="9"/>
  <c r="U36" i="9" s="1"/>
  <c r="U73" i="9" s="1"/>
  <c r="G42" i="9"/>
  <c r="F42" i="9" s="1"/>
  <c r="G41" i="9"/>
  <c r="G40" i="9"/>
  <c r="G39" i="9"/>
  <c r="G38" i="9"/>
  <c r="G37" i="9"/>
  <c r="C37" i="9"/>
  <c r="H37" i="9" s="1"/>
  <c r="G34" i="9"/>
  <c r="G33" i="9"/>
  <c r="G32" i="9"/>
  <c r="E32" i="9"/>
  <c r="G31" i="9"/>
  <c r="M31" i="9"/>
  <c r="G30" i="9"/>
  <c r="E30" i="9"/>
  <c r="E29" i="9" s="1"/>
  <c r="S24" i="9"/>
  <c r="G28" i="9"/>
  <c r="F28" i="9"/>
  <c r="G27" i="9"/>
  <c r="C27" i="9"/>
  <c r="H27" i="9" s="1"/>
  <c r="G26" i="9"/>
  <c r="G25" i="9"/>
  <c r="G23" i="9"/>
  <c r="F23" i="9" s="1"/>
  <c r="G21" i="9"/>
  <c r="E21" i="9"/>
  <c r="L15" i="9"/>
  <c r="G18" i="9"/>
  <c r="C18" i="9" s="1"/>
  <c r="G17" i="9"/>
  <c r="G16" i="9"/>
  <c r="G15" i="9"/>
  <c r="E15" i="9"/>
  <c r="O95" i="9"/>
  <c r="O96" i="9" s="1"/>
  <c r="K95" i="9"/>
  <c r="K96" i="9" s="1"/>
  <c r="S36" i="9"/>
  <c r="K49" i="9"/>
  <c r="M51" i="9"/>
  <c r="M50" i="9"/>
  <c r="V14" i="9"/>
  <c r="U24" i="9"/>
  <c r="V29" i="9"/>
  <c r="M60" i="9"/>
  <c r="S59" i="9"/>
  <c r="C56" i="9"/>
  <c r="H56" i="9"/>
  <c r="C61" i="9"/>
  <c r="M53" i="9"/>
  <c r="M61" i="9"/>
  <c r="M63" i="9"/>
  <c r="C63" i="9"/>
  <c r="L62" i="9"/>
  <c r="L60" i="9"/>
  <c r="Q59" i="9"/>
  <c r="I59" i="9"/>
  <c r="Q95" i="9"/>
  <c r="Q96" i="9" s="1"/>
  <c r="Q54" i="9"/>
  <c r="Q49" i="9"/>
  <c r="M56" i="9"/>
  <c r="M57" i="9"/>
  <c r="N57" i="9" s="1"/>
  <c r="M58" i="9"/>
  <c r="M55" i="9"/>
  <c r="N55" i="9" s="1"/>
  <c r="L55" i="9"/>
  <c r="L56" i="9"/>
  <c r="L57" i="9"/>
  <c r="M52" i="9"/>
  <c r="N52" i="9"/>
  <c r="L51" i="9"/>
  <c r="L52" i="9"/>
  <c r="L50" i="9"/>
  <c r="L41" i="9"/>
  <c r="L48" i="9"/>
  <c r="M48" i="9"/>
  <c r="L42" i="9"/>
  <c r="G22" i="9"/>
  <c r="M22" i="9" s="1"/>
  <c r="G20" i="9"/>
  <c r="I95" i="9"/>
  <c r="I96" i="9" s="1"/>
  <c r="C87" i="9"/>
  <c r="C86" i="9"/>
  <c r="C88" i="9" s="1"/>
  <c r="I88" i="9"/>
  <c r="G88" i="9"/>
  <c r="C58" i="9"/>
  <c r="C57" i="9"/>
  <c r="H57" i="9"/>
  <c r="C55" i="9"/>
  <c r="C54" i="9"/>
  <c r="K54" i="9"/>
  <c r="J54" i="9"/>
  <c r="I54" i="9"/>
  <c r="G54" i="9"/>
  <c r="H54" i="9" s="1"/>
  <c r="E54" i="9"/>
  <c r="J49" i="9"/>
  <c r="I49" i="9"/>
  <c r="G49" i="9"/>
  <c r="L40" i="9"/>
  <c r="C51" i="9"/>
  <c r="H51" i="9"/>
  <c r="C52" i="9"/>
  <c r="C53" i="9"/>
  <c r="C50" i="9"/>
  <c r="H50" i="9"/>
  <c r="C45" i="9"/>
  <c r="C48" i="9"/>
  <c r="I84" i="9"/>
  <c r="I36" i="9"/>
  <c r="I29" i="9"/>
  <c r="I24" i="9"/>
  <c r="I19" i="9"/>
  <c r="I73" i="9" s="1"/>
  <c r="I14" i="9"/>
  <c r="G35" i="9"/>
  <c r="H88" i="9"/>
  <c r="J95" i="9"/>
  <c r="J96" i="9" s="1"/>
  <c r="E95" i="9"/>
  <c r="L94" i="9"/>
  <c r="M86" i="9"/>
  <c r="K84" i="9"/>
  <c r="J36" i="9"/>
  <c r="L36" i="9"/>
  <c r="K36" i="9"/>
  <c r="L38" i="9"/>
  <c r="K24" i="9"/>
  <c r="J24" i="9"/>
  <c r="L24" i="9" s="1"/>
  <c r="J84" i="9"/>
  <c r="L26" i="9"/>
  <c r="M87" i="9"/>
  <c r="N87" i="9"/>
  <c r="C39" i="9"/>
  <c r="L86" i="9"/>
  <c r="L88" i="9" s="1"/>
  <c r="L87" i="9"/>
  <c r="L39" i="9"/>
  <c r="L77" i="9"/>
  <c r="L79" i="9"/>
  <c r="I79" i="9"/>
  <c r="S88" i="9"/>
  <c r="K88" i="9"/>
  <c r="M76" i="9"/>
  <c r="L82" i="9"/>
  <c r="L84" i="9"/>
  <c r="S79" i="9"/>
  <c r="K79" i="9"/>
  <c r="K89" i="9" s="1"/>
  <c r="S29" i="9"/>
  <c r="S19" i="9"/>
  <c r="K19" i="9"/>
  <c r="S14" i="9"/>
  <c r="Q14" i="9"/>
  <c r="Q19" i="9"/>
  <c r="Q24" i="9"/>
  <c r="Q29" i="9"/>
  <c r="Q36" i="9"/>
  <c r="Q79" i="9"/>
  <c r="Q84" i="9"/>
  <c r="Q88" i="9"/>
  <c r="L17" i="9"/>
  <c r="L14" i="9" s="1"/>
  <c r="L73" i="9" s="1"/>
  <c r="R88" i="9"/>
  <c r="P88" i="9"/>
  <c r="O88" i="9"/>
  <c r="J88" i="9"/>
  <c r="F88" i="9"/>
  <c r="E88" i="9"/>
  <c r="P84" i="9"/>
  <c r="H84" i="9"/>
  <c r="R79" i="9"/>
  <c r="R89" i="9" s="1"/>
  <c r="R97" i="9" s="1"/>
  <c r="P79" i="9"/>
  <c r="P89" i="9"/>
  <c r="P97" i="9" s="1"/>
  <c r="O79" i="9"/>
  <c r="J79" i="9"/>
  <c r="J89" i="9" s="1"/>
  <c r="H79" i="9"/>
  <c r="F79" i="9"/>
  <c r="E79" i="9"/>
  <c r="C78" i="9"/>
  <c r="R36" i="9"/>
  <c r="P36" i="9"/>
  <c r="O36" i="9"/>
  <c r="R29" i="9"/>
  <c r="P29" i="9"/>
  <c r="O29" i="9"/>
  <c r="R24" i="9"/>
  <c r="P24" i="9"/>
  <c r="O24" i="9"/>
  <c r="R19" i="9"/>
  <c r="P19" i="9"/>
  <c r="O19" i="9"/>
  <c r="R14" i="9"/>
  <c r="P14" i="9"/>
  <c r="O14" i="9"/>
  <c r="J19" i="9"/>
  <c r="L37" i="9"/>
  <c r="J29" i="9"/>
  <c r="J14" i="9"/>
  <c r="L27" i="9"/>
  <c r="K29" i="9"/>
  <c r="L25" i="9"/>
  <c r="M17" i="9"/>
  <c r="M39" i="9"/>
  <c r="M21" i="9"/>
  <c r="L16" i="9"/>
  <c r="C35" i="9"/>
  <c r="K14" i="9"/>
  <c r="N94" i="9"/>
  <c r="M32" i="9"/>
  <c r="C32" i="9"/>
  <c r="H32" i="9"/>
  <c r="L44" i="9"/>
  <c r="E16" i="9"/>
  <c r="M30" i="9"/>
  <c r="E59" i="9"/>
  <c r="N39" i="9"/>
  <c r="F27" i="9"/>
  <c r="F24" i="9" s="1"/>
  <c r="C49" i="9"/>
  <c r="H49" i="9" s="1"/>
  <c r="N51" i="9"/>
  <c r="C21" i="9"/>
  <c r="H21" i="9"/>
  <c r="E49" i="9"/>
  <c r="M27" i="9"/>
  <c r="N27" i="9" s="1"/>
  <c r="H18" i="9"/>
  <c r="E81" i="9"/>
  <c r="C28" i="9"/>
  <c r="H52" i="9"/>
  <c r="F22" i="9"/>
  <c r="M46" i="9"/>
  <c r="M28" i="9"/>
  <c r="E38" i="9"/>
  <c r="M15" i="9"/>
  <c r="N15" i="9" s="1"/>
  <c r="F83" i="9"/>
  <c r="F84" i="9" s="1"/>
  <c r="F89" i="9" s="1"/>
  <c r="C42" i="9"/>
  <c r="H42" i="9"/>
  <c r="H55" i="9"/>
  <c r="E64" i="9"/>
  <c r="M65" i="9"/>
  <c r="H39" i="9"/>
  <c r="F33" i="9"/>
  <c r="G84" i="9"/>
  <c r="C60" i="9"/>
  <c r="H60" i="9" s="1"/>
  <c r="M23" i="9"/>
  <c r="M42" i="9"/>
  <c r="N42" i="9" s="1"/>
  <c r="M44" i="9"/>
  <c r="M43" i="9" s="1"/>
  <c r="M77" i="9"/>
  <c r="N77" i="9" s="1"/>
  <c r="M34" i="9"/>
  <c r="C15" i="9"/>
  <c r="M62" i="9"/>
  <c r="L95" i="9"/>
  <c r="C31" i="9"/>
  <c r="H31" i="9" s="1"/>
  <c r="E37" i="9"/>
  <c r="E36" i="9" s="1"/>
  <c r="M37" i="9"/>
  <c r="F39" i="9"/>
  <c r="C22" i="9"/>
  <c r="H22" i="9" s="1"/>
  <c r="M35" i="9"/>
  <c r="C30" i="9"/>
  <c r="H30" i="9"/>
  <c r="C44" i="9"/>
  <c r="M20" i="9"/>
  <c r="L45" i="9"/>
  <c r="L43" i="9" s="1"/>
  <c r="M45" i="9"/>
  <c r="N45" i="9" s="1"/>
  <c r="F62" i="9"/>
  <c r="F59" i="9" s="1"/>
  <c r="F40" i="9"/>
  <c r="F31" i="9"/>
  <c r="H15" i="9"/>
  <c r="H44" i="9"/>
  <c r="N65" i="9"/>
  <c r="H65" i="9"/>
  <c r="M79" i="9"/>
  <c r="N22" i="9"/>
  <c r="H95" i="9"/>
  <c r="S73" i="9"/>
  <c r="M49" i="9"/>
  <c r="N49" i="9" s="1"/>
  <c r="N35" i="9"/>
  <c r="N50" i="9"/>
  <c r="N32" i="9"/>
  <c r="N21" i="9"/>
  <c r="P73" i="9"/>
  <c r="Q73" i="9"/>
  <c r="V73" i="9"/>
  <c r="N47" i="9"/>
  <c r="L59" i="9"/>
  <c r="S89" i="9"/>
  <c r="S97" i="9" s="1"/>
  <c r="N71" i="9"/>
  <c r="N69" i="9"/>
  <c r="H64" i="9"/>
  <c r="H109" i="9"/>
  <c r="I111" i="9" s="1"/>
  <c r="K111" i="9" s="1"/>
  <c r="O73" i="9"/>
  <c r="L54" i="9"/>
  <c r="M54" i="9"/>
  <c r="N54" i="9" s="1"/>
  <c r="L49" i="9"/>
  <c r="F104" i="9"/>
  <c r="N56" i="9"/>
  <c r="C79" i="9"/>
  <c r="N78" i="9"/>
  <c r="Q89" i="9"/>
  <c r="Q97" i="9" s="1"/>
  <c r="L89" i="9"/>
  <c r="J73" i="9"/>
  <c r="N86" i="9"/>
  <c r="M88" i="9"/>
  <c r="N88" i="9" s="1"/>
  <c r="I89" i="9"/>
  <c r="I97" i="9" s="1"/>
  <c r="N48" i="9"/>
  <c r="N31" i="9"/>
  <c r="C106" i="9"/>
  <c r="F106" i="9"/>
  <c r="E109" i="9"/>
  <c r="K97" i="9" l="1"/>
  <c r="M59" i="9"/>
  <c r="T99" i="9"/>
  <c r="J97" i="9"/>
  <c r="K73" i="9"/>
  <c r="F35" i="9"/>
  <c r="H35" i="9"/>
  <c r="E20" i="9"/>
  <c r="E19" i="9" s="1"/>
  <c r="C16" i="9"/>
  <c r="G14" i="9"/>
  <c r="M26" i="9"/>
  <c r="N26" i="9" s="1"/>
  <c r="C26" i="9"/>
  <c r="H26" i="9" s="1"/>
  <c r="M38" i="9"/>
  <c r="G36" i="9"/>
  <c r="F41" i="9"/>
  <c r="F36" i="9" s="1"/>
  <c r="C41" i="9"/>
  <c r="H41" i="9" s="1"/>
  <c r="M41" i="9"/>
  <c r="N41" i="9" s="1"/>
  <c r="F46" i="9"/>
  <c r="F43" i="9" s="1"/>
  <c r="C46" i="9"/>
  <c r="C43" i="9" s="1"/>
  <c r="N43" i="9" s="1"/>
  <c r="E82" i="9"/>
  <c r="N79" i="9"/>
  <c r="M19" i="9"/>
  <c r="N66" i="9"/>
  <c r="N44" i="9"/>
  <c r="N37" i="9"/>
  <c r="M18" i="9"/>
  <c r="N18" i="9" s="1"/>
  <c r="E26" i="9"/>
  <c r="C23" i="9"/>
  <c r="H23" i="9" s="1"/>
  <c r="G24" i="9"/>
  <c r="F18" i="9"/>
  <c r="C62" i="9"/>
  <c r="G43" i="9"/>
  <c r="H43" i="9" s="1"/>
  <c r="G29" i="9"/>
  <c r="M95" i="9"/>
  <c r="F19" i="9"/>
  <c r="C38" i="9"/>
  <c r="C36" i="9" s="1"/>
  <c r="N81" i="9"/>
  <c r="C20" i="9"/>
  <c r="C19" i="9" s="1"/>
  <c r="M16" i="9"/>
  <c r="G19" i="9"/>
  <c r="H19" i="9" s="1"/>
  <c r="N30" i="9"/>
  <c r="H46" i="9"/>
  <c r="O89" i="9"/>
  <c r="O97" i="9" s="1"/>
  <c r="N60" i="9"/>
  <c r="E14" i="9"/>
  <c r="H16" i="9"/>
  <c r="F17" i="9"/>
  <c r="C17" i="9"/>
  <c r="E25" i="9"/>
  <c r="E24" i="9" s="1"/>
  <c r="M25" i="9"/>
  <c r="C25" i="9"/>
  <c r="C33" i="9"/>
  <c r="H33" i="9" s="1"/>
  <c r="M33" i="9"/>
  <c r="F34" i="9"/>
  <c r="C34" i="9" s="1"/>
  <c r="N34" i="9" s="1"/>
  <c r="M40" i="9"/>
  <c r="N40" i="9" s="1"/>
  <c r="C40" i="9"/>
  <c r="C83" i="9"/>
  <c r="M83" i="9"/>
  <c r="M84" i="9" s="1"/>
  <c r="U97" i="9"/>
  <c r="N70" i="9"/>
  <c r="C108" i="9"/>
  <c r="F108" i="9"/>
  <c r="C104" i="9"/>
  <c r="D105" i="9"/>
  <c r="M89" i="9" l="1"/>
  <c r="C105" i="9"/>
  <c r="F105" i="9"/>
  <c r="C109" i="9"/>
  <c r="N25" i="9"/>
  <c r="M24" i="9"/>
  <c r="H17" i="9"/>
  <c r="N17" i="9"/>
  <c r="N95" i="9"/>
  <c r="M96" i="9"/>
  <c r="C29" i="9"/>
  <c r="C82" i="9"/>
  <c r="E84" i="9"/>
  <c r="E89" i="9" s="1"/>
  <c r="M36" i="9"/>
  <c r="N36" i="9" s="1"/>
  <c r="N38" i="9"/>
  <c r="C14" i="9"/>
  <c r="H14" i="9" s="1"/>
  <c r="N46" i="9"/>
  <c r="N23" i="9"/>
  <c r="F29" i="9"/>
  <c r="N20" i="9"/>
  <c r="D109" i="9"/>
  <c r="F109" i="9" s="1"/>
  <c r="H34" i="9"/>
  <c r="N33" i="9"/>
  <c r="M29" i="9"/>
  <c r="N29" i="9" s="1"/>
  <c r="H25" i="9"/>
  <c r="C24" i="9"/>
  <c r="E73" i="9"/>
  <c r="F14" i="9"/>
  <c r="F73" i="9" s="1"/>
  <c r="F97" i="9" s="1"/>
  <c r="N16" i="9"/>
  <c r="M14" i="9"/>
  <c r="H29" i="9"/>
  <c r="H62" i="9"/>
  <c r="C59" i="9"/>
  <c r="H59" i="9" s="1"/>
  <c r="N62" i="9"/>
  <c r="G73" i="9"/>
  <c r="G97" i="9" s="1"/>
  <c r="H24" i="9"/>
  <c r="N19" i="9"/>
  <c r="H36" i="9"/>
  <c r="H20" i="9"/>
  <c r="C84" i="9" l="1"/>
  <c r="N82" i="9"/>
  <c r="N24" i="9"/>
  <c r="M73" i="9"/>
  <c r="H73" i="9"/>
  <c r="N14" i="9"/>
  <c r="C73" i="9"/>
  <c r="N59" i="9"/>
  <c r="E97" i="9"/>
  <c r="M97" i="9"/>
  <c r="N73" i="9" l="1"/>
  <c r="C89" i="9"/>
  <c r="C97" i="9" s="1"/>
  <c r="N84" i="9"/>
  <c r="N89" i="9" s="1"/>
</calcChain>
</file>

<file path=xl/sharedStrings.xml><?xml version="1.0" encoding="utf-8"?>
<sst xmlns="http://schemas.openxmlformats.org/spreadsheetml/2006/main" count="224" uniqueCount="146">
  <si>
    <t>ezer Ft-ban</t>
  </si>
  <si>
    <t>Sor- szám</t>
  </si>
  <si>
    <t>Feladat</t>
  </si>
  <si>
    <t>Összes</t>
  </si>
  <si>
    <t>kiadás</t>
  </si>
  <si>
    <t>előirányzat</t>
  </si>
  <si>
    <t>sajáterő</t>
  </si>
  <si>
    <t>pályázati</t>
  </si>
  <si>
    <t>összeg</t>
  </si>
  <si>
    <t>1.</t>
  </si>
  <si>
    <t>2.</t>
  </si>
  <si>
    <t>3.</t>
  </si>
  <si>
    <t>4.</t>
  </si>
  <si>
    <t>5.</t>
  </si>
  <si>
    <t>6.</t>
  </si>
  <si>
    <t>7.</t>
  </si>
  <si>
    <t>Beruházások</t>
  </si>
  <si>
    <t>kiadásból</t>
  </si>
  <si>
    <t>Kifizetés</t>
  </si>
  <si>
    <t>XII.31-ig</t>
  </si>
  <si>
    <t>9.</t>
  </si>
  <si>
    <t>11.</t>
  </si>
  <si>
    <t>I.</t>
  </si>
  <si>
    <t>Támogatás</t>
  </si>
  <si>
    <t>Készültségi</t>
  </si>
  <si>
    <t>fok %</t>
  </si>
  <si>
    <t>%</t>
  </si>
  <si>
    <t>intentitása</t>
  </si>
  <si>
    <t>úniós</t>
  </si>
  <si>
    <t>TAMÁSI VÁROS ÖNKORMÁNYZAT EURÓPAI UNIÓS TÁMOGATÁSSAL MEGVELÓSULÓ PROGRAMOK, PROJEKTEK BEVÉTELEI, KIADÁSAI</t>
  </si>
  <si>
    <t>8.</t>
  </si>
  <si>
    <t>12.</t>
  </si>
  <si>
    <t>Uniós támogatással megvalósuló programok önkormányzat összesen:</t>
  </si>
  <si>
    <t>Működési kiadás:</t>
  </si>
  <si>
    <t>Önkormányzat költségvetésében</t>
  </si>
  <si>
    <t>Beruházás:</t>
  </si>
  <si>
    <t>Összesen:</t>
  </si>
  <si>
    <t>önerő</t>
  </si>
  <si>
    <t>kiegészítés</t>
  </si>
  <si>
    <t>összege</t>
  </si>
  <si>
    <t>10.</t>
  </si>
  <si>
    <t>II.</t>
  </si>
  <si>
    <t>Működési programok</t>
  </si>
  <si>
    <t>kapott</t>
  </si>
  <si>
    <t>1)</t>
  </si>
  <si>
    <t>2)</t>
  </si>
  <si>
    <t>3)</t>
  </si>
  <si>
    <t>módosított</t>
  </si>
  <si>
    <t>4)</t>
  </si>
  <si>
    <t>5)</t>
  </si>
  <si>
    <t>Beruházások összesen:</t>
  </si>
  <si>
    <t>Működési programok összesen:</t>
  </si>
  <si>
    <t>13.</t>
  </si>
  <si>
    <r>
      <t xml:space="preserve">TOP-5.2.1-15-TL1-2016-00004 azonosító számú pályázat "Tamási - Buda városrész komplex rehabilitációja" </t>
    </r>
    <r>
      <rPr>
        <sz val="10"/>
        <rFont val="Times New Roman"/>
        <family val="1"/>
        <charset val="238"/>
      </rPr>
      <t>(066020 korm-i funkció)</t>
    </r>
  </si>
  <si>
    <r>
      <t xml:space="preserve">TOP-2.1.2-15-TL1-2016-00003 Zöld város kialakítása projekt </t>
    </r>
    <r>
      <rPr>
        <sz val="10"/>
        <rFont val="Times New Roman"/>
        <family val="1"/>
        <charset val="238"/>
      </rPr>
      <t>(066020 korm-i funkció)</t>
    </r>
  </si>
  <si>
    <r>
      <t xml:space="preserve">TOP-2.1.3-15-TL1-2016-00031 Tamási Termálfürdő és Miklósvár városrész csapadékvíz elvezetése projekt </t>
    </r>
    <r>
      <rPr>
        <sz val="10"/>
        <rFont val="Times New Roman"/>
        <family val="1"/>
        <charset val="238"/>
      </rPr>
      <t>(066020 korm-i funkció)</t>
    </r>
  </si>
  <si>
    <r>
      <t xml:space="preserve">TOP-1.2.1.-15-TL1-2016-00013 Tamási város fenntartható ökoturisztikai fejlesztése projekt </t>
    </r>
    <r>
      <rPr>
        <sz val="10"/>
        <rFont val="Times New Roman"/>
        <family val="1"/>
        <charset val="238"/>
      </rPr>
      <t>(013350 korm-i funkció)</t>
    </r>
  </si>
  <si>
    <t>6)</t>
  </si>
  <si>
    <t>7)</t>
  </si>
  <si>
    <t>TOP-3.2.2-15-TL1-2016-00003 Középületek fűtési energia igényének kielégítése biomassza alapú megújuló energiával (066020 korm-i funkció)</t>
  </si>
  <si>
    <t>ebből: - projekt elszámolható költsége (beruházás)</t>
  </si>
  <si>
    <t xml:space="preserve">           - projekt elszámolható költsége (működési kiadás/FAD)</t>
  </si>
  <si>
    <r>
      <t xml:space="preserve">TOP-5.1.2-15-TL1-2016-00002 azonosító számú pályázat "Foglalkoztatási paktum létrehozása Tamási és Dombóvár városok környezetében" </t>
    </r>
    <r>
      <rPr>
        <sz val="10"/>
        <rFont val="Times New Roman"/>
        <family val="1"/>
        <charset val="238"/>
      </rPr>
      <t>(066020 korm-i funkció)</t>
    </r>
  </si>
  <si>
    <t>8)</t>
  </si>
  <si>
    <t>TOP-2.1.1-15-TL1-2016-00003 azonosító számú pályázat "Sportok Háza kialakítása Tamásiban" (013350 korm-i funkció)</t>
  </si>
  <si>
    <t>14.</t>
  </si>
  <si>
    <t>ÁFA</t>
  </si>
  <si>
    <t xml:space="preserve">          - projekt elszámolható költsége (működési kiadások)</t>
  </si>
  <si>
    <t xml:space="preserve">            - sajár erőből a támogatott projekt keretében nem elszámolható (beruházás)</t>
  </si>
  <si>
    <t xml:space="preserve">           - projekt elszámolható költsége (működési kiadás)</t>
  </si>
  <si>
    <t xml:space="preserve">            - sajár erőből a támogatott projekt keretében nem elszámolható (működési)</t>
  </si>
  <si>
    <t>ebből: - projekt elszámolható költsége (beruházás) - TÁMOGATÁS</t>
  </si>
  <si>
    <t xml:space="preserve">            - projekt elszámolható költsége (beruházás) - SAJÁT ERŐ-elszámolható</t>
  </si>
  <si>
    <t>Működési kiadás: nem elszámolható</t>
  </si>
  <si>
    <t>013350</t>
  </si>
  <si>
    <t>066020</t>
  </si>
  <si>
    <t>045120</t>
  </si>
  <si>
    <t>eredeti</t>
  </si>
  <si>
    <t>teljesítés</t>
  </si>
  <si>
    <t>Teljesítés</t>
  </si>
  <si>
    <t>%-a</t>
  </si>
  <si>
    <t xml:space="preserve">Összes </t>
  </si>
  <si>
    <t xml:space="preserve">teljesítés </t>
  </si>
  <si>
    <t>Készültségi fok</t>
  </si>
  <si>
    <t>tény</t>
  </si>
  <si>
    <t>terv</t>
  </si>
  <si>
    <t>15.</t>
  </si>
  <si>
    <t>16.</t>
  </si>
  <si>
    <t>17.</t>
  </si>
  <si>
    <t>18.</t>
  </si>
  <si>
    <t>19.</t>
  </si>
  <si>
    <t>20.</t>
  </si>
  <si>
    <t>21.</t>
  </si>
  <si>
    <t>22.</t>
  </si>
  <si>
    <t>13. számú melléklet</t>
  </si>
  <si>
    <t xml:space="preserve">          - projekt elszámolható költsége ( működési kiadás)</t>
  </si>
  <si>
    <t xml:space="preserve">          - projekt elszámolható költsége (működési kiadások)- Támogatás</t>
  </si>
  <si>
    <t xml:space="preserve">          - projekt elszámolható költsége (működési kiadások) - Saját erő- elszámolható</t>
  </si>
  <si>
    <t xml:space="preserve">            - sajár erőből a támogatott projekt keretében nem elszámolható (visszaig.ÁFA) - beruházás</t>
  </si>
  <si>
    <t xml:space="preserve">            - sajár erőből a támogatott projekt keretében nem elszámolható (visszaig.ÁFA) - működési</t>
  </si>
  <si>
    <t>Intézmények költségvetésében:</t>
  </si>
  <si>
    <t>Tamási Kulturális Központ:</t>
  </si>
  <si>
    <t>Intézmény összesen:</t>
  </si>
  <si>
    <r>
      <t xml:space="preserve">EFOP-3.3.2-16-2016-00179 azonosító számú pályázat "Városi Művelődési Központ Tamási a köznevelés eredményességéért" </t>
    </r>
    <r>
      <rPr>
        <sz val="10"/>
        <rFont val="Times New Roman"/>
        <family val="1"/>
        <charset val="238"/>
      </rPr>
      <t>(082093 korm-i funkció)</t>
    </r>
  </si>
  <si>
    <t>TOP-4.3.1-15-TL1-2016-00001 "Tamási "Budai városrész" rehabilitációja" (066020 korm-i funkció)</t>
  </si>
  <si>
    <t xml:space="preserve">            - saját erőből a támogatott projekt keretében nem elszámolható (beruházás)</t>
  </si>
  <si>
    <t xml:space="preserve">            - saját erőből a támogatott projekt keretében nem elszámolható (működési)</t>
  </si>
  <si>
    <t>TOP-1.4.1-19-TL1-2019-00002pályázat Bölcsőde építése hozzáépítéssel- meglévő városi óvoda-bölcsőde épület bővítése (104031 korm-i funkció)</t>
  </si>
  <si>
    <t>TOP-2.1.1-15-TL1-2018-00006 Zöld Pont és Civilház kialakítása Tamásiban (013350 korm-i funkció)</t>
  </si>
  <si>
    <t>2019.12.31-én</t>
  </si>
  <si>
    <t>KEHOP-1.2.1-18-2018-00203 - Helyi klímastratégiák kidolgozása, klímatudatosságot erősítő szemléletformálás (066020 korm.-i funkció)</t>
  </si>
  <si>
    <t>VP6-7.2.1-7.4.1.2.16 Külterületi helyi közutak fejlesztése (045120 korm.-i funkció)</t>
  </si>
  <si>
    <t>visszaigényelt</t>
  </si>
  <si>
    <t>ÖNK</t>
  </si>
  <si>
    <t>KÖT</t>
  </si>
  <si>
    <t>2019.</t>
  </si>
  <si>
    <t>2020. évi</t>
  </si>
  <si>
    <t xml:space="preserve">2020. évi </t>
  </si>
  <si>
    <t>2020.12.31.-ig</t>
  </si>
  <si>
    <t>2020.12.31-én</t>
  </si>
  <si>
    <t>2019.XII.31-ig</t>
  </si>
  <si>
    <t>2020.évi</t>
  </si>
  <si>
    <t xml:space="preserve">2020. évben </t>
  </si>
  <si>
    <t>2019.12.31-ig</t>
  </si>
  <si>
    <t xml:space="preserve">            - saját erőből a támogatott projekt keretében nem elszámolható (felújítás)</t>
  </si>
  <si>
    <t>9)</t>
  </si>
  <si>
    <t>10)</t>
  </si>
  <si>
    <r>
      <t xml:space="preserve">KEHOP-2.1.3-15-2016-00033 Tamási ivóvízminőség-javító program </t>
    </r>
    <r>
      <rPr>
        <sz val="10"/>
        <rFont val="Times New Roman"/>
        <family val="1"/>
        <charset val="238"/>
      </rPr>
      <t>(063020 korm-i funkció) KÖT</t>
    </r>
  </si>
  <si>
    <t>ebből: - projekt elszámolható költsége (beruházás) Támogatás</t>
  </si>
  <si>
    <t xml:space="preserve">           - projekt elszámolható költsége (beruházás)Önerő</t>
  </si>
  <si>
    <t xml:space="preserve">           - projekt nem elszámolható költsége (működési kiadás)Támogatás</t>
  </si>
  <si>
    <t xml:space="preserve">           - projekt nem elszámolható költsége (működési kiadás) Önerő</t>
  </si>
  <si>
    <t xml:space="preserve">            - saját erőből a támogatott projekt keretében nem elszámolható (beruházás ÁFA)</t>
  </si>
  <si>
    <t xml:space="preserve">            - saját erőből a támogatott projekt keretében nem elszámolható (működési kiadás)</t>
  </si>
  <si>
    <t xml:space="preserve">            - saját erőből a támogatott projekt keretében nem elszámolható (működési kiadás ÁFA)</t>
  </si>
  <si>
    <t>Bevétel</t>
  </si>
  <si>
    <t>Működési</t>
  </si>
  <si>
    <t>Felhalmozási</t>
  </si>
  <si>
    <t>Összesen</t>
  </si>
  <si>
    <t>ÖSSZ</t>
  </si>
  <si>
    <t>104031</t>
  </si>
  <si>
    <t>Felújítás</t>
  </si>
  <si>
    <t>(KÖT)</t>
  </si>
  <si>
    <t>063020</t>
  </si>
  <si>
    <t>Nem elsz.-ó</t>
  </si>
  <si>
    <t>EU-s beruházás (elszámolható)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</si>
</sst>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6" formatCode="#,###"/>
    <numFmt numFmtId="167" formatCode="#,##0.0"/>
    <numFmt numFmtId="174" formatCode="0.000000%"/>
  </numFmts>
  <fonts count="7" x14ac:knownFonts="1">
    <font>
      <sz val="10"/>
      <name val="Arial"/>
      <charset val="238"/>
    </font>
    <font>
      <sz val="10"/>
      <name val="Arial"/>
      <charset val="238"/>
    </font>
    <font>
      <sz val="8"/>
      <name val="Arial"/>
      <family val="2"/>
      <charset val="238"/>
    </font>
    <font>
      <sz val="10"/>
      <name val="Times New Roman CE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u/>
      <sz val="10"/>
      <name val="Times New Roman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39997558519241921"/>
        <bgColor indexed="64"/>
      </patternFill>
    </fill>
  </fills>
  <borders count="8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medium">
        <color indexed="64"/>
      </left>
      <right style="thin">
        <color indexed="64"/>
      </right>
      <top/>
      <bottom style="dashed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DashDotDot">
        <color indexed="64"/>
      </bottom>
      <diagonal/>
    </border>
    <border>
      <left style="thin">
        <color indexed="64"/>
      </left>
      <right style="thin">
        <color indexed="64"/>
      </right>
      <top/>
      <bottom style="mediumDashDotDot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mediumDashDotDot">
        <color indexed="64"/>
      </bottom>
      <diagonal/>
    </border>
    <border>
      <left style="medium">
        <color indexed="64"/>
      </left>
      <right style="thin">
        <color indexed="64"/>
      </right>
      <top/>
      <bottom style="mediumDashDot">
        <color indexed="64"/>
      </bottom>
      <diagonal/>
    </border>
    <border>
      <left style="thin">
        <color indexed="64"/>
      </left>
      <right style="thin">
        <color indexed="64"/>
      </right>
      <top/>
      <bottom style="mediumDashDot">
        <color indexed="64"/>
      </bottom>
      <diagonal/>
    </border>
    <border>
      <left/>
      <right/>
      <top/>
      <bottom style="mediumDashDot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dashed">
        <color indexed="64"/>
      </bottom>
      <diagonal/>
    </border>
    <border>
      <left style="thin">
        <color indexed="64"/>
      </left>
      <right/>
      <top/>
      <bottom style="mediumDashDotDot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DashDotDot">
        <color indexed="64"/>
      </top>
      <bottom/>
      <diagonal/>
    </border>
    <border>
      <left style="thin">
        <color indexed="64"/>
      </left>
      <right/>
      <top style="mediumDashDotDot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/>
      <bottom style="mediumDashDotDot">
        <color indexed="64"/>
      </bottom>
      <diagonal/>
    </border>
    <border>
      <left style="thin">
        <color indexed="64"/>
      </left>
      <right style="medium">
        <color indexed="64"/>
      </right>
      <top style="mediumDashDotDot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DashDot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mediumDashDot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DashDotDot">
        <color indexed="64"/>
      </top>
      <bottom/>
      <diagonal/>
    </border>
    <border>
      <left/>
      <right style="thin">
        <color indexed="64"/>
      </right>
      <top/>
      <bottom style="mediumDashDot">
        <color indexed="64"/>
      </bottom>
      <diagonal/>
    </border>
    <border>
      <left style="thin">
        <color indexed="64"/>
      </left>
      <right/>
      <top/>
      <bottom style="mediumDashDot">
        <color indexed="64"/>
      </bottom>
      <diagonal/>
    </border>
    <border>
      <left style="thin">
        <color indexed="64"/>
      </left>
      <right style="medium">
        <color indexed="64"/>
      </right>
      <top/>
      <bottom style="mediumDashDot">
        <color indexed="64"/>
      </bottom>
      <diagonal/>
    </border>
    <border>
      <left style="thin">
        <color indexed="64"/>
      </left>
      <right style="thin">
        <color indexed="64"/>
      </right>
      <top style="mediumDashDot">
        <color indexed="64"/>
      </top>
      <bottom/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mediumDashDot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9" fontId="1" fillId="0" borderId="0" applyFont="0" applyFill="0" applyBorder="0" applyAlignment="0" applyProtection="0"/>
  </cellStyleXfs>
  <cellXfs count="289">
    <xf numFmtId="0" fontId="0" fillId="0" borderId="0" xfId="0"/>
    <xf numFmtId="0" fontId="4" fillId="0" borderId="0" xfId="0" applyFont="1" applyFill="1"/>
    <xf numFmtId="3" fontId="4" fillId="0" borderId="0" xfId="0" applyNumberFormat="1" applyFont="1" applyFill="1"/>
    <xf numFmtId="3" fontId="4" fillId="0" borderId="0" xfId="0" applyNumberFormat="1" applyFont="1" applyFill="1" applyBorder="1"/>
    <xf numFmtId="0" fontId="4" fillId="0" borderId="0" xfId="0" applyFont="1" applyFill="1" applyAlignment="1">
      <alignment horizontal="center"/>
    </xf>
    <xf numFmtId="3" fontId="4" fillId="0" borderId="1" xfId="0" applyNumberFormat="1" applyFont="1" applyFill="1" applyBorder="1"/>
    <xf numFmtId="0" fontId="6" fillId="0" borderId="0" xfId="0" applyFont="1" applyFill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/>
    <xf numFmtId="0" fontId="4" fillId="0" borderId="2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0" borderId="4" xfId="0" applyFont="1" applyFill="1" applyBorder="1"/>
    <xf numFmtId="0" fontId="4" fillId="0" borderId="6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3" fontId="4" fillId="0" borderId="1" xfId="0" applyNumberFormat="1" applyFont="1" applyFill="1" applyBorder="1" applyAlignment="1">
      <alignment horizontal="center"/>
    </xf>
    <xf numFmtId="167" fontId="4" fillId="0" borderId="1" xfId="0" applyNumberFormat="1" applyFont="1" applyFill="1" applyBorder="1" applyAlignment="1">
      <alignment horizontal="center"/>
    </xf>
    <xf numFmtId="3" fontId="5" fillId="0" borderId="8" xfId="0" applyNumberFormat="1" applyFont="1" applyFill="1" applyBorder="1"/>
    <xf numFmtId="3" fontId="5" fillId="0" borderId="9" xfId="0" applyNumberFormat="1" applyFont="1" applyFill="1" applyBorder="1"/>
    <xf numFmtId="166" fontId="4" fillId="0" borderId="10" xfId="1" applyNumberFormat="1" applyFont="1" applyFill="1" applyBorder="1" applyAlignment="1" applyProtection="1">
      <alignment horizontal="left" vertical="center" wrapText="1"/>
      <protection locked="0"/>
    </xf>
    <xf numFmtId="3" fontId="4" fillId="0" borderId="7" xfId="0" applyNumberFormat="1" applyFont="1" applyFill="1" applyBorder="1" applyAlignment="1">
      <alignment horizontal="right"/>
    </xf>
    <xf numFmtId="3" fontId="4" fillId="0" borderId="11" xfId="0" applyNumberFormat="1" applyFont="1" applyFill="1" applyBorder="1" applyAlignment="1">
      <alignment horizontal="right"/>
    </xf>
    <xf numFmtId="3" fontId="5" fillId="0" borderId="12" xfId="0" applyNumberFormat="1" applyFont="1" applyFill="1" applyBorder="1" applyAlignment="1">
      <alignment horizontal="center"/>
    </xf>
    <xf numFmtId="167" fontId="5" fillId="0" borderId="12" xfId="0" applyNumberFormat="1" applyFont="1" applyFill="1" applyBorder="1" applyAlignment="1">
      <alignment horizontal="center"/>
    </xf>
    <xf numFmtId="3" fontId="5" fillId="0" borderId="8" xfId="0" applyNumberFormat="1" applyFont="1" applyFill="1" applyBorder="1" applyAlignment="1">
      <alignment horizontal="center"/>
    </xf>
    <xf numFmtId="167" fontId="5" fillId="0" borderId="8" xfId="0" applyNumberFormat="1" applyFont="1" applyFill="1" applyBorder="1" applyAlignment="1">
      <alignment horizontal="center"/>
    </xf>
    <xf numFmtId="3" fontId="5" fillId="0" borderId="9" xfId="0" applyNumberFormat="1" applyFont="1" applyFill="1" applyBorder="1" applyAlignment="1">
      <alignment horizontal="center"/>
    </xf>
    <xf numFmtId="3" fontId="5" fillId="0" borderId="13" xfId="0" applyNumberFormat="1" applyFont="1" applyFill="1" applyBorder="1" applyAlignment="1">
      <alignment horizontal="left"/>
    </xf>
    <xf numFmtId="166" fontId="5" fillId="0" borderId="14" xfId="1" applyNumberFormat="1" applyFont="1" applyFill="1" applyBorder="1" applyAlignment="1" applyProtection="1">
      <alignment horizontal="left" vertical="center" wrapText="1"/>
    </xf>
    <xf numFmtId="3" fontId="4" fillId="0" borderId="15" xfId="0" applyNumberFormat="1" applyFont="1" applyFill="1" applyBorder="1" applyAlignment="1">
      <alignment horizontal="right"/>
    </xf>
    <xf numFmtId="3" fontId="5" fillId="0" borderId="12" xfId="0" applyNumberFormat="1" applyFont="1" applyFill="1" applyBorder="1"/>
    <xf numFmtId="166" fontId="4" fillId="0" borderId="16" xfId="1" applyNumberFormat="1" applyFont="1" applyFill="1" applyBorder="1" applyAlignment="1" applyProtection="1">
      <alignment horizontal="left" vertical="center" wrapText="1"/>
      <protection locked="0"/>
    </xf>
    <xf numFmtId="167" fontId="5" fillId="0" borderId="9" xfId="0" applyNumberFormat="1" applyFont="1" applyFill="1" applyBorder="1" applyAlignment="1">
      <alignment horizontal="center"/>
    </xf>
    <xf numFmtId="0" fontId="5" fillId="0" borderId="13" xfId="0" applyFont="1" applyFill="1" applyBorder="1"/>
    <xf numFmtId="3" fontId="5" fillId="0" borderId="14" xfId="0" applyNumberFormat="1" applyFont="1" applyFill="1" applyBorder="1" applyAlignment="1">
      <alignment wrapText="1"/>
    </xf>
    <xf numFmtId="3" fontId="5" fillId="0" borderId="17" xfId="0" applyNumberFormat="1" applyFont="1" applyFill="1" applyBorder="1" applyAlignment="1">
      <alignment horizontal="left"/>
    </xf>
    <xf numFmtId="3" fontId="6" fillId="0" borderId="18" xfId="0" applyNumberFormat="1" applyFont="1" applyFill="1" applyBorder="1" applyAlignment="1"/>
    <xf numFmtId="3" fontId="6" fillId="0" borderId="18" xfId="0" applyNumberFormat="1" applyFont="1" applyFill="1" applyBorder="1" applyAlignment="1">
      <alignment horizontal="center"/>
    </xf>
    <xf numFmtId="166" fontId="4" fillId="0" borderId="19" xfId="1" applyNumberFormat="1" applyFont="1" applyFill="1" applyBorder="1" applyAlignment="1" applyProtection="1">
      <alignment horizontal="left" vertical="center" wrapText="1"/>
    </xf>
    <xf numFmtId="166" fontId="4" fillId="0" borderId="4" xfId="1" applyNumberFormat="1" applyFont="1" applyFill="1" applyBorder="1" applyAlignment="1" applyProtection="1">
      <alignment horizontal="left" vertical="center" wrapText="1"/>
    </xf>
    <xf numFmtId="3" fontId="4" fillId="0" borderId="20" xfId="0" applyNumberFormat="1" applyFont="1" applyFill="1" applyBorder="1" applyAlignment="1">
      <alignment horizontal="right"/>
    </xf>
    <xf numFmtId="3" fontId="4" fillId="0" borderId="19" xfId="0" applyNumberFormat="1" applyFont="1" applyFill="1" applyBorder="1" applyAlignment="1"/>
    <xf numFmtId="3" fontId="4" fillId="0" borderId="19" xfId="0" applyNumberFormat="1" applyFont="1" applyFill="1" applyBorder="1" applyAlignment="1">
      <alignment horizontal="center"/>
    </xf>
    <xf numFmtId="3" fontId="4" fillId="0" borderId="21" xfId="0" applyNumberFormat="1" applyFont="1" applyFill="1" applyBorder="1" applyAlignment="1">
      <alignment horizontal="right"/>
    </xf>
    <xf numFmtId="3" fontId="4" fillId="0" borderId="4" xfId="0" applyNumberFormat="1" applyFont="1" applyFill="1" applyBorder="1" applyAlignment="1"/>
    <xf numFmtId="3" fontId="4" fillId="0" borderId="4" xfId="0" applyNumberFormat="1" applyFont="1" applyFill="1" applyBorder="1" applyAlignment="1">
      <alignment horizontal="center"/>
    </xf>
    <xf numFmtId="167" fontId="4" fillId="0" borderId="4" xfId="0" applyNumberFormat="1" applyFont="1" applyFill="1" applyBorder="1" applyAlignment="1">
      <alignment horizontal="center"/>
    </xf>
    <xf numFmtId="3" fontId="5" fillId="0" borderId="0" xfId="0" applyNumberFormat="1" applyFont="1" applyFill="1" applyBorder="1"/>
    <xf numFmtId="0" fontId="5" fillId="0" borderId="0" xfId="0" applyFont="1" applyFill="1"/>
    <xf numFmtId="3" fontId="4" fillId="0" borderId="12" xfId="0" applyNumberFormat="1" applyFont="1" applyFill="1" applyBorder="1"/>
    <xf numFmtId="3" fontId="4" fillId="0" borderId="12" xfId="0" applyNumberFormat="1" applyFont="1" applyFill="1" applyBorder="1" applyAlignment="1">
      <alignment horizontal="center"/>
    </xf>
    <xf numFmtId="167" fontId="4" fillId="0" borderId="12" xfId="0" applyNumberFormat="1" applyFont="1" applyFill="1" applyBorder="1" applyAlignment="1">
      <alignment horizontal="center"/>
    </xf>
    <xf numFmtId="3" fontId="5" fillId="0" borderId="21" xfId="0" applyNumberFormat="1" applyFont="1" applyFill="1" applyBorder="1" applyAlignment="1">
      <alignment horizontal="right"/>
    </xf>
    <xf numFmtId="166" fontId="5" fillId="0" borderId="22" xfId="1" applyNumberFormat="1" applyFont="1" applyFill="1" applyBorder="1" applyAlignment="1" applyProtection="1">
      <alignment horizontal="left" vertical="center" wrapText="1"/>
      <protection locked="0"/>
    </xf>
    <xf numFmtId="3" fontId="5" fillId="0" borderId="4" xfId="0" applyNumberFormat="1" applyFont="1" applyFill="1" applyBorder="1"/>
    <xf numFmtId="3" fontId="5" fillId="0" borderId="4" xfId="0" applyNumberFormat="1" applyFont="1" applyFill="1" applyBorder="1" applyAlignment="1">
      <alignment horizontal="center"/>
    </xf>
    <xf numFmtId="167" fontId="5" fillId="0" borderId="4" xfId="0" applyNumberFormat="1" applyFont="1" applyFill="1" applyBorder="1" applyAlignment="1">
      <alignment horizontal="center"/>
    </xf>
    <xf numFmtId="0" fontId="5" fillId="0" borderId="0" xfId="0" applyFont="1" applyFill="1" applyBorder="1"/>
    <xf numFmtId="3" fontId="5" fillId="0" borderId="4" xfId="0" applyNumberFormat="1" applyFont="1" applyFill="1" applyBorder="1" applyAlignment="1"/>
    <xf numFmtId="3" fontId="4" fillId="0" borderId="23" xfId="0" applyNumberFormat="1" applyFont="1" applyFill="1" applyBorder="1" applyAlignment="1">
      <alignment horizontal="right"/>
    </xf>
    <xf numFmtId="166" fontId="4" fillId="0" borderId="24" xfId="1" applyNumberFormat="1" applyFont="1" applyFill="1" applyBorder="1" applyAlignment="1" applyProtection="1">
      <alignment horizontal="left" vertical="center" wrapText="1"/>
    </xf>
    <xf numFmtId="3" fontId="4" fillId="0" borderId="24" xfId="0" applyNumberFormat="1" applyFont="1" applyFill="1" applyBorder="1" applyAlignment="1"/>
    <xf numFmtId="3" fontId="4" fillId="0" borderId="24" xfId="0" applyNumberFormat="1" applyFont="1" applyFill="1" applyBorder="1" applyAlignment="1">
      <alignment horizontal="center"/>
    </xf>
    <xf numFmtId="167" fontId="4" fillId="0" borderId="19" xfId="0" applyNumberFormat="1" applyFont="1" applyFill="1" applyBorder="1" applyAlignment="1">
      <alignment horizontal="center"/>
    </xf>
    <xf numFmtId="4" fontId="4" fillId="0" borderId="4" xfId="0" applyNumberFormat="1" applyFont="1" applyFill="1" applyBorder="1" applyAlignment="1">
      <alignment horizontal="center"/>
    </xf>
    <xf numFmtId="4" fontId="4" fillId="0" borderId="19" xfId="0" applyNumberFormat="1" applyFont="1" applyFill="1" applyBorder="1" applyAlignment="1">
      <alignment horizontal="center"/>
    </xf>
    <xf numFmtId="3" fontId="5" fillId="0" borderId="17" xfId="0" applyNumberFormat="1" applyFont="1" applyFill="1" applyBorder="1" applyAlignment="1">
      <alignment horizontal="right"/>
    </xf>
    <xf numFmtId="166" fontId="4" fillId="0" borderId="22" xfId="1" applyNumberFormat="1" applyFont="1" applyFill="1" applyBorder="1" applyAlignment="1" applyProtection="1">
      <alignment horizontal="left" vertical="center" wrapText="1"/>
    </xf>
    <xf numFmtId="3" fontId="4" fillId="0" borderId="25" xfId="0" applyNumberFormat="1" applyFont="1" applyFill="1" applyBorder="1" applyAlignment="1">
      <alignment horizontal="right"/>
    </xf>
    <xf numFmtId="166" fontId="4" fillId="0" borderId="26" xfId="1" applyNumberFormat="1" applyFont="1" applyFill="1" applyBorder="1" applyAlignment="1" applyProtection="1">
      <alignment horizontal="left" vertical="center" wrapText="1"/>
    </xf>
    <xf numFmtId="3" fontId="4" fillId="0" borderId="27" xfId="0" applyNumberFormat="1" applyFont="1" applyFill="1" applyBorder="1" applyAlignment="1"/>
    <xf numFmtId="3" fontId="4" fillId="0" borderId="27" xfId="0" applyNumberFormat="1" applyFont="1" applyFill="1" applyBorder="1" applyAlignment="1">
      <alignment horizontal="center"/>
    </xf>
    <xf numFmtId="167" fontId="4" fillId="0" borderId="27" xfId="0" applyNumberFormat="1" applyFont="1" applyFill="1" applyBorder="1" applyAlignment="1">
      <alignment horizontal="center"/>
    </xf>
    <xf numFmtId="0" fontId="4" fillId="0" borderId="28" xfId="0" applyFont="1" applyFill="1" applyBorder="1"/>
    <xf numFmtId="166" fontId="4" fillId="0" borderId="29" xfId="1" applyNumberFormat="1" applyFont="1" applyFill="1" applyBorder="1" applyAlignment="1" applyProtection="1">
      <alignment horizontal="left" vertical="center" wrapText="1"/>
    </xf>
    <xf numFmtId="3" fontId="4" fillId="0" borderId="30" xfId="0" applyNumberFormat="1" applyFont="1" applyFill="1" applyBorder="1" applyAlignment="1">
      <alignment horizontal="right"/>
    </xf>
    <xf numFmtId="166" fontId="4" fillId="0" borderId="31" xfId="1" applyNumberFormat="1" applyFont="1" applyFill="1" applyBorder="1" applyAlignment="1" applyProtection="1">
      <alignment horizontal="left" vertical="center" wrapText="1"/>
    </xf>
    <xf numFmtId="3" fontId="4" fillId="0" borderId="31" xfId="0" applyNumberFormat="1" applyFont="1" applyFill="1" applyBorder="1" applyAlignment="1"/>
    <xf numFmtId="4" fontId="4" fillId="0" borderId="31" xfId="0" applyNumberFormat="1" applyFont="1" applyFill="1" applyBorder="1" applyAlignment="1">
      <alignment horizontal="center"/>
    </xf>
    <xf numFmtId="0" fontId="4" fillId="0" borderId="32" xfId="0" applyFont="1" applyFill="1" applyBorder="1"/>
    <xf numFmtId="3" fontId="4" fillId="0" borderId="17" xfId="0" applyNumberFormat="1" applyFont="1" applyFill="1" applyBorder="1" applyAlignment="1">
      <alignment horizontal="right"/>
    </xf>
    <xf numFmtId="3" fontId="4" fillId="0" borderId="18" xfId="0" applyNumberFormat="1" applyFont="1" applyFill="1" applyBorder="1"/>
    <xf numFmtId="3" fontId="4" fillId="0" borderId="18" xfId="0" applyNumberFormat="1" applyFont="1" applyFill="1" applyBorder="1" applyAlignment="1">
      <alignment horizontal="center"/>
    </xf>
    <xf numFmtId="167" fontId="4" fillId="0" borderId="18" xfId="0" applyNumberFormat="1" applyFont="1" applyFill="1" applyBorder="1" applyAlignment="1">
      <alignment horizontal="center"/>
    </xf>
    <xf numFmtId="49" fontId="4" fillId="0" borderId="0" xfId="0" applyNumberFormat="1" applyFont="1" applyFill="1"/>
    <xf numFmtId="167" fontId="4" fillId="0" borderId="24" xfId="0" applyNumberFormat="1" applyFont="1" applyFill="1" applyBorder="1" applyAlignment="1">
      <alignment horizontal="center"/>
    </xf>
    <xf numFmtId="3" fontId="5" fillId="0" borderId="6" xfId="0" applyNumberFormat="1" applyFont="1" applyFill="1" applyBorder="1"/>
    <xf numFmtId="3" fontId="4" fillId="0" borderId="6" xfId="0" applyNumberFormat="1" applyFont="1" applyFill="1" applyBorder="1"/>
    <xf numFmtId="0" fontId="4" fillId="0" borderId="33" xfId="0" applyFont="1" applyFill="1" applyBorder="1" applyAlignment="1">
      <alignment horizontal="center"/>
    </xf>
    <xf numFmtId="0" fontId="4" fillId="0" borderId="34" xfId="0" applyFont="1" applyFill="1" applyBorder="1" applyAlignment="1">
      <alignment horizontal="center"/>
    </xf>
    <xf numFmtId="3" fontId="6" fillId="0" borderId="35" xfId="0" applyNumberFormat="1" applyFont="1" applyFill="1" applyBorder="1" applyAlignment="1"/>
    <xf numFmtId="3" fontId="4" fillId="0" borderId="5" xfId="0" applyNumberFormat="1" applyFont="1" applyFill="1" applyBorder="1" applyAlignment="1"/>
    <xf numFmtId="3" fontId="4" fillId="0" borderId="36" xfId="0" applyNumberFormat="1" applyFont="1" applyFill="1" applyBorder="1" applyAlignment="1"/>
    <xf numFmtId="3" fontId="4" fillId="0" borderId="37" xfId="0" applyNumberFormat="1" applyFont="1" applyFill="1" applyBorder="1" applyAlignment="1"/>
    <xf numFmtId="3" fontId="5" fillId="0" borderId="5" xfId="0" applyNumberFormat="1" applyFont="1" applyFill="1" applyBorder="1" applyAlignment="1"/>
    <xf numFmtId="3" fontId="5" fillId="0" borderId="36" xfId="0" applyNumberFormat="1" applyFont="1" applyFill="1" applyBorder="1" applyAlignment="1"/>
    <xf numFmtId="3" fontId="5" fillId="0" borderId="38" xfId="0" applyNumberFormat="1" applyFont="1" applyFill="1" applyBorder="1"/>
    <xf numFmtId="3" fontId="5" fillId="0" borderId="33" xfId="0" applyNumberFormat="1" applyFont="1" applyFill="1" applyBorder="1"/>
    <xf numFmtId="3" fontId="5" fillId="0" borderId="39" xfId="0" applyNumberFormat="1" applyFont="1" applyFill="1" applyBorder="1"/>
    <xf numFmtId="3" fontId="4" fillId="0" borderId="34" xfId="0" applyNumberFormat="1" applyFont="1" applyFill="1" applyBorder="1"/>
    <xf numFmtId="3" fontId="4" fillId="0" borderId="35" xfId="0" applyNumberFormat="1" applyFont="1" applyFill="1" applyBorder="1"/>
    <xf numFmtId="3" fontId="5" fillId="0" borderId="40" xfId="0" applyNumberFormat="1" applyFont="1" applyFill="1" applyBorder="1"/>
    <xf numFmtId="3" fontId="4" fillId="0" borderId="33" xfId="0" applyNumberFormat="1" applyFont="1" applyFill="1" applyBorder="1"/>
    <xf numFmtId="3" fontId="4" fillId="0" borderId="0" xfId="0" applyNumberFormat="1" applyFont="1" applyFill="1" applyAlignment="1">
      <alignment horizontal="center"/>
    </xf>
    <xf numFmtId="3" fontId="5" fillId="0" borderId="41" xfId="0" applyNumberFormat="1" applyFont="1" applyFill="1" applyBorder="1" applyAlignment="1"/>
    <xf numFmtId="3" fontId="5" fillId="0" borderId="42" xfId="0" applyNumberFormat="1" applyFont="1" applyFill="1" applyBorder="1" applyAlignment="1"/>
    <xf numFmtId="3" fontId="4" fillId="0" borderId="43" xfId="0" applyNumberFormat="1" applyFont="1" applyFill="1" applyBorder="1" applyAlignment="1"/>
    <xf numFmtId="3" fontId="4" fillId="0" borderId="44" xfId="0" applyNumberFormat="1" applyFont="1" applyFill="1" applyBorder="1" applyAlignment="1"/>
    <xf numFmtId="3" fontId="4" fillId="0" borderId="22" xfId="0" applyNumberFormat="1" applyFont="1" applyFill="1" applyBorder="1" applyAlignment="1"/>
    <xf numFmtId="0" fontId="4" fillId="0" borderId="45" xfId="0" applyFont="1" applyFill="1" applyBorder="1" applyAlignment="1">
      <alignment horizontal="center"/>
    </xf>
    <xf numFmtId="0" fontId="4" fillId="0" borderId="46" xfId="0" applyFont="1" applyFill="1" applyBorder="1" applyAlignment="1">
      <alignment horizontal="center"/>
    </xf>
    <xf numFmtId="0" fontId="4" fillId="0" borderId="47" xfId="0" applyFont="1" applyFill="1" applyBorder="1" applyAlignment="1">
      <alignment horizontal="center"/>
    </xf>
    <xf numFmtId="3" fontId="6" fillId="0" borderId="48" xfId="0" applyNumberFormat="1" applyFont="1" applyFill="1" applyBorder="1" applyAlignment="1"/>
    <xf numFmtId="3" fontId="4" fillId="0" borderId="45" xfId="0" applyNumberFormat="1" applyFont="1" applyFill="1" applyBorder="1" applyAlignment="1"/>
    <xf numFmtId="3" fontId="4" fillId="0" borderId="49" xfId="0" applyNumberFormat="1" applyFont="1" applyFill="1" applyBorder="1" applyAlignment="1"/>
    <xf numFmtId="3" fontId="4" fillId="0" borderId="50" xfId="0" applyNumberFormat="1" applyFont="1" applyFill="1" applyBorder="1" applyAlignment="1"/>
    <xf numFmtId="3" fontId="5" fillId="0" borderId="45" xfId="0" applyNumberFormat="1" applyFont="1" applyFill="1" applyBorder="1" applyAlignment="1"/>
    <xf numFmtId="3" fontId="5" fillId="0" borderId="51" xfId="0" applyNumberFormat="1" applyFont="1" applyFill="1" applyBorder="1" applyAlignment="1"/>
    <xf numFmtId="3" fontId="5" fillId="0" borderId="52" xfId="0" applyNumberFormat="1" applyFont="1" applyFill="1" applyBorder="1"/>
    <xf numFmtId="3" fontId="4" fillId="0" borderId="47" xfId="0" applyNumberFormat="1" applyFont="1" applyFill="1" applyBorder="1"/>
    <xf numFmtId="3" fontId="5" fillId="0" borderId="53" xfId="0" applyNumberFormat="1" applyFont="1" applyFill="1" applyBorder="1"/>
    <xf numFmtId="3" fontId="4" fillId="0" borderId="48" xfId="0" applyNumberFormat="1" applyFont="1" applyFill="1" applyBorder="1"/>
    <xf numFmtId="3" fontId="4" fillId="0" borderId="39" xfId="0" applyNumberFormat="1" applyFont="1" applyFill="1" applyBorder="1"/>
    <xf numFmtId="3" fontId="5" fillId="0" borderId="54" xfId="0" applyNumberFormat="1" applyFont="1" applyFill="1" applyBorder="1"/>
    <xf numFmtId="3" fontId="5" fillId="0" borderId="7" xfId="0" applyNumberFormat="1" applyFont="1" applyFill="1" applyBorder="1" applyAlignment="1">
      <alignment horizontal="right"/>
    </xf>
    <xf numFmtId="3" fontId="5" fillId="0" borderId="1" xfId="0" applyNumberFormat="1" applyFont="1" applyFill="1" applyBorder="1"/>
    <xf numFmtId="3" fontId="5" fillId="0" borderId="1" xfId="0" applyNumberFormat="1" applyFont="1" applyFill="1" applyBorder="1" applyAlignment="1">
      <alignment horizontal="center"/>
    </xf>
    <xf numFmtId="3" fontId="5" fillId="0" borderId="34" xfId="0" applyNumberFormat="1" applyFont="1" applyFill="1" applyBorder="1"/>
    <xf numFmtId="3" fontId="5" fillId="0" borderId="55" xfId="0" applyNumberFormat="1" applyFont="1" applyFill="1" applyBorder="1"/>
    <xf numFmtId="3" fontId="5" fillId="0" borderId="1" xfId="0" applyNumberFormat="1" applyFont="1" applyFill="1" applyBorder="1" applyAlignment="1">
      <alignment wrapText="1"/>
    </xf>
    <xf numFmtId="166" fontId="4" fillId="0" borderId="56" xfId="1" applyNumberFormat="1" applyFont="1" applyFill="1" applyBorder="1" applyAlignment="1" applyProtection="1">
      <alignment horizontal="left" vertical="center" wrapText="1"/>
    </xf>
    <xf numFmtId="3" fontId="5" fillId="0" borderId="13" xfId="0" applyNumberFormat="1" applyFont="1" applyFill="1" applyBorder="1" applyAlignment="1">
      <alignment horizontal="right"/>
    </xf>
    <xf numFmtId="3" fontId="4" fillId="0" borderId="4" xfId="0" applyNumberFormat="1" applyFont="1" applyFill="1" applyBorder="1"/>
    <xf numFmtId="3" fontId="5" fillId="2" borderId="4" xfId="0" applyNumberFormat="1" applyFont="1" applyFill="1" applyBorder="1" applyAlignment="1">
      <alignment wrapText="1"/>
    </xf>
    <xf numFmtId="166" fontId="5" fillId="2" borderId="22" xfId="1" applyNumberFormat="1" applyFont="1" applyFill="1" applyBorder="1" applyAlignment="1" applyProtection="1">
      <alignment horizontal="left" vertical="center" wrapText="1"/>
    </xf>
    <xf numFmtId="3" fontId="5" fillId="3" borderId="4" xfId="0" applyNumberFormat="1" applyFont="1" applyFill="1" applyBorder="1" applyAlignment="1">
      <alignment wrapText="1"/>
    </xf>
    <xf numFmtId="166" fontId="5" fillId="3" borderId="22" xfId="1" applyNumberFormat="1" applyFont="1" applyFill="1" applyBorder="1" applyAlignment="1" applyProtection="1">
      <alignment horizontal="left" wrapText="1"/>
    </xf>
    <xf numFmtId="166" fontId="5" fillId="3" borderId="57" xfId="1" applyNumberFormat="1" applyFont="1" applyFill="1" applyBorder="1" applyAlignment="1" applyProtection="1">
      <alignment horizontal="left" vertical="center" wrapText="1"/>
    </xf>
    <xf numFmtId="3" fontId="5" fillId="4" borderId="1" xfId="0" applyNumberFormat="1" applyFont="1" applyFill="1" applyBorder="1" applyAlignment="1">
      <alignment wrapText="1"/>
    </xf>
    <xf numFmtId="3" fontId="5" fillId="0" borderId="58" xfId="0" applyNumberFormat="1" applyFont="1" applyBorder="1" applyAlignment="1">
      <alignment horizontal="right"/>
    </xf>
    <xf numFmtId="3" fontId="4" fillId="0" borderId="21" xfId="0" applyNumberFormat="1" applyFont="1" applyBorder="1" applyAlignment="1">
      <alignment horizontal="right"/>
    </xf>
    <xf numFmtId="166" fontId="4" fillId="0" borderId="4" xfId="1" applyNumberFormat="1" applyFont="1" applyBorder="1" applyAlignment="1">
      <alignment horizontal="left" vertical="center" wrapText="1"/>
    </xf>
    <xf numFmtId="3" fontId="4" fillId="0" borderId="59" xfId="0" applyNumberFormat="1" applyFont="1" applyBorder="1" applyAlignment="1">
      <alignment horizontal="right"/>
    </xf>
    <xf numFmtId="166" fontId="4" fillId="0" borderId="43" xfId="1" applyNumberFormat="1" applyFont="1" applyBorder="1" applyAlignment="1">
      <alignment horizontal="left" vertical="center" wrapText="1"/>
    </xf>
    <xf numFmtId="166" fontId="5" fillId="5" borderId="60" xfId="1" applyNumberFormat="1" applyFont="1" applyFill="1" applyBorder="1" applyAlignment="1">
      <alignment horizontal="left" vertical="center" wrapText="1"/>
    </xf>
    <xf numFmtId="3" fontId="4" fillId="0" borderId="61" xfId="0" applyNumberFormat="1" applyFont="1" applyBorder="1" applyAlignment="1">
      <alignment horizontal="right"/>
    </xf>
    <xf numFmtId="166" fontId="4" fillId="0" borderId="62" xfId="1" applyNumberFormat="1" applyFont="1" applyBorder="1" applyAlignment="1">
      <alignment horizontal="left" vertical="center" wrapText="1"/>
    </xf>
    <xf numFmtId="3" fontId="5" fillId="0" borderId="63" xfId="0" applyNumberFormat="1" applyFont="1" applyFill="1" applyBorder="1" applyAlignment="1"/>
    <xf numFmtId="3" fontId="4" fillId="0" borderId="64" xfId="0" applyNumberFormat="1" applyFont="1" applyFill="1" applyBorder="1" applyAlignment="1"/>
    <xf numFmtId="3" fontId="4" fillId="0" borderId="65" xfId="0" applyNumberFormat="1" applyFont="1" applyFill="1" applyBorder="1" applyAlignment="1"/>
    <xf numFmtId="3" fontId="4" fillId="0" borderId="66" xfId="0" applyNumberFormat="1" applyFont="1" applyFill="1" applyBorder="1" applyAlignment="1"/>
    <xf numFmtId="3" fontId="5" fillId="0" borderId="21" xfId="0" applyNumberFormat="1" applyFont="1" applyBorder="1" applyAlignment="1">
      <alignment horizontal="right"/>
    </xf>
    <xf numFmtId="166" fontId="5" fillId="6" borderId="22" xfId="1" applyNumberFormat="1" applyFont="1" applyFill="1" applyBorder="1" applyAlignment="1">
      <alignment horizontal="left" vertical="center" wrapText="1"/>
    </xf>
    <xf numFmtId="3" fontId="4" fillId="0" borderId="30" xfId="0" applyNumberFormat="1" applyFont="1" applyBorder="1" applyAlignment="1">
      <alignment horizontal="right"/>
    </xf>
    <xf numFmtId="166" fontId="4" fillId="0" borderId="31" xfId="1" applyNumberFormat="1" applyFont="1" applyBorder="1" applyAlignment="1">
      <alignment horizontal="left" vertical="center" wrapText="1"/>
    </xf>
    <xf numFmtId="3" fontId="4" fillId="0" borderId="31" xfId="0" applyNumberFormat="1" applyFont="1" applyFill="1" applyBorder="1" applyAlignment="1">
      <alignment horizontal="center"/>
    </xf>
    <xf numFmtId="167" fontId="4" fillId="0" borderId="31" xfId="0" applyNumberFormat="1" applyFont="1" applyFill="1" applyBorder="1" applyAlignment="1">
      <alignment horizontal="center"/>
    </xf>
    <xf numFmtId="3" fontId="4" fillId="0" borderId="31" xfId="0" applyNumberFormat="1" applyFont="1" applyFill="1" applyBorder="1"/>
    <xf numFmtId="3" fontId="5" fillId="0" borderId="41" xfId="0" applyNumberFormat="1" applyFont="1" applyFill="1" applyBorder="1" applyAlignment="1">
      <alignment horizontal="center"/>
    </xf>
    <xf numFmtId="3" fontId="5" fillId="0" borderId="67" xfId="0" applyNumberFormat="1" applyFont="1" applyFill="1" applyBorder="1"/>
    <xf numFmtId="167" fontId="5" fillId="0" borderId="67" xfId="0" applyNumberFormat="1" applyFont="1" applyFill="1" applyBorder="1" applyAlignment="1">
      <alignment horizontal="center"/>
    </xf>
    <xf numFmtId="3" fontId="4" fillId="0" borderId="43" xfId="0" applyNumberFormat="1" applyFont="1" applyFill="1" applyBorder="1"/>
    <xf numFmtId="167" fontId="4" fillId="0" borderId="43" xfId="0" applyNumberFormat="1" applyFont="1" applyFill="1" applyBorder="1" applyAlignment="1">
      <alignment horizontal="center"/>
    </xf>
    <xf numFmtId="3" fontId="4" fillId="0" borderId="68" xfId="0" applyNumberFormat="1" applyFont="1" applyFill="1" applyBorder="1" applyAlignment="1"/>
    <xf numFmtId="3" fontId="4" fillId="0" borderId="69" xfId="0" applyNumberFormat="1" applyFont="1" applyFill="1" applyBorder="1" applyAlignment="1"/>
    <xf numFmtId="3" fontId="4" fillId="0" borderId="70" xfId="0" applyNumberFormat="1" applyFont="1" applyFill="1" applyBorder="1" applyAlignment="1"/>
    <xf numFmtId="3" fontId="4" fillId="0" borderId="43" xfId="0" applyNumberFormat="1" applyFont="1" applyFill="1" applyBorder="1" applyAlignment="1">
      <alignment horizontal="center"/>
    </xf>
    <xf numFmtId="3" fontId="4" fillId="0" borderId="67" xfId="0" applyNumberFormat="1" applyFont="1" applyFill="1" applyBorder="1" applyAlignment="1"/>
    <xf numFmtId="3" fontId="4" fillId="0" borderId="71" xfId="0" applyNumberFormat="1" applyFont="1" applyFill="1" applyBorder="1" applyAlignment="1"/>
    <xf numFmtId="3" fontId="4" fillId="0" borderId="62" xfId="0" applyNumberFormat="1" applyFont="1" applyFill="1" applyBorder="1" applyAlignment="1"/>
    <xf numFmtId="3" fontId="4" fillId="0" borderId="72" xfId="0" applyNumberFormat="1" applyFont="1" applyFill="1" applyBorder="1" applyAlignment="1"/>
    <xf numFmtId="166" fontId="4" fillId="0" borderId="73" xfId="1" applyNumberFormat="1" applyFont="1" applyFill="1" applyBorder="1" applyAlignment="1" applyProtection="1">
      <alignment horizontal="left" vertical="center" wrapText="1"/>
      <protection locked="0"/>
    </xf>
    <xf numFmtId="3" fontId="5" fillId="0" borderId="8" xfId="0" applyNumberFormat="1" applyFont="1" applyFill="1" applyBorder="1" applyAlignment="1">
      <alignment wrapText="1"/>
    </xf>
    <xf numFmtId="167" fontId="4" fillId="0" borderId="4" xfId="0" applyNumberFormat="1" applyFont="1" applyFill="1" applyBorder="1" applyAlignment="1"/>
    <xf numFmtId="167" fontId="4" fillId="0" borderId="4" xfId="0" applyNumberFormat="1" applyFont="1" applyFill="1" applyBorder="1" applyAlignment="1">
      <alignment horizontal="right"/>
    </xf>
    <xf numFmtId="167" fontId="4" fillId="0" borderId="19" xfId="0" applyNumberFormat="1" applyFont="1" applyFill="1" applyBorder="1" applyAlignment="1"/>
    <xf numFmtId="167" fontId="4" fillId="0" borderId="19" xfId="0" applyNumberFormat="1" applyFont="1" applyFill="1" applyBorder="1" applyAlignment="1">
      <alignment horizontal="right"/>
    </xf>
    <xf numFmtId="167" fontId="4" fillId="0" borderId="27" xfId="0" applyNumberFormat="1" applyFont="1" applyFill="1" applyBorder="1" applyAlignment="1"/>
    <xf numFmtId="167" fontId="4" fillId="0" borderId="27" xfId="0" applyNumberFormat="1" applyFont="1" applyFill="1" applyBorder="1" applyAlignment="1">
      <alignment horizontal="right"/>
    </xf>
    <xf numFmtId="167" fontId="4" fillId="0" borderId="24" xfId="0" applyNumberFormat="1" applyFont="1" applyFill="1" applyBorder="1" applyAlignment="1"/>
    <xf numFmtId="167" fontId="4" fillId="0" borderId="24" xfId="0" applyNumberFormat="1" applyFont="1" applyFill="1" applyBorder="1" applyAlignment="1">
      <alignment horizontal="right"/>
    </xf>
    <xf numFmtId="167" fontId="5" fillId="0" borderId="41" xfId="0" applyNumberFormat="1" applyFont="1" applyFill="1" applyBorder="1" applyAlignment="1"/>
    <xf numFmtId="167" fontId="5" fillId="0" borderId="41" xfId="0" applyNumberFormat="1" applyFont="1" applyFill="1" applyBorder="1" applyAlignment="1">
      <alignment horizontal="right"/>
    </xf>
    <xf numFmtId="167" fontId="4" fillId="0" borderId="22" xfId="0" applyNumberFormat="1" applyFont="1" applyFill="1" applyBorder="1" applyAlignment="1"/>
    <xf numFmtId="167" fontId="5" fillId="0" borderId="4" xfId="0" applyNumberFormat="1" applyFont="1" applyFill="1" applyBorder="1" applyAlignment="1"/>
    <xf numFmtId="167" fontId="5" fillId="0" borderId="4" xfId="0" applyNumberFormat="1" applyFont="1" applyFill="1" applyBorder="1" applyAlignment="1">
      <alignment horizontal="right"/>
    </xf>
    <xf numFmtId="167" fontId="4" fillId="0" borderId="31" xfId="0" applyNumberFormat="1" applyFont="1" applyFill="1" applyBorder="1" applyAlignment="1">
      <alignment horizontal="right"/>
    </xf>
    <xf numFmtId="167" fontId="5" fillId="0" borderId="67" xfId="0" applyNumberFormat="1" applyFont="1" applyFill="1" applyBorder="1"/>
    <xf numFmtId="167" fontId="4" fillId="0" borderId="4" xfId="0" applyNumberFormat="1" applyFont="1" applyFill="1" applyBorder="1"/>
    <xf numFmtId="167" fontId="4" fillId="0" borderId="43" xfId="0" applyNumberFormat="1" applyFont="1" applyFill="1" applyBorder="1"/>
    <xf numFmtId="167" fontId="4" fillId="0" borderId="43" xfId="0" applyNumberFormat="1" applyFont="1" applyFill="1" applyBorder="1" applyAlignment="1">
      <alignment horizontal="right"/>
    </xf>
    <xf numFmtId="167" fontId="4" fillId="0" borderId="31" xfId="0" applyNumberFormat="1" applyFont="1" applyFill="1" applyBorder="1"/>
    <xf numFmtId="167" fontId="5" fillId="0" borderId="4" xfId="0" applyNumberFormat="1" applyFont="1" applyFill="1" applyBorder="1"/>
    <xf numFmtId="167" fontId="4" fillId="0" borderId="8" xfId="0" applyNumberFormat="1" applyFont="1" applyFill="1" applyBorder="1" applyAlignment="1"/>
    <xf numFmtId="167" fontId="4" fillId="0" borderId="8" xfId="0" applyNumberFormat="1" applyFont="1" applyFill="1" applyBorder="1" applyAlignment="1">
      <alignment horizontal="right"/>
    </xf>
    <xf numFmtId="167" fontId="4" fillId="0" borderId="6" xfId="0" applyNumberFormat="1" applyFont="1" applyFill="1" applyBorder="1" applyAlignment="1"/>
    <xf numFmtId="167" fontId="4" fillId="0" borderId="6" xfId="0" applyNumberFormat="1" applyFont="1" applyFill="1" applyBorder="1" applyAlignment="1">
      <alignment horizontal="right"/>
    </xf>
    <xf numFmtId="167" fontId="4" fillId="0" borderId="1" xfId="0" applyNumberFormat="1" applyFont="1" applyFill="1" applyBorder="1" applyAlignment="1"/>
    <xf numFmtId="167" fontId="4" fillId="0" borderId="1" xfId="0" applyNumberFormat="1" applyFont="1" applyFill="1" applyBorder="1" applyAlignment="1">
      <alignment horizontal="right"/>
    </xf>
    <xf numFmtId="167" fontId="5" fillId="0" borderId="9" xfId="0" applyNumberFormat="1" applyFont="1" applyFill="1" applyBorder="1" applyAlignment="1"/>
    <xf numFmtId="167" fontId="5" fillId="0" borderId="9" xfId="0" applyNumberFormat="1" applyFont="1" applyFill="1" applyBorder="1" applyAlignment="1">
      <alignment horizontal="right"/>
    </xf>
    <xf numFmtId="167" fontId="4" fillId="0" borderId="18" xfId="0" applyNumberFormat="1" applyFont="1" applyFill="1" applyBorder="1" applyAlignment="1">
      <alignment horizontal="right"/>
    </xf>
    <xf numFmtId="167" fontId="5" fillId="0" borderId="12" xfId="0" applyNumberFormat="1" applyFont="1" applyFill="1" applyBorder="1"/>
    <xf numFmtId="167" fontId="5" fillId="0" borderId="12" xfId="0" applyNumberFormat="1" applyFont="1" applyFill="1" applyBorder="1" applyAlignment="1">
      <alignment horizontal="right"/>
    </xf>
    <xf numFmtId="167" fontId="5" fillId="0" borderId="1" xfId="0" applyNumberFormat="1" applyFont="1" applyFill="1" applyBorder="1"/>
    <xf numFmtId="167" fontId="5" fillId="0" borderId="1" xfId="0" applyNumberFormat="1" applyFont="1" applyFill="1" applyBorder="1" applyAlignment="1">
      <alignment horizontal="right"/>
    </xf>
    <xf numFmtId="167" fontId="4" fillId="0" borderId="1" xfId="0" applyNumberFormat="1" applyFont="1" applyFill="1" applyBorder="1"/>
    <xf numFmtId="0" fontId="4" fillId="0" borderId="74" xfId="0" applyFont="1" applyFill="1" applyBorder="1" applyAlignment="1">
      <alignment horizontal="center"/>
    </xf>
    <xf numFmtId="14" fontId="4" fillId="0" borderId="5" xfId="0" applyNumberFormat="1" applyFont="1" applyFill="1" applyBorder="1" applyAlignment="1">
      <alignment horizontal="center"/>
    </xf>
    <xf numFmtId="3" fontId="5" fillId="0" borderId="67" xfId="0" applyNumberFormat="1" applyFont="1" applyFill="1" applyBorder="1" applyAlignment="1">
      <alignment horizontal="center"/>
    </xf>
    <xf numFmtId="3" fontId="4" fillId="0" borderId="19" xfId="0" applyNumberFormat="1" applyFont="1" applyFill="1" applyBorder="1"/>
    <xf numFmtId="3" fontId="4" fillId="0" borderId="75" xfId="0" applyNumberFormat="1" applyFont="1" applyFill="1" applyBorder="1" applyAlignment="1"/>
    <xf numFmtId="3" fontId="4" fillId="0" borderId="62" xfId="0" applyNumberFormat="1" applyFont="1" applyFill="1" applyBorder="1"/>
    <xf numFmtId="3" fontId="4" fillId="0" borderId="62" xfId="0" applyNumberFormat="1" applyFont="1" applyFill="1" applyBorder="1" applyAlignment="1">
      <alignment horizontal="center"/>
    </xf>
    <xf numFmtId="167" fontId="4" fillId="0" borderId="62" xfId="0" applyNumberFormat="1" applyFont="1" applyFill="1" applyBorder="1" applyAlignment="1">
      <alignment horizontal="center"/>
    </xf>
    <xf numFmtId="167" fontId="4" fillId="0" borderId="62" xfId="0" applyNumberFormat="1" applyFont="1" applyFill="1" applyBorder="1"/>
    <xf numFmtId="167" fontId="4" fillId="0" borderId="62" xfId="0" applyNumberFormat="1" applyFont="1" applyFill="1" applyBorder="1" applyAlignment="1">
      <alignment horizontal="right"/>
    </xf>
    <xf numFmtId="3" fontId="5" fillId="7" borderId="4" xfId="0" applyNumberFormat="1" applyFont="1" applyFill="1" applyBorder="1" applyAlignment="1">
      <alignment wrapText="1"/>
    </xf>
    <xf numFmtId="166" fontId="4" fillId="0" borderId="5" xfId="1" applyNumberFormat="1" applyFont="1" applyBorder="1" applyAlignment="1">
      <alignment horizontal="left" vertical="center" wrapText="1"/>
    </xf>
    <xf numFmtId="166" fontId="4" fillId="0" borderId="36" xfId="1" applyNumberFormat="1" applyFont="1" applyBorder="1" applyAlignment="1">
      <alignment horizontal="left" vertical="center" wrapText="1"/>
    </xf>
    <xf numFmtId="166" fontId="4" fillId="0" borderId="76" xfId="1" applyNumberFormat="1" applyFont="1" applyBorder="1" applyAlignment="1">
      <alignment horizontal="left" vertical="center" wrapText="1"/>
    </xf>
    <xf numFmtId="166" fontId="4" fillId="0" borderId="75" xfId="1" applyNumberFormat="1" applyFont="1" applyBorder="1" applyAlignment="1">
      <alignment horizontal="left" vertical="center" wrapText="1"/>
    </xf>
    <xf numFmtId="3" fontId="5" fillId="0" borderId="62" xfId="0" applyNumberFormat="1" applyFont="1" applyFill="1" applyBorder="1" applyAlignment="1"/>
    <xf numFmtId="167" fontId="4" fillId="0" borderId="19" xfId="0" applyNumberFormat="1" applyFont="1" applyFill="1" applyBorder="1"/>
    <xf numFmtId="174" fontId="4" fillId="0" borderId="4" xfId="2" applyNumberFormat="1" applyFont="1" applyFill="1" applyBorder="1" applyAlignment="1">
      <alignment horizontal="center"/>
    </xf>
    <xf numFmtId="3" fontId="5" fillId="0" borderId="74" xfId="0" applyNumberFormat="1" applyFont="1" applyFill="1" applyBorder="1"/>
    <xf numFmtId="3" fontId="5" fillId="0" borderId="71" xfId="0" applyNumberFormat="1" applyFont="1" applyFill="1" applyBorder="1" applyAlignment="1"/>
    <xf numFmtId="3" fontId="5" fillId="0" borderId="45" xfId="0" applyNumberFormat="1" applyFont="1" applyFill="1" applyBorder="1"/>
    <xf numFmtId="174" fontId="4" fillId="0" borderId="19" xfId="2" applyNumberFormat="1" applyFont="1" applyFill="1" applyBorder="1" applyAlignment="1">
      <alignment horizontal="center"/>
    </xf>
    <xf numFmtId="3" fontId="5" fillId="0" borderId="72" xfId="0" applyNumberFormat="1" applyFont="1" applyFill="1" applyBorder="1" applyAlignment="1"/>
    <xf numFmtId="0" fontId="4" fillId="0" borderId="13" xfId="0" applyFont="1" applyBorder="1"/>
    <xf numFmtId="0" fontId="5" fillId="0" borderId="8" xfId="0" applyFont="1" applyFill="1" applyBorder="1" applyAlignment="1">
      <alignment horizontal="center" vertical="center"/>
    </xf>
    <xf numFmtId="0" fontId="5" fillId="0" borderId="52" xfId="0" applyFont="1" applyFill="1" applyBorder="1" applyAlignment="1">
      <alignment horizontal="center" vertical="center"/>
    </xf>
    <xf numFmtId="3" fontId="5" fillId="0" borderId="13" xfId="0" applyNumberFormat="1" applyFont="1" applyFill="1" applyBorder="1" applyAlignment="1">
      <alignment horizontal="center" vertical="center"/>
    </xf>
    <xf numFmtId="3" fontId="5" fillId="0" borderId="8" xfId="0" applyNumberFormat="1" applyFont="1" applyFill="1" applyBorder="1" applyAlignment="1">
      <alignment horizontal="center" vertical="center"/>
    </xf>
    <xf numFmtId="49" fontId="5" fillId="0" borderId="77" xfId="0" applyNumberFormat="1" applyFont="1" applyBorder="1" applyAlignment="1">
      <alignment horizontal="right"/>
    </xf>
    <xf numFmtId="3" fontId="4" fillId="0" borderId="6" xfId="0" applyNumberFormat="1" applyFont="1" applyFill="1" applyBorder="1" applyAlignment="1">
      <alignment horizontal="center"/>
    </xf>
    <xf numFmtId="3" fontId="5" fillId="0" borderId="46" xfId="0" applyNumberFormat="1" applyFont="1" applyFill="1" applyBorder="1"/>
    <xf numFmtId="3" fontId="4" fillId="0" borderId="77" xfId="0" applyNumberFormat="1" applyFont="1" applyFill="1" applyBorder="1" applyAlignment="1">
      <alignment horizontal="right"/>
    </xf>
    <xf numFmtId="3" fontId="4" fillId="0" borderId="6" xfId="0" applyNumberFormat="1" applyFont="1" applyFill="1" applyBorder="1" applyAlignment="1">
      <alignment horizontal="right"/>
    </xf>
    <xf numFmtId="3" fontId="4" fillId="0" borderId="46" xfId="0" applyNumberFormat="1" applyFont="1" applyFill="1" applyBorder="1" applyAlignment="1">
      <alignment horizontal="right"/>
    </xf>
    <xf numFmtId="49" fontId="5" fillId="0" borderId="7" xfId="0" applyNumberFormat="1" applyFont="1" applyBorder="1" applyAlignment="1">
      <alignment horizontal="right"/>
    </xf>
    <xf numFmtId="3" fontId="5" fillId="0" borderId="47" xfId="0" applyNumberFormat="1" applyFont="1" applyFill="1" applyBorder="1"/>
    <xf numFmtId="3" fontId="4" fillId="0" borderId="1" xfId="0" applyNumberFormat="1" applyFont="1" applyFill="1" applyBorder="1" applyAlignment="1">
      <alignment horizontal="right"/>
    </xf>
    <xf numFmtId="3" fontId="4" fillId="0" borderId="47" xfId="0" applyNumberFormat="1" applyFont="1" applyFill="1" applyBorder="1" applyAlignment="1">
      <alignment horizontal="right"/>
    </xf>
    <xf numFmtId="0" fontId="4" fillId="0" borderId="7" xfId="0" applyFont="1" applyFill="1" applyBorder="1" applyAlignment="1">
      <alignment horizontal="right"/>
    </xf>
    <xf numFmtId="0" fontId="4" fillId="0" borderId="47" xfId="0" applyFont="1" applyFill="1" applyBorder="1" applyAlignment="1">
      <alignment horizontal="right"/>
    </xf>
    <xf numFmtId="0" fontId="4" fillId="0" borderId="35" xfId="0" applyFont="1" applyFill="1" applyBorder="1" applyAlignment="1">
      <alignment horizontal="center" vertical="center"/>
    </xf>
    <xf numFmtId="0" fontId="4" fillId="0" borderId="73" xfId="0" applyFont="1" applyFill="1" applyBorder="1"/>
    <xf numFmtId="0" fontId="4" fillId="0" borderId="5" xfId="0" applyFont="1" applyFill="1" applyBorder="1" applyAlignment="1">
      <alignment horizontal="center" vertical="center"/>
    </xf>
    <xf numFmtId="0" fontId="4" fillId="0" borderId="22" xfId="0" applyFont="1" applyFill="1" applyBorder="1"/>
    <xf numFmtId="0" fontId="4" fillId="0" borderId="78" xfId="0" applyFont="1" applyFill="1" applyBorder="1"/>
    <xf numFmtId="49" fontId="5" fillId="0" borderId="13" xfId="0" applyNumberFormat="1" applyFont="1" applyBorder="1" applyAlignment="1">
      <alignment horizontal="right"/>
    </xf>
    <xf numFmtId="3" fontId="5" fillId="0" borderId="8" xfId="0" applyNumberFormat="1" applyFont="1" applyFill="1" applyBorder="1" applyAlignment="1">
      <alignment horizontal="right"/>
    </xf>
    <xf numFmtId="3" fontId="5" fillId="0" borderId="52" xfId="0" applyNumberFormat="1" applyFont="1" applyFill="1" applyBorder="1" applyAlignment="1">
      <alignment horizontal="right"/>
    </xf>
    <xf numFmtId="3" fontId="5" fillId="0" borderId="18" xfId="0" applyNumberFormat="1" applyFont="1" applyFill="1" applyBorder="1"/>
    <xf numFmtId="3" fontId="5" fillId="0" borderId="18" xfId="0" applyNumberFormat="1" applyFont="1" applyFill="1" applyBorder="1" applyAlignment="1">
      <alignment horizontal="center"/>
    </xf>
    <xf numFmtId="167" fontId="5" fillId="0" borderId="18" xfId="0" applyNumberFormat="1" applyFont="1" applyFill="1" applyBorder="1"/>
    <xf numFmtId="167" fontId="5" fillId="0" borderId="18" xfId="0" applyNumberFormat="1" applyFont="1" applyFill="1" applyBorder="1" applyAlignment="1">
      <alignment horizontal="right"/>
    </xf>
    <xf numFmtId="3" fontId="4" fillId="0" borderId="55" xfId="0" applyNumberFormat="1" applyFont="1" applyFill="1" applyBorder="1"/>
    <xf numFmtId="3" fontId="5" fillId="0" borderId="79" xfId="0" applyNumberFormat="1" applyFont="1" applyFill="1" applyBorder="1"/>
    <xf numFmtId="3" fontId="5" fillId="0" borderId="35" xfId="0" applyNumberFormat="1" applyFont="1" applyFill="1" applyBorder="1"/>
    <xf numFmtId="0" fontId="6" fillId="0" borderId="7" xfId="0" applyFont="1" applyFill="1" applyBorder="1" applyAlignment="1">
      <alignment horizontal="left"/>
    </xf>
    <xf numFmtId="0" fontId="6" fillId="0" borderId="1" xfId="0" applyFont="1" applyFill="1" applyBorder="1" applyAlignment="1">
      <alignment horizontal="left"/>
    </xf>
    <xf numFmtId="0" fontId="4" fillId="0" borderId="2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80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0" fontId="4" fillId="0" borderId="77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right"/>
    </xf>
    <xf numFmtId="0" fontId="5" fillId="0" borderId="0" xfId="0" applyFont="1" applyFill="1" applyAlignment="1">
      <alignment horizontal="center"/>
    </xf>
    <xf numFmtId="0" fontId="4" fillId="0" borderId="0" xfId="0" applyFont="1" applyFill="1" applyBorder="1" applyAlignment="1">
      <alignment horizontal="right"/>
    </xf>
    <xf numFmtId="0" fontId="5" fillId="0" borderId="81" xfId="0" applyFont="1" applyBorder="1" applyAlignment="1">
      <alignment horizontal="center" vertical="center"/>
    </xf>
    <xf numFmtId="0" fontId="5" fillId="0" borderId="82" xfId="0" applyFont="1" applyBorder="1" applyAlignment="1">
      <alignment horizontal="center" vertical="center"/>
    </xf>
    <xf numFmtId="0" fontId="5" fillId="0" borderId="83" xfId="0" applyFont="1" applyBorder="1" applyAlignment="1">
      <alignment horizontal="center" vertical="center"/>
    </xf>
    <xf numFmtId="0" fontId="5" fillId="0" borderId="8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39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/>
    </xf>
    <xf numFmtId="0" fontId="5" fillId="0" borderId="48" xfId="0" applyFont="1" applyFill="1" applyBorder="1" applyAlignment="1">
      <alignment horizontal="center" vertical="center"/>
    </xf>
    <xf numFmtId="3" fontId="5" fillId="0" borderId="85" xfId="0" applyNumberFormat="1" applyFont="1" applyFill="1" applyBorder="1" applyAlignment="1">
      <alignment horizontal="left" wrapText="1"/>
    </xf>
    <xf numFmtId="3" fontId="5" fillId="0" borderId="57" xfId="0" applyNumberFormat="1" applyFont="1" applyFill="1" applyBorder="1" applyAlignment="1">
      <alignment horizontal="left" wrapText="1"/>
    </xf>
  </cellXfs>
  <cellStyles count="3">
    <cellStyle name="Normál" xfId="0" builtinId="0"/>
    <cellStyle name="Normál_Munka1" xfId="1"/>
    <cellStyle name="Százalék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A123"/>
  <sheetViews>
    <sheetView tabSelected="1" view="pageBreakPreview" zoomScale="75" zoomScaleNormal="75" zoomScaleSheetLayoutView="75" workbookViewId="0">
      <pane ySplit="12" topLeftCell="A94" activePane="bottomLeft" state="frozen"/>
      <selection pane="bottomLeft" activeCell="F109" sqref="F109"/>
    </sheetView>
  </sheetViews>
  <sheetFormatPr defaultRowHeight="12.75" x14ac:dyDescent="0.2"/>
  <cols>
    <col min="1" max="1" width="6.42578125" style="1" customWidth="1"/>
    <col min="2" max="2" width="68.28515625" style="1" customWidth="1"/>
    <col min="3" max="3" width="11.28515625" style="1" bestFit="1" customWidth="1"/>
    <col min="4" max="4" width="13.5703125" style="4" customWidth="1"/>
    <col min="5" max="5" width="12.140625" style="1" customWidth="1"/>
    <col min="6" max="6" width="12.42578125" style="1" customWidth="1"/>
    <col min="7" max="7" width="10.5703125" style="1" customWidth="1"/>
    <col min="8" max="8" width="14.140625" style="4" bestFit="1" customWidth="1"/>
    <col min="9" max="9" width="14.140625" style="4" customWidth="1"/>
    <col min="10" max="12" width="10.5703125" style="1" customWidth="1"/>
    <col min="13" max="13" width="13.28515625" style="1" customWidth="1"/>
    <col min="14" max="14" width="14" style="1" customWidth="1"/>
    <col min="15" max="15" width="14.140625" style="1" customWidth="1"/>
    <col min="16" max="16" width="13.7109375" style="1" bestFit="1" customWidth="1"/>
    <col min="17" max="20" width="11.42578125" style="1" customWidth="1"/>
    <col min="21" max="22" width="15.28515625" style="1" customWidth="1"/>
    <col min="23" max="23" width="11" style="1" customWidth="1"/>
    <col min="24" max="24" width="10.5703125" style="1" customWidth="1"/>
    <col min="25" max="25" width="13.28515625" style="1" customWidth="1"/>
    <col min="26" max="16384" width="9.140625" style="1"/>
  </cols>
  <sheetData>
    <row r="1" spans="1:23" x14ac:dyDescent="0.2">
      <c r="O1" s="272" t="s">
        <v>94</v>
      </c>
      <c r="P1" s="272"/>
      <c r="Q1" s="272"/>
      <c r="R1" s="272"/>
      <c r="S1" s="272"/>
      <c r="T1" s="272"/>
      <c r="U1" s="272"/>
      <c r="V1" s="272"/>
    </row>
    <row r="3" spans="1:23" x14ac:dyDescent="0.2">
      <c r="A3" s="273" t="s">
        <v>29</v>
      </c>
      <c r="B3" s="273"/>
      <c r="C3" s="273"/>
      <c r="D3" s="273"/>
      <c r="E3" s="273"/>
      <c r="F3" s="273"/>
      <c r="G3" s="273"/>
      <c r="H3" s="273"/>
      <c r="I3" s="273"/>
      <c r="J3" s="273"/>
      <c r="K3" s="273"/>
      <c r="L3" s="273"/>
      <c r="M3" s="273"/>
      <c r="N3" s="273"/>
      <c r="O3" s="273"/>
      <c r="P3" s="273"/>
      <c r="Q3" s="273"/>
      <c r="R3" s="273"/>
      <c r="S3" s="273"/>
      <c r="T3" s="273"/>
      <c r="U3" s="273"/>
      <c r="V3" s="273"/>
    </row>
    <row r="4" spans="1:23" x14ac:dyDescent="0.2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</row>
    <row r="5" spans="1:23" ht="13.5" thickBot="1" x14ac:dyDescent="0.25">
      <c r="D5" s="7"/>
      <c r="E5" s="8"/>
      <c r="F5" s="8"/>
      <c r="O5" s="8"/>
      <c r="P5" s="8"/>
      <c r="Q5" s="8"/>
      <c r="R5" s="274" t="s">
        <v>0</v>
      </c>
      <c r="S5" s="274"/>
      <c r="T5" s="274"/>
      <c r="U5" s="274"/>
      <c r="V5" s="274"/>
    </row>
    <row r="6" spans="1:23" ht="12.75" customHeight="1" x14ac:dyDescent="0.2">
      <c r="A6" s="269" t="s">
        <v>1</v>
      </c>
      <c r="B6" s="266" t="s">
        <v>2</v>
      </c>
      <c r="C6" s="9" t="s">
        <v>3</v>
      </c>
      <c r="D6" s="9" t="s">
        <v>23</v>
      </c>
      <c r="E6" s="9" t="s">
        <v>3</v>
      </c>
      <c r="F6" s="9" t="s">
        <v>3</v>
      </c>
      <c r="G6" s="9" t="s">
        <v>18</v>
      </c>
      <c r="H6" s="10" t="s">
        <v>24</v>
      </c>
      <c r="I6" s="10" t="s">
        <v>116</v>
      </c>
      <c r="J6" s="10" t="s">
        <v>116</v>
      </c>
      <c r="K6" s="10" t="s">
        <v>117</v>
      </c>
      <c r="L6" s="10" t="s">
        <v>116</v>
      </c>
      <c r="M6" s="10" t="s">
        <v>81</v>
      </c>
      <c r="N6" s="10" t="s">
        <v>83</v>
      </c>
      <c r="O6" s="10" t="s">
        <v>120</v>
      </c>
      <c r="P6" s="10" t="s">
        <v>120</v>
      </c>
      <c r="Q6" s="10" t="s">
        <v>121</v>
      </c>
      <c r="R6" s="10" t="s">
        <v>121</v>
      </c>
      <c r="S6" s="10" t="s">
        <v>122</v>
      </c>
      <c r="T6" s="10" t="s">
        <v>116</v>
      </c>
      <c r="U6" s="10" t="s">
        <v>123</v>
      </c>
      <c r="V6" s="209" t="s">
        <v>116</v>
      </c>
    </row>
    <row r="7" spans="1:23" x14ac:dyDescent="0.2">
      <c r="A7" s="270"/>
      <c r="B7" s="267"/>
      <c r="C7" s="11" t="s">
        <v>4</v>
      </c>
      <c r="D7" s="11" t="s">
        <v>27</v>
      </c>
      <c r="E7" s="11" t="s">
        <v>17</v>
      </c>
      <c r="F7" s="11" t="s">
        <v>17</v>
      </c>
      <c r="G7" s="11" t="s">
        <v>115</v>
      </c>
      <c r="H7" s="12" t="s">
        <v>25</v>
      </c>
      <c r="I7" s="12" t="s">
        <v>77</v>
      </c>
      <c r="J7" s="12" t="s">
        <v>47</v>
      </c>
      <c r="K7" s="12" t="s">
        <v>78</v>
      </c>
      <c r="L7" s="12" t="s">
        <v>79</v>
      </c>
      <c r="M7" s="12" t="s">
        <v>82</v>
      </c>
      <c r="N7" s="210" t="s">
        <v>119</v>
      </c>
      <c r="O7" s="12" t="s">
        <v>43</v>
      </c>
      <c r="P7" s="12" t="s">
        <v>43</v>
      </c>
      <c r="Q7" s="12" t="s">
        <v>28</v>
      </c>
      <c r="R7" s="12" t="s">
        <v>37</v>
      </c>
      <c r="S7" s="12" t="s">
        <v>43</v>
      </c>
      <c r="T7" s="12" t="s">
        <v>43</v>
      </c>
      <c r="U7" s="12" t="s">
        <v>112</v>
      </c>
      <c r="V7" s="111" t="s">
        <v>112</v>
      </c>
      <c r="W7" s="2"/>
    </row>
    <row r="8" spans="1:23" x14ac:dyDescent="0.2">
      <c r="A8" s="270"/>
      <c r="B8" s="267"/>
      <c r="C8" s="13"/>
      <c r="D8" s="11" t="s">
        <v>26</v>
      </c>
      <c r="E8" s="11" t="s">
        <v>7</v>
      </c>
      <c r="F8" s="7" t="s">
        <v>6</v>
      </c>
      <c r="G8" s="11" t="s">
        <v>19</v>
      </c>
      <c r="H8" s="11" t="s">
        <v>109</v>
      </c>
      <c r="I8" s="11" t="s">
        <v>5</v>
      </c>
      <c r="J8" s="11" t="s">
        <v>5</v>
      </c>
      <c r="K8" s="12"/>
      <c r="L8" s="12" t="s">
        <v>80</v>
      </c>
      <c r="M8" s="12" t="s">
        <v>118</v>
      </c>
      <c r="N8" s="12"/>
      <c r="O8" s="12" t="s">
        <v>28</v>
      </c>
      <c r="P8" s="12" t="s">
        <v>37</v>
      </c>
      <c r="Q8" s="12" t="s">
        <v>7</v>
      </c>
      <c r="R8" s="12" t="s">
        <v>38</v>
      </c>
      <c r="S8" s="12" t="s">
        <v>28</v>
      </c>
      <c r="T8" s="12" t="s">
        <v>37</v>
      </c>
      <c r="U8" s="12" t="s">
        <v>66</v>
      </c>
      <c r="V8" s="111" t="s">
        <v>66</v>
      </c>
    </row>
    <row r="9" spans="1:23" x14ac:dyDescent="0.2">
      <c r="A9" s="270"/>
      <c r="B9" s="267"/>
      <c r="C9" s="13"/>
      <c r="D9" s="11"/>
      <c r="E9" s="11" t="s">
        <v>8</v>
      </c>
      <c r="F9" s="7"/>
      <c r="G9" s="11"/>
      <c r="H9" s="11"/>
      <c r="I9" s="11"/>
      <c r="J9" s="11"/>
      <c r="K9" s="12"/>
      <c r="L9" s="12"/>
      <c r="M9" s="12"/>
      <c r="N9" s="12"/>
      <c r="O9" s="12" t="s">
        <v>7</v>
      </c>
      <c r="P9" s="12" t="s">
        <v>38</v>
      </c>
      <c r="Q9" s="11" t="s">
        <v>39</v>
      </c>
      <c r="R9" s="12" t="s">
        <v>39</v>
      </c>
      <c r="S9" s="12" t="s">
        <v>7</v>
      </c>
      <c r="T9" s="12" t="s">
        <v>38</v>
      </c>
      <c r="U9" s="12" t="s">
        <v>39</v>
      </c>
      <c r="V9" s="111" t="s">
        <v>39</v>
      </c>
    </row>
    <row r="10" spans="1:23" x14ac:dyDescent="0.2">
      <c r="A10" s="271"/>
      <c r="B10" s="268"/>
      <c r="C10" s="13"/>
      <c r="D10" s="11"/>
      <c r="E10" s="14"/>
      <c r="F10" s="7"/>
      <c r="G10" s="14"/>
      <c r="H10" s="14"/>
      <c r="I10" s="14"/>
      <c r="J10" s="14"/>
      <c r="K10" s="11"/>
      <c r="L10" s="11"/>
      <c r="M10" s="11"/>
      <c r="N10" s="11"/>
      <c r="O10" s="11" t="s">
        <v>8</v>
      </c>
      <c r="P10" s="11" t="s">
        <v>39</v>
      </c>
      <c r="Q10" s="14" t="s">
        <v>85</v>
      </c>
      <c r="R10" s="90" t="s">
        <v>85</v>
      </c>
      <c r="S10" s="11" t="s">
        <v>8</v>
      </c>
      <c r="T10" s="11" t="s">
        <v>39</v>
      </c>
      <c r="U10" s="12" t="s">
        <v>84</v>
      </c>
      <c r="V10" s="112" t="s">
        <v>84</v>
      </c>
    </row>
    <row r="11" spans="1:23" x14ac:dyDescent="0.2">
      <c r="A11" s="15" t="s">
        <v>9</v>
      </c>
      <c r="B11" s="16" t="s">
        <v>10</v>
      </c>
      <c r="C11" s="16" t="s">
        <v>11</v>
      </c>
      <c r="D11" s="16" t="s">
        <v>12</v>
      </c>
      <c r="E11" s="16" t="s">
        <v>13</v>
      </c>
      <c r="F11" s="16" t="s">
        <v>14</v>
      </c>
      <c r="G11" s="16" t="s">
        <v>15</v>
      </c>
      <c r="H11" s="16" t="s">
        <v>30</v>
      </c>
      <c r="I11" s="16" t="s">
        <v>20</v>
      </c>
      <c r="J11" s="16" t="s">
        <v>40</v>
      </c>
      <c r="K11" s="16" t="s">
        <v>21</v>
      </c>
      <c r="L11" s="16" t="s">
        <v>31</v>
      </c>
      <c r="M11" s="16" t="s">
        <v>52</v>
      </c>
      <c r="N11" s="16" t="s">
        <v>65</v>
      </c>
      <c r="O11" s="16" t="s">
        <v>86</v>
      </c>
      <c r="P11" s="16" t="s">
        <v>87</v>
      </c>
      <c r="Q11" s="16" t="s">
        <v>88</v>
      </c>
      <c r="R11" s="16" t="s">
        <v>89</v>
      </c>
      <c r="S11" s="16" t="s">
        <v>90</v>
      </c>
      <c r="T11" s="16" t="s">
        <v>91</v>
      </c>
      <c r="U11" s="16" t="s">
        <v>92</v>
      </c>
      <c r="V11" s="113" t="s">
        <v>93</v>
      </c>
    </row>
    <row r="12" spans="1:23" x14ac:dyDescent="0.2">
      <c r="A12" s="264" t="s">
        <v>34</v>
      </c>
      <c r="B12" s="265"/>
      <c r="C12" s="16"/>
      <c r="D12" s="16"/>
      <c r="E12" s="16"/>
      <c r="F12" s="16"/>
      <c r="G12" s="17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91"/>
      <c r="S12" s="91"/>
      <c r="T12" s="91"/>
      <c r="U12" s="91"/>
      <c r="V12" s="113"/>
    </row>
    <row r="13" spans="1:23" x14ac:dyDescent="0.2">
      <c r="A13" s="37" t="s">
        <v>22</v>
      </c>
      <c r="B13" s="38" t="s">
        <v>16</v>
      </c>
      <c r="C13" s="38"/>
      <c r="D13" s="39"/>
      <c r="E13" s="38"/>
      <c r="F13" s="38"/>
      <c r="G13" s="38"/>
      <c r="H13" s="39"/>
      <c r="I13" s="39"/>
      <c r="J13" s="38"/>
      <c r="K13" s="38"/>
      <c r="L13" s="38"/>
      <c r="M13" s="38"/>
      <c r="N13" s="38"/>
      <c r="O13" s="38"/>
      <c r="P13" s="38"/>
      <c r="Q13" s="38"/>
      <c r="R13" s="92"/>
      <c r="S13" s="92"/>
      <c r="T13" s="92"/>
      <c r="U13" s="92"/>
      <c r="V13" s="114"/>
    </row>
    <row r="14" spans="1:23" ht="33.75" customHeight="1" x14ac:dyDescent="0.2">
      <c r="A14" s="54" t="s">
        <v>44</v>
      </c>
      <c r="B14" s="137" t="s">
        <v>54</v>
      </c>
      <c r="C14" s="60">
        <f>SUM(C15:C18)</f>
        <v>522403</v>
      </c>
      <c r="D14" s="57"/>
      <c r="E14" s="60">
        <f>SUM(E15:E18)</f>
        <v>474912</v>
      </c>
      <c r="F14" s="60">
        <f>SUM(F15:F18)</f>
        <v>47491</v>
      </c>
      <c r="G14" s="60">
        <f>SUM(G15:G18)</f>
        <v>473544</v>
      </c>
      <c r="H14" s="58">
        <f t="shared" ref="H14:H27" si="0">(G14/C14)*100</f>
        <v>90.647258916966393</v>
      </c>
      <c r="I14" s="57">
        <f>SUM(I15:I18)</f>
        <v>48859</v>
      </c>
      <c r="J14" s="60">
        <f>SUM(J15:J18)</f>
        <v>48859</v>
      </c>
      <c r="K14" s="60">
        <f>SUM(K15:K18)</f>
        <v>19433</v>
      </c>
      <c r="L14" s="186">
        <f>SUM(L15:L18)</f>
        <v>1.5931670277495305</v>
      </c>
      <c r="M14" s="60">
        <f>SUM(M15:M18)</f>
        <v>492977</v>
      </c>
      <c r="N14" s="187">
        <f>(M14/C14)*100</f>
        <v>94.367183955681725</v>
      </c>
      <c r="O14" s="60">
        <f>SUM(O15:O17)</f>
        <v>470163</v>
      </c>
      <c r="P14" s="60">
        <f>SUM(P15:P17)</f>
        <v>0</v>
      </c>
      <c r="Q14" s="60">
        <f>SUM(Q15:Q17)</f>
        <v>4749</v>
      </c>
      <c r="R14" s="96">
        <f>SUM(R15:R17)</f>
        <v>0</v>
      </c>
      <c r="S14" s="96">
        <f>SUM(S15:S16)</f>
        <v>0</v>
      </c>
      <c r="T14" s="96">
        <v>0</v>
      </c>
      <c r="U14" s="96">
        <v>0</v>
      </c>
      <c r="V14" s="118">
        <f>SUM(V16:V18)</f>
        <v>8</v>
      </c>
      <c r="W14" s="2"/>
    </row>
    <row r="15" spans="1:23" ht="15" customHeight="1" x14ac:dyDescent="0.2">
      <c r="A15" s="45"/>
      <c r="B15" s="41" t="s">
        <v>60</v>
      </c>
      <c r="C15" s="46">
        <f>G15+J15</f>
        <v>368975</v>
      </c>
      <c r="D15" s="47">
        <v>100</v>
      </c>
      <c r="E15" s="46">
        <f>G15+J15</f>
        <v>368975</v>
      </c>
      <c r="F15" s="46">
        <v>0</v>
      </c>
      <c r="G15" s="46">
        <f>2784+10456+227628+107106-14</f>
        <v>347960</v>
      </c>
      <c r="H15" s="48">
        <f>(G15/C15)*100</f>
        <v>94.304492174266557</v>
      </c>
      <c r="I15" s="47">
        <v>21073</v>
      </c>
      <c r="J15" s="46">
        <v>21015</v>
      </c>
      <c r="K15" s="46">
        <v>11965</v>
      </c>
      <c r="L15" s="175">
        <f>K15/J15</f>
        <v>0.56935522246014747</v>
      </c>
      <c r="M15" s="46">
        <f>K15+G15</f>
        <v>359925</v>
      </c>
      <c r="N15" s="176">
        <f t="shared" ref="N15:N27" si="1">(M15/C15)*100</f>
        <v>97.547259299410527</v>
      </c>
      <c r="O15" s="46">
        <v>368975</v>
      </c>
      <c r="P15" s="46">
        <v>0</v>
      </c>
      <c r="Q15" s="46"/>
      <c r="R15" s="93">
        <v>0</v>
      </c>
      <c r="S15" s="93">
        <v>0</v>
      </c>
      <c r="T15" s="93">
        <v>0</v>
      </c>
      <c r="U15" s="93">
        <v>0</v>
      </c>
      <c r="V15" s="115">
        <v>0</v>
      </c>
      <c r="W15" s="2"/>
    </row>
    <row r="16" spans="1:23" ht="15" customHeight="1" x14ac:dyDescent="0.2">
      <c r="A16" s="42"/>
      <c r="B16" s="132" t="s">
        <v>69</v>
      </c>
      <c r="C16" s="43">
        <f>G16+J16</f>
        <v>105937</v>
      </c>
      <c r="D16" s="44">
        <v>100</v>
      </c>
      <c r="E16" s="43">
        <f>G16+J16</f>
        <v>105937</v>
      </c>
      <c r="F16" s="43">
        <v>0</v>
      </c>
      <c r="G16" s="43">
        <f>2446+52532+64+48014+21</f>
        <v>103077</v>
      </c>
      <c r="H16" s="65">
        <f t="shared" si="0"/>
        <v>97.300282243220025</v>
      </c>
      <c r="I16" s="44">
        <v>2809</v>
      </c>
      <c r="J16" s="43">
        <v>2860</v>
      </c>
      <c r="K16" s="43">
        <v>2860</v>
      </c>
      <c r="L16" s="177">
        <f>K16/J16</f>
        <v>1</v>
      </c>
      <c r="M16" s="43">
        <f>K16+G16</f>
        <v>105937</v>
      </c>
      <c r="N16" s="178">
        <f t="shared" si="1"/>
        <v>100</v>
      </c>
      <c r="O16" s="43">
        <v>101188</v>
      </c>
      <c r="P16" s="43">
        <v>0</v>
      </c>
      <c r="Q16" s="43">
        <v>4749</v>
      </c>
      <c r="R16" s="94"/>
      <c r="S16" s="94">
        <v>0</v>
      </c>
      <c r="T16" s="94">
        <v>0</v>
      </c>
      <c r="U16" s="94">
        <v>0</v>
      </c>
      <c r="V16" s="116">
        <v>0</v>
      </c>
    </row>
    <row r="17" spans="1:22" s="75" customFormat="1" ht="26.25" customHeight="1" x14ac:dyDescent="0.2">
      <c r="A17" s="45"/>
      <c r="B17" s="69" t="s">
        <v>68</v>
      </c>
      <c r="C17" s="46">
        <f>G17+J17</f>
        <v>42444</v>
      </c>
      <c r="D17" s="47"/>
      <c r="E17" s="46">
        <v>0</v>
      </c>
      <c r="F17" s="46">
        <f>G17+J17</f>
        <v>42444</v>
      </c>
      <c r="G17" s="46">
        <f>6248+15310+14</f>
        <v>21572</v>
      </c>
      <c r="H17" s="48">
        <f t="shared" si="0"/>
        <v>50.824615964565076</v>
      </c>
      <c r="I17" s="47">
        <v>24977</v>
      </c>
      <c r="J17" s="46">
        <v>20872</v>
      </c>
      <c r="K17" s="46">
        <v>497</v>
      </c>
      <c r="L17" s="175">
        <f>K17/J17</f>
        <v>2.3811805289382905E-2</v>
      </c>
      <c r="M17" s="46">
        <f>K17+G17</f>
        <v>22069</v>
      </c>
      <c r="N17" s="176">
        <f t="shared" si="1"/>
        <v>51.995570634247478</v>
      </c>
      <c r="O17" s="46">
        <v>0</v>
      </c>
      <c r="P17" s="46">
        <v>0</v>
      </c>
      <c r="Q17" s="46">
        <v>0</v>
      </c>
      <c r="R17" s="93">
        <v>0</v>
      </c>
      <c r="S17" s="93"/>
      <c r="T17" s="93">
        <v>0</v>
      </c>
      <c r="U17" s="93">
        <v>0</v>
      </c>
      <c r="V17" s="115">
        <v>0</v>
      </c>
    </row>
    <row r="18" spans="1:22" ht="30.75" customHeight="1" thickBot="1" x14ac:dyDescent="0.25">
      <c r="A18" s="61"/>
      <c r="B18" s="76" t="s">
        <v>70</v>
      </c>
      <c r="C18" s="63">
        <f>G18+J18</f>
        <v>5047</v>
      </c>
      <c r="D18" s="64"/>
      <c r="E18" s="63">
        <v>0</v>
      </c>
      <c r="F18" s="63">
        <f>G18+J18</f>
        <v>5047</v>
      </c>
      <c r="G18" s="63">
        <f>348+495+113-21</f>
        <v>935</v>
      </c>
      <c r="H18" s="87">
        <f t="shared" si="0"/>
        <v>18.525856944719635</v>
      </c>
      <c r="I18" s="64">
        <v>0</v>
      </c>
      <c r="J18" s="63">
        <v>4112</v>
      </c>
      <c r="K18" s="63">
        <v>4111</v>
      </c>
      <c r="L18" s="181">
        <v>0</v>
      </c>
      <c r="M18" s="63">
        <f>K18+G18</f>
        <v>5046</v>
      </c>
      <c r="N18" s="182">
        <f t="shared" si="1"/>
        <v>99.980186249256988</v>
      </c>
      <c r="O18" s="63"/>
      <c r="P18" s="63">
        <v>0</v>
      </c>
      <c r="Q18" s="63">
        <v>0</v>
      </c>
      <c r="R18" s="95">
        <v>0</v>
      </c>
      <c r="S18" s="95"/>
      <c r="T18" s="95">
        <v>0</v>
      </c>
      <c r="U18" s="95">
        <v>0</v>
      </c>
      <c r="V18" s="117">
        <v>8</v>
      </c>
    </row>
    <row r="19" spans="1:22" ht="31.5" customHeight="1" x14ac:dyDescent="0.2">
      <c r="A19" s="54" t="s">
        <v>45</v>
      </c>
      <c r="B19" s="137" t="s">
        <v>55</v>
      </c>
      <c r="C19" s="60">
        <f>SUM(C20:C23)</f>
        <v>202515</v>
      </c>
      <c r="D19" s="57"/>
      <c r="E19" s="60">
        <f>SUM(E20:E22)</f>
        <v>186650</v>
      </c>
      <c r="F19" s="60">
        <f>SUM(F20:F23)</f>
        <v>15865</v>
      </c>
      <c r="G19" s="60">
        <f>SUM(G20:G23)</f>
        <v>202515</v>
      </c>
      <c r="H19" s="58">
        <f t="shared" si="0"/>
        <v>100</v>
      </c>
      <c r="I19" s="160">
        <f>SUM(I20:I23)</f>
        <v>0</v>
      </c>
      <c r="J19" s="106">
        <f>SUM(J20:J23)</f>
        <v>0</v>
      </c>
      <c r="K19" s="106">
        <f>SUM(K20:K23)</f>
        <v>0</v>
      </c>
      <c r="L19" s="175">
        <v>0</v>
      </c>
      <c r="M19" s="106">
        <f>SUM(M20:M23)</f>
        <v>202515</v>
      </c>
      <c r="N19" s="184">
        <f>(M19/C19)*100</f>
        <v>100</v>
      </c>
      <c r="O19" s="60">
        <f>SUM(O20:O22)</f>
        <v>179822</v>
      </c>
      <c r="P19" s="60">
        <f>SUM(P20:P22)</f>
        <v>0</v>
      </c>
      <c r="Q19" s="60">
        <f>SUM(Q20:Q23)</f>
        <v>6828</v>
      </c>
      <c r="R19" s="96">
        <f>SUM(R20:R22)</f>
        <v>0</v>
      </c>
      <c r="S19" s="96">
        <f>SUM(S20:S21)</f>
        <v>6828</v>
      </c>
      <c r="T19" s="96">
        <v>0</v>
      </c>
      <c r="U19" s="96">
        <v>0</v>
      </c>
      <c r="V19" s="118">
        <v>0</v>
      </c>
    </row>
    <row r="20" spans="1:22" x14ac:dyDescent="0.2">
      <c r="A20" s="45"/>
      <c r="B20" s="41" t="s">
        <v>60</v>
      </c>
      <c r="C20" s="46">
        <f>G20+J20</f>
        <v>145798</v>
      </c>
      <c r="D20" s="47">
        <v>100</v>
      </c>
      <c r="E20" s="46">
        <f>G20+J20</f>
        <v>145798</v>
      </c>
      <c r="F20" s="46">
        <v>0</v>
      </c>
      <c r="G20" s="46">
        <f>2681+105950+41650-4022-461</f>
        <v>145798</v>
      </c>
      <c r="H20" s="48">
        <f>(G20/C20)*100</f>
        <v>100</v>
      </c>
      <c r="I20" s="47">
        <v>0</v>
      </c>
      <c r="J20" s="46">
        <v>0</v>
      </c>
      <c r="K20" s="46">
        <v>0</v>
      </c>
      <c r="L20" s="175">
        <v>0</v>
      </c>
      <c r="M20" s="46">
        <f>K20+G20</f>
        <v>145798</v>
      </c>
      <c r="N20" s="176">
        <f t="shared" si="1"/>
        <v>100</v>
      </c>
      <c r="O20" s="46">
        <v>145798</v>
      </c>
      <c r="P20" s="46">
        <v>0</v>
      </c>
      <c r="Q20" s="46"/>
      <c r="R20" s="93">
        <v>0</v>
      </c>
      <c r="S20" s="93">
        <v>0</v>
      </c>
      <c r="T20" s="93">
        <v>0</v>
      </c>
      <c r="U20" s="93">
        <v>0</v>
      </c>
      <c r="V20" s="115">
        <v>0</v>
      </c>
    </row>
    <row r="21" spans="1:22" x14ac:dyDescent="0.2">
      <c r="A21" s="45"/>
      <c r="B21" s="69" t="s">
        <v>61</v>
      </c>
      <c r="C21" s="46">
        <f>G21+J21</f>
        <v>40852</v>
      </c>
      <c r="D21" s="47">
        <v>100</v>
      </c>
      <c r="E21" s="46">
        <f>G21+J21</f>
        <v>40852</v>
      </c>
      <c r="F21" s="46">
        <v>0</v>
      </c>
      <c r="G21" s="46">
        <f>17869+21722+1261</f>
        <v>40852</v>
      </c>
      <c r="H21" s="48">
        <f>(G21/C21)*100</f>
        <v>100</v>
      </c>
      <c r="I21" s="44">
        <v>0</v>
      </c>
      <c r="J21" s="43">
        <v>0</v>
      </c>
      <c r="K21" s="43">
        <v>0</v>
      </c>
      <c r="L21" s="177">
        <v>0</v>
      </c>
      <c r="M21" s="43">
        <f>K21+G21</f>
        <v>40852</v>
      </c>
      <c r="N21" s="178">
        <f t="shared" si="1"/>
        <v>100</v>
      </c>
      <c r="O21" s="43">
        <v>34024</v>
      </c>
      <c r="P21" s="43">
        <v>0</v>
      </c>
      <c r="Q21" s="43">
        <v>6828</v>
      </c>
      <c r="R21" s="94"/>
      <c r="S21" s="94">
        <v>6828</v>
      </c>
      <c r="T21" s="94">
        <v>0</v>
      </c>
      <c r="U21" s="94">
        <v>0</v>
      </c>
      <c r="V21" s="116">
        <v>0</v>
      </c>
    </row>
    <row r="22" spans="1:22" ht="27" customHeight="1" x14ac:dyDescent="0.2">
      <c r="A22" s="70"/>
      <c r="B22" s="71" t="s">
        <v>68</v>
      </c>
      <c r="C22" s="72">
        <f>G22+J22</f>
        <v>15761</v>
      </c>
      <c r="D22" s="73">
        <v>0</v>
      </c>
      <c r="E22" s="72">
        <v>0</v>
      </c>
      <c r="F22" s="72">
        <f>J22+G22</f>
        <v>15761</v>
      </c>
      <c r="G22" s="72">
        <f>2579+3500+5200-1+461+4022</f>
        <v>15761</v>
      </c>
      <c r="H22" s="74">
        <f t="shared" si="0"/>
        <v>100</v>
      </c>
      <c r="I22" s="73">
        <v>0</v>
      </c>
      <c r="J22" s="72">
        <v>0</v>
      </c>
      <c r="K22" s="72">
        <v>0</v>
      </c>
      <c r="L22" s="179">
        <v>0</v>
      </c>
      <c r="M22" s="72">
        <f>K22+G22</f>
        <v>15761</v>
      </c>
      <c r="N22" s="180">
        <f>(M22/C22)*100</f>
        <v>100</v>
      </c>
      <c r="O22" s="46">
        <v>0</v>
      </c>
      <c r="P22" s="46">
        <v>0</v>
      </c>
      <c r="Q22" s="46">
        <v>0</v>
      </c>
      <c r="R22" s="93">
        <v>0</v>
      </c>
      <c r="S22" s="93"/>
      <c r="T22" s="93">
        <v>0</v>
      </c>
      <c r="U22" s="93">
        <v>0</v>
      </c>
      <c r="V22" s="115">
        <v>0</v>
      </c>
    </row>
    <row r="23" spans="1:22" s="8" customFormat="1" ht="33" customHeight="1" thickBot="1" x14ac:dyDescent="0.25">
      <c r="A23" s="61"/>
      <c r="B23" s="76" t="s">
        <v>70</v>
      </c>
      <c r="C23" s="63">
        <f>G23+J23</f>
        <v>104</v>
      </c>
      <c r="D23" s="64">
        <v>0</v>
      </c>
      <c r="E23" s="63">
        <v>0</v>
      </c>
      <c r="F23" s="63">
        <f>J23+G23</f>
        <v>104</v>
      </c>
      <c r="G23" s="63">
        <f>10+22+72</f>
        <v>104</v>
      </c>
      <c r="H23" s="87">
        <f t="shared" si="0"/>
        <v>100</v>
      </c>
      <c r="I23" s="64">
        <v>0</v>
      </c>
      <c r="J23" s="63">
        <v>0</v>
      </c>
      <c r="K23" s="63">
        <v>0</v>
      </c>
      <c r="L23" s="175">
        <v>0</v>
      </c>
      <c r="M23" s="63">
        <f>K23+G23</f>
        <v>104</v>
      </c>
      <c r="N23" s="182">
        <f t="shared" si="1"/>
        <v>100</v>
      </c>
      <c r="O23" s="63">
        <v>0</v>
      </c>
      <c r="P23" s="63">
        <v>0</v>
      </c>
      <c r="Q23" s="63">
        <v>0</v>
      </c>
      <c r="R23" s="95">
        <v>0</v>
      </c>
      <c r="S23" s="95"/>
      <c r="T23" s="95">
        <v>0</v>
      </c>
      <c r="U23" s="95">
        <v>0</v>
      </c>
      <c r="V23" s="117">
        <v>0</v>
      </c>
    </row>
    <row r="24" spans="1:22" ht="30.75" customHeight="1" x14ac:dyDescent="0.2">
      <c r="A24" s="54" t="s">
        <v>46</v>
      </c>
      <c r="B24" s="135" t="s">
        <v>56</v>
      </c>
      <c r="C24" s="60">
        <f>SUM(C25:C28)</f>
        <v>509760</v>
      </c>
      <c r="D24" s="57"/>
      <c r="E24" s="60">
        <f>SUM(E25:E27)</f>
        <v>458682</v>
      </c>
      <c r="F24" s="60">
        <f>SUM(F25:F28)</f>
        <v>51078</v>
      </c>
      <c r="G24" s="60">
        <f>SUM(G25:G28)</f>
        <v>369152</v>
      </c>
      <c r="H24" s="58">
        <f t="shared" si="0"/>
        <v>72.416823603264277</v>
      </c>
      <c r="I24" s="160">
        <f>SUM(I25:I28)</f>
        <v>135319</v>
      </c>
      <c r="J24" s="106">
        <f>SUM(J25:J28)</f>
        <v>140608</v>
      </c>
      <c r="K24" s="106">
        <f>SUM(K25:K28)</f>
        <v>140066</v>
      </c>
      <c r="L24" s="183">
        <f>K24/J24</f>
        <v>0.99614531178880295</v>
      </c>
      <c r="M24" s="106">
        <f>SUM(M25:M28)</f>
        <v>509218</v>
      </c>
      <c r="N24" s="184">
        <f>(M24/C24)*100</f>
        <v>99.893675455116139</v>
      </c>
      <c r="O24" s="60">
        <f>SUM(O25:O27)</f>
        <v>421677</v>
      </c>
      <c r="P24" s="60">
        <f>SUM(P25:P27)</f>
        <v>0</v>
      </c>
      <c r="Q24" s="60">
        <f>SUM(Q25:Q27)</f>
        <v>37005</v>
      </c>
      <c r="R24" s="96">
        <f>SUM(R25:R27)</f>
        <v>0</v>
      </c>
      <c r="S24" s="96">
        <f>SUM(S25:S26)</f>
        <v>8858</v>
      </c>
      <c r="T24" s="96">
        <v>0</v>
      </c>
      <c r="U24" s="96">
        <f>SUM(U25:U28)</f>
        <v>0</v>
      </c>
      <c r="V24" s="118">
        <v>0</v>
      </c>
    </row>
    <row r="25" spans="1:22" ht="15.75" customHeight="1" x14ac:dyDescent="0.2">
      <c r="A25" s="45"/>
      <c r="B25" s="41" t="s">
        <v>60</v>
      </c>
      <c r="C25" s="46">
        <f>G25+J25</f>
        <v>356984</v>
      </c>
      <c r="D25" s="47">
        <v>100</v>
      </c>
      <c r="E25" s="46">
        <f>G25+J25</f>
        <v>356984</v>
      </c>
      <c r="F25" s="46">
        <v>0</v>
      </c>
      <c r="G25" s="46">
        <f>4407+11290-2477-89+13093-1+244204-210</f>
        <v>270217</v>
      </c>
      <c r="H25" s="48">
        <f>(G25/C25)*100</f>
        <v>75.694428881966701</v>
      </c>
      <c r="I25" s="47">
        <v>73428</v>
      </c>
      <c r="J25" s="46">
        <v>86767</v>
      </c>
      <c r="K25" s="110">
        <v>86342</v>
      </c>
      <c r="L25" s="185">
        <f>K25/J25</f>
        <v>0.99510182442633721</v>
      </c>
      <c r="M25" s="46">
        <f>K25+G25</f>
        <v>356559</v>
      </c>
      <c r="N25" s="176">
        <f t="shared" si="1"/>
        <v>99.880947045245733</v>
      </c>
      <c r="O25" s="46">
        <v>343855</v>
      </c>
      <c r="P25" s="46">
        <v>0</v>
      </c>
      <c r="Q25" s="46">
        <v>13129</v>
      </c>
      <c r="R25" s="46">
        <v>0</v>
      </c>
      <c r="S25" s="46">
        <v>0</v>
      </c>
      <c r="T25" s="46">
        <v>0</v>
      </c>
      <c r="U25" s="110">
        <v>0</v>
      </c>
      <c r="V25" s="109">
        <v>0</v>
      </c>
    </row>
    <row r="26" spans="1:22" ht="15.75" customHeight="1" x14ac:dyDescent="0.2">
      <c r="A26" s="42"/>
      <c r="B26" s="40" t="s">
        <v>95</v>
      </c>
      <c r="C26" s="43">
        <f>G26+J26</f>
        <v>101698</v>
      </c>
      <c r="D26" s="44"/>
      <c r="E26" s="43">
        <f>G26+J26</f>
        <v>101698</v>
      </c>
      <c r="F26" s="43">
        <v>0</v>
      </c>
      <c r="G26" s="43">
        <f>0+7302+67752-56</f>
        <v>74998</v>
      </c>
      <c r="H26" s="65">
        <f t="shared" si="0"/>
        <v>73.74579637750989</v>
      </c>
      <c r="I26" s="44">
        <v>20988</v>
      </c>
      <c r="J26" s="43">
        <v>26700</v>
      </c>
      <c r="K26" s="43">
        <v>26583</v>
      </c>
      <c r="L26" s="177">
        <f>K26/J26</f>
        <v>0.99561797752808989</v>
      </c>
      <c r="M26" s="43">
        <f>K26+G26</f>
        <v>101581</v>
      </c>
      <c r="N26" s="178">
        <f t="shared" si="1"/>
        <v>99.884953489744149</v>
      </c>
      <c r="O26" s="43">
        <v>77822</v>
      </c>
      <c r="P26" s="43">
        <v>0</v>
      </c>
      <c r="Q26" s="43">
        <v>23876</v>
      </c>
      <c r="R26" s="94"/>
      <c r="S26" s="94">
        <v>8858</v>
      </c>
      <c r="T26" s="94"/>
      <c r="U26" s="43"/>
      <c r="V26" s="116"/>
    </row>
    <row r="27" spans="1:22" ht="26.25" customHeight="1" x14ac:dyDescent="0.2">
      <c r="A27" s="45"/>
      <c r="B27" s="41" t="s">
        <v>68</v>
      </c>
      <c r="C27" s="46">
        <f>G27+J27</f>
        <v>45897</v>
      </c>
      <c r="D27" s="47"/>
      <c r="E27" s="46">
        <v>0</v>
      </c>
      <c r="F27" s="46">
        <f>J27+G27</f>
        <v>45897</v>
      </c>
      <c r="G27" s="46">
        <f>5056+102+2477+89+1314+1+13560+209</f>
        <v>22808</v>
      </c>
      <c r="H27" s="74">
        <f t="shared" si="0"/>
        <v>49.693879774277185</v>
      </c>
      <c r="I27" s="47">
        <v>34884</v>
      </c>
      <c r="J27" s="46">
        <v>23089</v>
      </c>
      <c r="K27" s="46">
        <v>23089</v>
      </c>
      <c r="L27" s="175">
        <f>K27/J27</f>
        <v>1</v>
      </c>
      <c r="M27" s="46">
        <f>K27+G27</f>
        <v>45897</v>
      </c>
      <c r="N27" s="176">
        <f t="shared" si="1"/>
        <v>100</v>
      </c>
      <c r="O27" s="46">
        <v>0</v>
      </c>
      <c r="P27" s="46">
        <v>0</v>
      </c>
      <c r="Q27" s="46">
        <v>0</v>
      </c>
      <c r="R27" s="93">
        <v>0</v>
      </c>
      <c r="S27" s="93"/>
      <c r="T27" s="93">
        <v>0</v>
      </c>
      <c r="U27" s="93">
        <v>0</v>
      </c>
      <c r="V27" s="115">
        <v>0</v>
      </c>
    </row>
    <row r="28" spans="1:22" ht="26.25" customHeight="1" thickBot="1" x14ac:dyDescent="0.25">
      <c r="A28" s="61"/>
      <c r="B28" s="62" t="s">
        <v>70</v>
      </c>
      <c r="C28" s="79">
        <f>G28+J28</f>
        <v>5181</v>
      </c>
      <c r="D28" s="64"/>
      <c r="E28" s="63">
        <v>0</v>
      </c>
      <c r="F28" s="63">
        <f>G28+K28</f>
        <v>5181</v>
      </c>
      <c r="G28" s="95">
        <f>0+1044+28+57</f>
        <v>1129</v>
      </c>
      <c r="H28" s="87">
        <v>0</v>
      </c>
      <c r="I28" s="64">
        <v>6019</v>
      </c>
      <c r="J28" s="63">
        <v>4052</v>
      </c>
      <c r="K28" s="63">
        <v>4052</v>
      </c>
      <c r="L28" s="181">
        <v>0</v>
      </c>
      <c r="M28" s="63">
        <f>K28+G28</f>
        <v>5181</v>
      </c>
      <c r="N28" s="182">
        <v>0</v>
      </c>
      <c r="O28" s="63">
        <v>0</v>
      </c>
      <c r="P28" s="63">
        <v>0</v>
      </c>
      <c r="Q28" s="63">
        <v>0</v>
      </c>
      <c r="R28" s="95">
        <v>0</v>
      </c>
      <c r="S28" s="95"/>
      <c r="T28" s="95">
        <v>0</v>
      </c>
      <c r="U28" s="95">
        <v>0</v>
      </c>
      <c r="V28" s="117">
        <v>0</v>
      </c>
    </row>
    <row r="29" spans="1:22" ht="43.5" customHeight="1" x14ac:dyDescent="0.2">
      <c r="A29" s="54" t="s">
        <v>48</v>
      </c>
      <c r="B29" s="138" t="s">
        <v>59</v>
      </c>
      <c r="C29" s="60">
        <f>SUM(C30:C35)</f>
        <v>251167</v>
      </c>
      <c r="D29" s="57"/>
      <c r="E29" s="60">
        <f>SUM(E30:E32)</f>
        <v>220079</v>
      </c>
      <c r="F29" s="60">
        <f>SUM(F30:F35)</f>
        <v>31088</v>
      </c>
      <c r="G29" s="60">
        <f>SUM(G30:G35)</f>
        <v>251167</v>
      </c>
      <c r="H29" s="58">
        <f t="shared" ref="H29:H41" si="2">(G29/C29)*100</f>
        <v>100</v>
      </c>
      <c r="I29" s="57">
        <f>SUM(I30:I35)</f>
        <v>0</v>
      </c>
      <c r="J29" s="60">
        <f>SUM(J30:J35)</f>
        <v>0</v>
      </c>
      <c r="K29" s="60">
        <f>SUM(K30:K35)</f>
        <v>0</v>
      </c>
      <c r="L29" s="186">
        <v>0</v>
      </c>
      <c r="M29" s="60">
        <f>SUM(M30:M35)</f>
        <v>251167</v>
      </c>
      <c r="N29" s="187">
        <f t="shared" ref="N29:N38" si="3">(M29/C29)*100</f>
        <v>100</v>
      </c>
      <c r="O29" s="60">
        <f>SUM(O30:O32)</f>
        <v>220069</v>
      </c>
      <c r="P29" s="60">
        <f>SUM(P30:P32)</f>
        <v>0</v>
      </c>
      <c r="Q29" s="60">
        <f>SUM(Q30:Q32)</f>
        <v>10</v>
      </c>
      <c r="R29" s="96">
        <f>SUM(R30:R32)</f>
        <v>0</v>
      </c>
      <c r="S29" s="96">
        <f>SUM(S30:S32)</f>
        <v>0</v>
      </c>
      <c r="T29" s="96">
        <v>0</v>
      </c>
      <c r="U29" s="96">
        <v>0</v>
      </c>
      <c r="V29" s="118">
        <f>SUM(V30:V35)</f>
        <v>0</v>
      </c>
    </row>
    <row r="30" spans="1:22" ht="18.75" customHeight="1" x14ac:dyDescent="0.2">
      <c r="A30" s="45"/>
      <c r="B30" s="41" t="s">
        <v>71</v>
      </c>
      <c r="C30" s="46">
        <f>G30+J30</f>
        <v>170825</v>
      </c>
      <c r="D30" s="66">
        <v>88.23</v>
      </c>
      <c r="E30" s="46">
        <f>G30+J30</f>
        <v>170825</v>
      </c>
      <c r="F30" s="46">
        <v>0</v>
      </c>
      <c r="G30" s="46">
        <f>49+8707+154003+8066</f>
        <v>170825</v>
      </c>
      <c r="H30" s="48">
        <f t="shared" si="2"/>
        <v>100</v>
      </c>
      <c r="I30" s="47">
        <v>0</v>
      </c>
      <c r="J30" s="46">
        <v>0</v>
      </c>
      <c r="K30" s="46">
        <v>0</v>
      </c>
      <c r="L30" s="175">
        <v>0</v>
      </c>
      <c r="M30" s="46">
        <f t="shared" ref="M30:M35" si="4">K30+G30</f>
        <v>170825</v>
      </c>
      <c r="N30" s="176">
        <f t="shared" si="3"/>
        <v>100</v>
      </c>
      <c r="O30" s="46">
        <v>170825</v>
      </c>
      <c r="P30" s="46">
        <v>0</v>
      </c>
      <c r="Q30" s="46"/>
      <c r="R30" s="93">
        <v>0</v>
      </c>
      <c r="S30" s="93">
        <v>0</v>
      </c>
      <c r="T30" s="93">
        <v>0</v>
      </c>
      <c r="U30" s="96">
        <v>702</v>
      </c>
      <c r="V30" s="115">
        <v>0</v>
      </c>
    </row>
    <row r="31" spans="1:22" ht="18.75" customHeight="1" x14ac:dyDescent="0.2">
      <c r="A31" s="45"/>
      <c r="B31" s="41" t="s">
        <v>72</v>
      </c>
      <c r="C31" s="46">
        <f>G31+J31</f>
        <v>22788</v>
      </c>
      <c r="D31" s="66">
        <v>11.77</v>
      </c>
      <c r="E31" s="46">
        <v>0</v>
      </c>
      <c r="F31" s="46">
        <f>G31+J31</f>
        <v>22788</v>
      </c>
      <c r="G31" s="46">
        <f>7+1161+20544+1076</f>
        <v>22788</v>
      </c>
      <c r="H31" s="48">
        <f t="shared" si="2"/>
        <v>100</v>
      </c>
      <c r="I31" s="47">
        <v>0</v>
      </c>
      <c r="J31" s="46">
        <v>0</v>
      </c>
      <c r="K31" s="46">
        <v>0</v>
      </c>
      <c r="L31" s="175">
        <v>0</v>
      </c>
      <c r="M31" s="46">
        <f t="shared" si="4"/>
        <v>22788</v>
      </c>
      <c r="N31" s="176">
        <f t="shared" si="3"/>
        <v>100</v>
      </c>
      <c r="O31" s="46">
        <v>0</v>
      </c>
      <c r="P31" s="46"/>
      <c r="Q31" s="46">
        <v>0</v>
      </c>
      <c r="R31" s="93"/>
      <c r="S31" s="93">
        <v>0</v>
      </c>
      <c r="T31" s="93">
        <v>0</v>
      </c>
      <c r="U31" s="96">
        <v>0</v>
      </c>
      <c r="V31" s="115">
        <v>0</v>
      </c>
    </row>
    <row r="32" spans="1:22" ht="25.5" customHeight="1" x14ac:dyDescent="0.2">
      <c r="A32" s="45"/>
      <c r="B32" s="41" t="s">
        <v>96</v>
      </c>
      <c r="C32" s="46">
        <f>G32+J32</f>
        <v>49254</v>
      </c>
      <c r="D32" s="66">
        <v>88.23</v>
      </c>
      <c r="E32" s="46">
        <f>G32+J32</f>
        <v>49254</v>
      </c>
      <c r="F32" s="46"/>
      <c r="G32" s="46">
        <f>988+36598+11668</f>
        <v>49254</v>
      </c>
      <c r="H32" s="48">
        <f t="shared" si="2"/>
        <v>100</v>
      </c>
      <c r="I32" s="47">
        <v>0</v>
      </c>
      <c r="J32" s="46">
        <v>0</v>
      </c>
      <c r="K32" s="46">
        <v>0</v>
      </c>
      <c r="L32" s="175">
        <v>0</v>
      </c>
      <c r="M32" s="46">
        <f t="shared" si="4"/>
        <v>49254</v>
      </c>
      <c r="N32" s="176">
        <f t="shared" si="3"/>
        <v>100</v>
      </c>
      <c r="O32" s="46">
        <v>49244</v>
      </c>
      <c r="P32" s="46">
        <v>0</v>
      </c>
      <c r="Q32" s="46">
        <v>10</v>
      </c>
      <c r="R32" s="93">
        <v>0</v>
      </c>
      <c r="S32" s="93">
        <v>0</v>
      </c>
      <c r="T32" s="93">
        <v>0</v>
      </c>
      <c r="U32" s="96">
        <v>0</v>
      </c>
      <c r="V32" s="115">
        <v>0</v>
      </c>
    </row>
    <row r="33" spans="1:22" ht="33.75" customHeight="1" x14ac:dyDescent="0.2">
      <c r="A33" s="42"/>
      <c r="B33" s="40" t="s">
        <v>97</v>
      </c>
      <c r="C33" s="43">
        <f>G33+J33</f>
        <v>6576</v>
      </c>
      <c r="D33" s="67">
        <v>11.77</v>
      </c>
      <c r="E33" s="43"/>
      <c r="F33" s="43">
        <f>G33+J33</f>
        <v>6576</v>
      </c>
      <c r="G33" s="43">
        <f>132+4882+1562</f>
        <v>6576</v>
      </c>
      <c r="H33" s="65">
        <f t="shared" si="2"/>
        <v>100</v>
      </c>
      <c r="I33" s="44">
        <v>0</v>
      </c>
      <c r="J33" s="43">
        <v>0</v>
      </c>
      <c r="K33" s="43">
        <v>0</v>
      </c>
      <c r="L33" s="177">
        <v>0</v>
      </c>
      <c r="M33" s="43">
        <f>K33+G33</f>
        <v>6576</v>
      </c>
      <c r="N33" s="178">
        <f t="shared" si="3"/>
        <v>100</v>
      </c>
      <c r="O33" s="43">
        <v>0</v>
      </c>
      <c r="P33" s="43"/>
      <c r="Q33" s="43"/>
      <c r="R33" s="94"/>
      <c r="S33" s="94"/>
      <c r="T33" s="94">
        <v>0</v>
      </c>
      <c r="U33" s="97"/>
      <c r="V33" s="116"/>
    </row>
    <row r="34" spans="1:22" ht="25.5" customHeight="1" x14ac:dyDescent="0.2">
      <c r="A34" s="45"/>
      <c r="B34" s="41" t="s">
        <v>70</v>
      </c>
      <c r="C34" s="46">
        <f>SUM(F34)</f>
        <v>139</v>
      </c>
      <c r="D34" s="66"/>
      <c r="E34" s="46">
        <v>0</v>
      </c>
      <c r="F34" s="46">
        <f>G34+J34</f>
        <v>139</v>
      </c>
      <c r="G34" s="46">
        <f>0+25+73+41</f>
        <v>139</v>
      </c>
      <c r="H34" s="74">
        <f t="shared" si="2"/>
        <v>100</v>
      </c>
      <c r="I34" s="47">
        <v>0</v>
      </c>
      <c r="J34" s="46">
        <v>0</v>
      </c>
      <c r="K34" s="46">
        <v>0</v>
      </c>
      <c r="L34" s="175">
        <v>0</v>
      </c>
      <c r="M34" s="46">
        <f t="shared" si="4"/>
        <v>139</v>
      </c>
      <c r="N34" s="176">
        <f t="shared" si="3"/>
        <v>100</v>
      </c>
      <c r="O34" s="46">
        <v>0</v>
      </c>
      <c r="P34" s="46"/>
      <c r="Q34" s="46">
        <v>0</v>
      </c>
      <c r="R34" s="93">
        <v>0</v>
      </c>
      <c r="S34" s="93"/>
      <c r="T34" s="93">
        <v>0</v>
      </c>
      <c r="U34" s="96">
        <v>0</v>
      </c>
      <c r="V34" s="115">
        <v>0</v>
      </c>
    </row>
    <row r="35" spans="1:22" s="81" customFormat="1" ht="33" customHeight="1" thickBot="1" x14ac:dyDescent="0.25">
      <c r="A35" s="77"/>
      <c r="B35" s="78" t="s">
        <v>68</v>
      </c>
      <c r="C35" s="79">
        <f>G35+J35</f>
        <v>1585</v>
      </c>
      <c r="D35" s="80"/>
      <c r="E35" s="79">
        <v>0</v>
      </c>
      <c r="F35" s="79">
        <f>G35+J35</f>
        <v>1585</v>
      </c>
      <c r="G35" s="79">
        <f>0+127+1458</f>
        <v>1585</v>
      </c>
      <c r="H35" s="87">
        <f t="shared" si="2"/>
        <v>100</v>
      </c>
      <c r="I35" s="64">
        <v>0</v>
      </c>
      <c r="J35" s="63">
        <v>0</v>
      </c>
      <c r="K35" s="63">
        <v>0</v>
      </c>
      <c r="L35" s="181">
        <v>0</v>
      </c>
      <c r="M35" s="63">
        <f t="shared" si="4"/>
        <v>1585</v>
      </c>
      <c r="N35" s="182">
        <f t="shared" si="3"/>
        <v>100</v>
      </c>
      <c r="O35" s="63">
        <v>0</v>
      </c>
      <c r="P35" s="63"/>
      <c r="Q35" s="63">
        <v>0</v>
      </c>
      <c r="R35" s="95">
        <v>0</v>
      </c>
      <c r="S35" s="95"/>
      <c r="T35" s="95">
        <v>0</v>
      </c>
      <c r="U35" s="95">
        <v>0</v>
      </c>
      <c r="V35" s="117">
        <v>0</v>
      </c>
    </row>
    <row r="36" spans="1:22" ht="35.25" customHeight="1" x14ac:dyDescent="0.2">
      <c r="A36" s="54" t="s">
        <v>49</v>
      </c>
      <c r="B36" s="136" t="s">
        <v>64</v>
      </c>
      <c r="C36" s="60">
        <f>SUM(C37:C42)</f>
        <v>638281</v>
      </c>
      <c r="D36" s="57"/>
      <c r="E36" s="60">
        <f>SUM(E37:E39)</f>
        <v>459582</v>
      </c>
      <c r="F36" s="60">
        <f>SUM(F37:F42)</f>
        <v>178699</v>
      </c>
      <c r="G36" s="60">
        <f>SUM(G37:G42)</f>
        <v>520157</v>
      </c>
      <c r="H36" s="58">
        <f t="shared" si="2"/>
        <v>81.493417476001952</v>
      </c>
      <c r="I36" s="160">
        <f>SUM(I37:I42)</f>
        <v>118124</v>
      </c>
      <c r="J36" s="106">
        <f>SUM(J37:J42)</f>
        <v>118124</v>
      </c>
      <c r="K36" s="106">
        <f>SUM(K37:K42)</f>
        <v>104835</v>
      </c>
      <c r="L36" s="183">
        <f t="shared" ref="L36:L42" si="5">K36/J36</f>
        <v>0.88749957671599333</v>
      </c>
      <c r="M36" s="106">
        <f>SUM(M37:M42)</f>
        <v>624992</v>
      </c>
      <c r="N36" s="184">
        <f t="shared" si="3"/>
        <v>97.918001632509828</v>
      </c>
      <c r="O36" s="106">
        <f>SUM(O37:O39)</f>
        <v>459582</v>
      </c>
      <c r="P36" s="106">
        <f>SUM(P37:P39)</f>
        <v>0</v>
      </c>
      <c r="Q36" s="106">
        <f>SUM(Q37:Q39)</f>
        <v>0</v>
      </c>
      <c r="R36" s="107">
        <f>SUM(R37:R39)</f>
        <v>0</v>
      </c>
      <c r="S36" s="107">
        <f>SUM(S37:S38)</f>
        <v>0</v>
      </c>
      <c r="T36" s="107">
        <v>0</v>
      </c>
      <c r="U36" s="106">
        <f>SUM(U37:U41)</f>
        <v>6445</v>
      </c>
      <c r="V36" s="119">
        <f>SUM(V37:V42)</f>
        <v>29267</v>
      </c>
    </row>
    <row r="37" spans="1:22" ht="18.75" customHeight="1" x14ac:dyDescent="0.2">
      <c r="A37" s="45"/>
      <c r="B37" s="41" t="s">
        <v>60</v>
      </c>
      <c r="C37" s="46">
        <f t="shared" ref="C37:C42" si="6">G37+J37</f>
        <v>436696</v>
      </c>
      <c r="D37" s="47">
        <v>100</v>
      </c>
      <c r="E37" s="46">
        <f>G37+J37</f>
        <v>436696</v>
      </c>
      <c r="F37" s="46">
        <v>0</v>
      </c>
      <c r="G37" s="46">
        <f>21170-2800+5125+700+344938</f>
        <v>369133</v>
      </c>
      <c r="H37" s="48">
        <f t="shared" si="2"/>
        <v>84.528596552292669</v>
      </c>
      <c r="I37" s="47">
        <v>67563</v>
      </c>
      <c r="J37" s="46">
        <v>67563</v>
      </c>
      <c r="K37" s="46">
        <v>67074</v>
      </c>
      <c r="L37" s="175">
        <f t="shared" si="5"/>
        <v>0.99276231073220544</v>
      </c>
      <c r="M37" s="46">
        <f t="shared" ref="M37:M42" si="7">K37+G37</f>
        <v>436207</v>
      </c>
      <c r="N37" s="176">
        <f t="shared" si="3"/>
        <v>99.888022789308806</v>
      </c>
      <c r="O37" s="46">
        <v>436696</v>
      </c>
      <c r="P37" s="46">
        <v>0</v>
      </c>
      <c r="Q37" s="46">
        <v>0</v>
      </c>
      <c r="R37" s="93">
        <v>0</v>
      </c>
      <c r="S37" s="93">
        <v>0</v>
      </c>
      <c r="T37" s="46">
        <v>0</v>
      </c>
      <c r="U37" s="46">
        <v>0</v>
      </c>
      <c r="V37" s="115">
        <v>0</v>
      </c>
    </row>
    <row r="38" spans="1:22" ht="18.75" customHeight="1" x14ac:dyDescent="0.2">
      <c r="A38" s="42"/>
      <c r="B38" s="40" t="s">
        <v>67</v>
      </c>
      <c r="C38" s="43">
        <f t="shared" si="6"/>
        <v>22886</v>
      </c>
      <c r="D38" s="44"/>
      <c r="E38" s="43">
        <f>G38+J38</f>
        <v>22886</v>
      </c>
      <c r="F38" s="43"/>
      <c r="G38" s="43">
        <f>0+8508+6451-4</f>
        <v>14955</v>
      </c>
      <c r="H38" s="65"/>
      <c r="I38" s="44">
        <v>7927</v>
      </c>
      <c r="J38" s="43">
        <v>7931</v>
      </c>
      <c r="K38" s="43">
        <v>5787</v>
      </c>
      <c r="L38" s="177">
        <f t="shared" si="5"/>
        <v>0.72966838986256466</v>
      </c>
      <c r="M38" s="43">
        <f t="shared" si="7"/>
        <v>20742</v>
      </c>
      <c r="N38" s="178">
        <f t="shared" si="3"/>
        <v>90.63182731801102</v>
      </c>
      <c r="O38" s="43">
        <v>22886</v>
      </c>
      <c r="P38" s="43">
        <v>0</v>
      </c>
      <c r="Q38" s="43">
        <v>0</v>
      </c>
      <c r="R38" s="94"/>
      <c r="S38" s="94">
        <v>0</v>
      </c>
      <c r="T38" s="43">
        <v>0</v>
      </c>
      <c r="U38" s="94"/>
      <c r="V38" s="116"/>
    </row>
    <row r="39" spans="1:22" ht="28.5" customHeight="1" x14ac:dyDescent="0.2">
      <c r="A39" s="45"/>
      <c r="B39" s="41" t="s">
        <v>68</v>
      </c>
      <c r="C39" s="46">
        <f t="shared" si="6"/>
        <v>40387</v>
      </c>
      <c r="D39" s="47"/>
      <c r="E39" s="46">
        <v>0</v>
      </c>
      <c r="F39" s="46">
        <f>G39+J39</f>
        <v>40387</v>
      </c>
      <c r="G39" s="46">
        <f>8078+100+30073</f>
        <v>38251</v>
      </c>
      <c r="H39" s="48">
        <f t="shared" si="2"/>
        <v>94.711169435709508</v>
      </c>
      <c r="I39" s="47">
        <v>1668</v>
      </c>
      <c r="J39" s="46">
        <v>2136</v>
      </c>
      <c r="K39" s="46">
        <v>2136</v>
      </c>
      <c r="L39" s="175">
        <f t="shared" si="5"/>
        <v>1</v>
      </c>
      <c r="M39" s="46">
        <f t="shared" si="7"/>
        <v>40387</v>
      </c>
      <c r="N39" s="176">
        <f t="shared" ref="N39:N48" si="8">(M39/C39)*100</f>
        <v>100</v>
      </c>
      <c r="O39" s="46">
        <v>0</v>
      </c>
      <c r="P39" s="46">
        <v>0</v>
      </c>
      <c r="Q39" s="46">
        <v>0</v>
      </c>
      <c r="R39" s="93">
        <v>0</v>
      </c>
      <c r="S39" s="93"/>
      <c r="T39" s="46">
        <v>0</v>
      </c>
      <c r="U39" s="93">
        <v>0</v>
      </c>
      <c r="V39" s="115">
        <v>0</v>
      </c>
    </row>
    <row r="40" spans="1:22" ht="28.5" customHeight="1" x14ac:dyDescent="0.2">
      <c r="A40" s="45"/>
      <c r="B40" s="41" t="s">
        <v>70</v>
      </c>
      <c r="C40" s="46">
        <f t="shared" si="6"/>
        <v>242</v>
      </c>
      <c r="D40" s="47"/>
      <c r="E40" s="46"/>
      <c r="F40" s="46">
        <f>G40+J40</f>
        <v>242</v>
      </c>
      <c r="G40" s="46">
        <f>81+4</f>
        <v>85</v>
      </c>
      <c r="H40" s="48"/>
      <c r="I40" s="47">
        <v>0</v>
      </c>
      <c r="J40" s="46">
        <v>157</v>
      </c>
      <c r="K40" s="46">
        <v>157</v>
      </c>
      <c r="L40" s="175">
        <f>K40/J40</f>
        <v>1</v>
      </c>
      <c r="M40" s="46">
        <f t="shared" si="7"/>
        <v>242</v>
      </c>
      <c r="N40" s="176">
        <f t="shared" si="8"/>
        <v>100</v>
      </c>
      <c r="O40" s="46"/>
      <c r="P40" s="46"/>
      <c r="Q40" s="46"/>
      <c r="R40" s="93"/>
      <c r="S40" s="93"/>
      <c r="T40" s="93"/>
      <c r="U40" s="93"/>
      <c r="V40" s="115"/>
    </row>
    <row r="41" spans="1:22" s="8" customFormat="1" ht="34.5" customHeight="1" x14ac:dyDescent="0.2">
      <c r="A41" s="45"/>
      <c r="B41" s="41" t="s">
        <v>98</v>
      </c>
      <c r="C41" s="46">
        <f t="shared" si="6"/>
        <v>28227</v>
      </c>
      <c r="D41" s="47"/>
      <c r="E41" s="46"/>
      <c r="F41" s="46">
        <f>G41+J41</f>
        <v>28227</v>
      </c>
      <c r="G41" s="46">
        <f>2800+1411+189+10799</f>
        <v>15199</v>
      </c>
      <c r="H41" s="48">
        <f t="shared" si="2"/>
        <v>53.845608814255854</v>
      </c>
      <c r="I41" s="47">
        <v>13500</v>
      </c>
      <c r="J41" s="46">
        <v>13028</v>
      </c>
      <c r="K41" s="46">
        <v>2742</v>
      </c>
      <c r="L41" s="175">
        <f>K41/J41</f>
        <v>0.210469757445502</v>
      </c>
      <c r="M41" s="46">
        <f t="shared" si="7"/>
        <v>17941</v>
      </c>
      <c r="N41" s="176">
        <f t="shared" si="8"/>
        <v>63.559712332164239</v>
      </c>
      <c r="O41" s="46">
        <v>0</v>
      </c>
      <c r="P41" s="46">
        <v>0</v>
      </c>
      <c r="Q41" s="46">
        <v>0</v>
      </c>
      <c r="R41" s="93">
        <v>0</v>
      </c>
      <c r="S41" s="93"/>
      <c r="T41" s="93">
        <v>0</v>
      </c>
      <c r="U41" s="93">
        <f>2800+1411+189+2045</f>
        <v>6445</v>
      </c>
      <c r="V41" s="115">
        <v>2328</v>
      </c>
    </row>
    <row r="42" spans="1:22" s="8" customFormat="1" ht="30" customHeight="1" thickBot="1" x14ac:dyDescent="0.25">
      <c r="A42" s="45"/>
      <c r="B42" s="41" t="s">
        <v>99</v>
      </c>
      <c r="C42" s="46">
        <f t="shared" si="6"/>
        <v>109843</v>
      </c>
      <c r="D42" s="47"/>
      <c r="E42" s="46"/>
      <c r="F42" s="46">
        <f>G42+J42</f>
        <v>109843</v>
      </c>
      <c r="G42" s="46">
        <f>0+1949+80585</f>
        <v>82534</v>
      </c>
      <c r="H42" s="48">
        <f>G42/C42</f>
        <v>0.75138151725644786</v>
      </c>
      <c r="I42" s="47">
        <v>27466</v>
      </c>
      <c r="J42" s="46">
        <v>27309</v>
      </c>
      <c r="K42" s="46">
        <v>26939</v>
      </c>
      <c r="L42" s="175">
        <f t="shared" si="5"/>
        <v>0.98645135303379838</v>
      </c>
      <c r="M42" s="46">
        <f t="shared" si="7"/>
        <v>109473</v>
      </c>
      <c r="N42" s="188">
        <f t="shared" si="8"/>
        <v>99.663155594803484</v>
      </c>
      <c r="O42" s="46">
        <v>0</v>
      </c>
      <c r="P42" s="46">
        <v>0</v>
      </c>
      <c r="Q42" s="46"/>
      <c r="R42" s="93"/>
      <c r="S42" s="93"/>
      <c r="T42" s="93">
        <v>0</v>
      </c>
      <c r="U42" s="46">
        <v>82534</v>
      </c>
      <c r="V42" s="109">
        <v>26939</v>
      </c>
    </row>
    <row r="43" spans="1:22" s="8" customFormat="1" ht="30" customHeight="1" x14ac:dyDescent="0.2">
      <c r="A43" s="141" t="s">
        <v>57</v>
      </c>
      <c r="B43" s="138" t="s">
        <v>104</v>
      </c>
      <c r="C43" s="161">
        <f>SUM(C44:C48)</f>
        <v>286000</v>
      </c>
      <c r="D43" s="211"/>
      <c r="E43" s="161">
        <f>SUM(E44:E48)</f>
        <v>250000</v>
      </c>
      <c r="F43" s="161">
        <f>SUM(F44:F48)</f>
        <v>36000</v>
      </c>
      <c r="G43" s="161">
        <f>SUM(G44:G48)</f>
        <v>14490</v>
      </c>
      <c r="H43" s="162">
        <f>(G43/C43)*100</f>
        <v>5.0664335664335667</v>
      </c>
      <c r="I43" s="161">
        <f>SUM(I44:I48)</f>
        <v>271510</v>
      </c>
      <c r="J43" s="161">
        <f>SUM(J44:J48)</f>
        <v>271510</v>
      </c>
      <c r="K43" s="161">
        <f>SUM(K44:K46)</f>
        <v>222477</v>
      </c>
      <c r="L43" s="189">
        <f>SUM(L44:L48)</f>
        <v>1.9205605319259291</v>
      </c>
      <c r="M43" s="161">
        <f>SUM(M44:M46)</f>
        <v>236967</v>
      </c>
      <c r="N43" s="176">
        <f t="shared" si="8"/>
        <v>82.855594405594402</v>
      </c>
      <c r="O43" s="149"/>
      <c r="P43" s="106"/>
      <c r="Q43" s="106">
        <f>SUM(Q44:Q48)</f>
        <v>250000</v>
      </c>
      <c r="R43" s="107"/>
      <c r="S43" s="107">
        <f>SUM(S44:S45)</f>
        <v>247500</v>
      </c>
      <c r="T43" s="107"/>
      <c r="U43" s="106"/>
      <c r="V43" s="119"/>
    </row>
    <row r="44" spans="1:22" s="8" customFormat="1" ht="30" customHeight="1" x14ac:dyDescent="0.2">
      <c r="A44" s="142"/>
      <c r="B44" s="143" t="s">
        <v>60</v>
      </c>
      <c r="C44" s="134">
        <f>G44+J44</f>
        <v>230536</v>
      </c>
      <c r="D44" s="47">
        <v>100</v>
      </c>
      <c r="E44" s="134">
        <f>G44+J44</f>
        <v>230536</v>
      </c>
      <c r="F44" s="134">
        <v>0</v>
      </c>
      <c r="G44" s="134">
        <f>10071+4</f>
        <v>10075</v>
      </c>
      <c r="H44" s="48">
        <f>(G44/C44)*100</f>
        <v>4.3702501995349969</v>
      </c>
      <c r="I44" s="134">
        <v>228175</v>
      </c>
      <c r="J44" s="134">
        <v>220461</v>
      </c>
      <c r="K44" s="134">
        <f>204040-1080</f>
        <v>202960</v>
      </c>
      <c r="L44" s="190">
        <f>K44/J44</f>
        <v>0.9206163448410376</v>
      </c>
      <c r="M44" s="134">
        <f>K44+G44</f>
        <v>213035</v>
      </c>
      <c r="N44" s="176">
        <f t="shared" si="8"/>
        <v>92.40856091890204</v>
      </c>
      <c r="O44" s="110"/>
      <c r="P44" s="46"/>
      <c r="Q44" s="46">
        <v>238246</v>
      </c>
      <c r="R44" s="93"/>
      <c r="S44" s="93">
        <v>238246</v>
      </c>
      <c r="T44" s="46"/>
      <c r="U44" s="46"/>
      <c r="V44" s="115"/>
    </row>
    <row r="45" spans="1:22" s="8" customFormat="1" ht="30" customHeight="1" x14ac:dyDescent="0.2">
      <c r="A45" s="144"/>
      <c r="B45" s="145" t="s">
        <v>69</v>
      </c>
      <c r="C45" s="163">
        <f>G45+J45</f>
        <v>19464</v>
      </c>
      <c r="D45" s="168">
        <v>100</v>
      </c>
      <c r="E45" s="163">
        <f>G45+J45</f>
        <v>19464</v>
      </c>
      <c r="F45" s="163">
        <v>0</v>
      </c>
      <c r="G45" s="163">
        <v>1547</v>
      </c>
      <c r="H45" s="164">
        <v>0</v>
      </c>
      <c r="I45" s="163">
        <v>10207</v>
      </c>
      <c r="J45" s="163">
        <v>17917</v>
      </c>
      <c r="K45" s="163">
        <f>17917-1</f>
        <v>17916</v>
      </c>
      <c r="L45" s="191">
        <f>K45/J45</f>
        <v>0.99994418708489141</v>
      </c>
      <c r="M45" s="163">
        <f>K45+G45</f>
        <v>19463</v>
      </c>
      <c r="N45" s="192">
        <f t="shared" si="8"/>
        <v>99.994862309905457</v>
      </c>
      <c r="O45" s="165"/>
      <c r="P45" s="108"/>
      <c r="Q45" s="108">
        <v>11754</v>
      </c>
      <c r="R45" s="166"/>
      <c r="S45" s="166">
        <v>9254</v>
      </c>
      <c r="T45" s="108"/>
      <c r="U45" s="166"/>
      <c r="V45" s="167"/>
    </row>
    <row r="46" spans="1:22" s="8" customFormat="1" ht="30" customHeight="1" x14ac:dyDescent="0.2">
      <c r="A46" s="142"/>
      <c r="B46" s="143" t="s">
        <v>105</v>
      </c>
      <c r="C46" s="134">
        <f>G46+J46</f>
        <v>29694</v>
      </c>
      <c r="D46" s="47"/>
      <c r="E46" s="134">
        <v>0</v>
      </c>
      <c r="F46" s="134">
        <f>G46+J46</f>
        <v>29694</v>
      </c>
      <c r="G46" s="134">
        <f>2872-4</f>
        <v>2868</v>
      </c>
      <c r="H46" s="48">
        <f>(G46/C46)*100</f>
        <v>9.6585168720953725</v>
      </c>
      <c r="I46" s="134">
        <v>33128</v>
      </c>
      <c r="J46" s="134">
        <v>26826</v>
      </c>
      <c r="K46" s="134">
        <f>521+1080</f>
        <v>1601</v>
      </c>
      <c r="L46" s="190">
        <v>0</v>
      </c>
      <c r="M46" s="134">
        <f>K46+G46</f>
        <v>4469</v>
      </c>
      <c r="N46" s="176">
        <f t="shared" si="8"/>
        <v>15.050178487236479</v>
      </c>
      <c r="O46" s="110"/>
      <c r="P46" s="46"/>
      <c r="Q46" s="46">
        <v>0</v>
      </c>
      <c r="R46" s="93"/>
      <c r="S46" s="93"/>
      <c r="T46" s="46"/>
      <c r="U46" s="93"/>
      <c r="V46" s="115"/>
    </row>
    <row r="47" spans="1:22" s="8" customFormat="1" ht="30" customHeight="1" x14ac:dyDescent="0.2">
      <c r="A47" s="142"/>
      <c r="B47" s="143" t="s">
        <v>124</v>
      </c>
      <c r="C47" s="134">
        <f>G47+J47</f>
        <v>6294</v>
      </c>
      <c r="D47" s="47"/>
      <c r="E47" s="134"/>
      <c r="F47" s="134">
        <f>G47+J47</f>
        <v>6294</v>
      </c>
      <c r="G47" s="134">
        <v>0</v>
      </c>
      <c r="H47" s="48">
        <v>0</v>
      </c>
      <c r="I47" s="134">
        <v>0</v>
      </c>
      <c r="J47" s="134">
        <v>6294</v>
      </c>
      <c r="K47" s="134">
        <v>6294</v>
      </c>
      <c r="L47" s="190">
        <v>0</v>
      </c>
      <c r="M47" s="134">
        <f>K47+G47</f>
        <v>6294</v>
      </c>
      <c r="N47" s="176">
        <f t="shared" si="8"/>
        <v>100</v>
      </c>
      <c r="O47" s="110"/>
      <c r="P47" s="46"/>
      <c r="Q47" s="46">
        <v>0</v>
      </c>
      <c r="R47" s="93"/>
      <c r="S47" s="93"/>
      <c r="T47" s="93"/>
      <c r="U47" s="93"/>
      <c r="V47" s="115"/>
    </row>
    <row r="48" spans="1:22" s="8" customFormat="1" ht="30" customHeight="1" thickBot="1" x14ac:dyDescent="0.25">
      <c r="A48" s="142"/>
      <c r="B48" s="143" t="s">
        <v>106</v>
      </c>
      <c r="C48" s="159">
        <f>G48+J48</f>
        <v>12</v>
      </c>
      <c r="D48" s="157"/>
      <c r="E48" s="159">
        <v>0</v>
      </c>
      <c r="F48" s="159">
        <f>G48+J48</f>
        <v>12</v>
      </c>
      <c r="G48" s="159">
        <v>0</v>
      </c>
      <c r="H48" s="158">
        <v>0</v>
      </c>
      <c r="I48" s="159">
        <v>0</v>
      </c>
      <c r="J48" s="159">
        <v>12</v>
      </c>
      <c r="K48" s="159">
        <v>12</v>
      </c>
      <c r="L48" s="193">
        <f>SUM(I48)</f>
        <v>0</v>
      </c>
      <c r="M48" s="159">
        <f>K48+G48</f>
        <v>12</v>
      </c>
      <c r="N48" s="188">
        <f t="shared" si="8"/>
        <v>100</v>
      </c>
      <c r="O48" s="150"/>
      <c r="P48" s="79"/>
      <c r="Q48" s="79">
        <v>0</v>
      </c>
      <c r="R48" s="151"/>
      <c r="S48" s="151"/>
      <c r="T48" s="151"/>
      <c r="U48" s="151"/>
      <c r="V48" s="152"/>
    </row>
    <row r="49" spans="1:22" s="8" customFormat="1" ht="30" customHeight="1" x14ac:dyDescent="0.2">
      <c r="A49" s="141" t="s">
        <v>58</v>
      </c>
      <c r="B49" s="146" t="s">
        <v>107</v>
      </c>
      <c r="C49" s="56">
        <f>SUM(C50:C53)</f>
        <v>384565</v>
      </c>
      <c r="D49" s="57"/>
      <c r="E49" s="56">
        <f>SUM(E50:E51)</f>
        <v>349604</v>
      </c>
      <c r="F49" s="56">
        <f>SUM(F52:F53)</f>
        <v>34961</v>
      </c>
      <c r="G49" s="56">
        <f>SUM(G50:G53)</f>
        <v>11182</v>
      </c>
      <c r="H49" s="58">
        <f>G49/C49</f>
        <v>2.9077009088190553E-2</v>
      </c>
      <c r="I49" s="56">
        <f>SUM(I50:I53)</f>
        <v>373383</v>
      </c>
      <c r="J49" s="56">
        <f>SUM(J50:J53)</f>
        <v>373383</v>
      </c>
      <c r="K49" s="56">
        <f>SUM(K50:K53)</f>
        <v>163358</v>
      </c>
      <c r="L49" s="194">
        <f>K49/J49</f>
        <v>0.43750786725694529</v>
      </c>
      <c r="M49" s="56">
        <f>SUM(M50:M53)</f>
        <v>174540</v>
      </c>
      <c r="N49" s="176">
        <f>(M49/C49)*100</f>
        <v>45.386345611275075</v>
      </c>
      <c r="O49" s="60"/>
      <c r="P49" s="60"/>
      <c r="Q49" s="60">
        <f>SUM(Q50:Q53)</f>
        <v>349604</v>
      </c>
      <c r="R49" s="60"/>
      <c r="S49" s="60">
        <f>SUM(S50:S53)</f>
        <v>333237</v>
      </c>
      <c r="T49" s="60"/>
      <c r="U49" s="60"/>
      <c r="V49" s="228"/>
    </row>
    <row r="50" spans="1:22" s="8" customFormat="1" ht="30" customHeight="1" x14ac:dyDescent="0.2">
      <c r="A50" s="142"/>
      <c r="B50" s="143" t="s">
        <v>60</v>
      </c>
      <c r="C50" s="134">
        <f>G50+J50</f>
        <v>303216</v>
      </c>
      <c r="D50" s="47">
        <v>100</v>
      </c>
      <c r="E50" s="134">
        <f>G50+J50</f>
        <v>303216</v>
      </c>
      <c r="F50" s="134">
        <v>0</v>
      </c>
      <c r="G50" s="134">
        <v>10732</v>
      </c>
      <c r="H50" s="48">
        <f>G50/C50</f>
        <v>3.5393910611577227E-2</v>
      </c>
      <c r="I50" s="134">
        <v>326352</v>
      </c>
      <c r="J50" s="134">
        <v>292484</v>
      </c>
      <c r="K50" s="134">
        <v>125435</v>
      </c>
      <c r="L50" s="190">
        <f>K50/J50</f>
        <v>0.42886106590445972</v>
      </c>
      <c r="M50" s="134">
        <f>K50+G50</f>
        <v>136167</v>
      </c>
      <c r="N50" s="176">
        <f>(M50/C50)*100</f>
        <v>44.907590628462877</v>
      </c>
      <c r="O50" s="46"/>
      <c r="P50" s="46"/>
      <c r="Q50" s="46">
        <v>337084</v>
      </c>
      <c r="R50" s="93"/>
      <c r="S50" s="93">
        <v>333237</v>
      </c>
      <c r="T50" s="93"/>
      <c r="U50" s="93"/>
      <c r="V50" s="115"/>
    </row>
    <row r="51" spans="1:22" s="8" customFormat="1" ht="30" customHeight="1" x14ac:dyDescent="0.2">
      <c r="A51" s="144"/>
      <c r="B51" s="145" t="s">
        <v>69</v>
      </c>
      <c r="C51" s="163">
        <f>G51+J51</f>
        <v>46388</v>
      </c>
      <c r="D51" s="168">
        <v>100</v>
      </c>
      <c r="E51" s="212">
        <f>G51+J51</f>
        <v>46388</v>
      </c>
      <c r="F51" s="163">
        <v>0</v>
      </c>
      <c r="G51" s="163">
        <v>450</v>
      </c>
      <c r="H51" s="164">
        <f>G51/C51</f>
        <v>9.7007846856945763E-3</v>
      </c>
      <c r="I51" s="163">
        <v>12070</v>
      </c>
      <c r="J51" s="163">
        <v>45938</v>
      </c>
      <c r="K51" s="163">
        <v>37911</v>
      </c>
      <c r="L51" s="191">
        <f t="shared" ref="L51:L57" si="9">K51/J51</f>
        <v>0.82526448691714915</v>
      </c>
      <c r="M51" s="163">
        <f>G51+K51</f>
        <v>38361</v>
      </c>
      <c r="N51" s="192">
        <f>(M51/C51)*100</f>
        <v>82.695955850651032</v>
      </c>
      <c r="O51" s="108"/>
      <c r="P51" s="108"/>
      <c r="Q51" s="108">
        <v>12520</v>
      </c>
      <c r="R51" s="166"/>
      <c r="S51" s="108">
        <v>0</v>
      </c>
      <c r="T51" s="94"/>
      <c r="U51" s="94"/>
      <c r="V51" s="116"/>
    </row>
    <row r="52" spans="1:22" s="8" customFormat="1" ht="30" customHeight="1" x14ac:dyDescent="0.2">
      <c r="A52" s="142"/>
      <c r="B52" s="143" t="s">
        <v>105</v>
      </c>
      <c r="C52" s="134">
        <f>G52+J52</f>
        <v>34949</v>
      </c>
      <c r="D52" s="47"/>
      <c r="E52" s="134"/>
      <c r="F52" s="134">
        <f>G52+J52</f>
        <v>34949</v>
      </c>
      <c r="G52" s="134">
        <v>0</v>
      </c>
      <c r="H52" s="48">
        <f>G52/C52</f>
        <v>0</v>
      </c>
      <c r="I52" s="134">
        <v>34961</v>
      </c>
      <c r="J52" s="134">
        <v>34949</v>
      </c>
      <c r="K52" s="134">
        <v>0</v>
      </c>
      <c r="L52" s="190">
        <f t="shared" si="9"/>
        <v>0</v>
      </c>
      <c r="M52" s="134">
        <f t="shared" ref="M52:M58" si="10">K52+G52</f>
        <v>0</v>
      </c>
      <c r="N52" s="176">
        <f t="shared" ref="N52:N60" si="11">(M52/C52)*100</f>
        <v>0</v>
      </c>
      <c r="O52" s="46"/>
      <c r="P52" s="46"/>
      <c r="Q52" s="46">
        <v>0</v>
      </c>
      <c r="R52" s="93"/>
      <c r="S52" s="93"/>
      <c r="T52" s="93"/>
      <c r="U52" s="93"/>
      <c r="V52" s="115"/>
    </row>
    <row r="53" spans="1:22" s="8" customFormat="1" ht="30" customHeight="1" thickBot="1" x14ac:dyDescent="0.25">
      <c r="A53" s="142"/>
      <c r="B53" s="156" t="s">
        <v>106</v>
      </c>
      <c r="C53" s="159">
        <f>G53+J53</f>
        <v>12</v>
      </c>
      <c r="D53" s="157"/>
      <c r="E53" s="159"/>
      <c r="F53" s="159">
        <f>G53+J53</f>
        <v>12</v>
      </c>
      <c r="G53" s="159">
        <v>0</v>
      </c>
      <c r="H53" s="158">
        <v>0</v>
      </c>
      <c r="I53" s="159">
        <v>0</v>
      </c>
      <c r="J53" s="159">
        <v>12</v>
      </c>
      <c r="K53" s="159">
        <v>12</v>
      </c>
      <c r="L53" s="193">
        <v>0</v>
      </c>
      <c r="M53" s="159">
        <f>K53+G53</f>
        <v>12</v>
      </c>
      <c r="N53" s="188">
        <v>0</v>
      </c>
      <c r="O53" s="79"/>
      <c r="P53" s="79"/>
      <c r="Q53" s="79">
        <v>0</v>
      </c>
      <c r="R53" s="151"/>
      <c r="S53" s="151"/>
      <c r="T53" s="151"/>
      <c r="U53" s="151"/>
      <c r="V53" s="152"/>
    </row>
    <row r="54" spans="1:22" s="8" customFormat="1" ht="30" customHeight="1" x14ac:dyDescent="0.2">
      <c r="A54" s="141" t="s">
        <v>63</v>
      </c>
      <c r="B54" s="136" t="s">
        <v>108</v>
      </c>
      <c r="C54" s="56">
        <f>SUM(C55:C58)</f>
        <v>312434</v>
      </c>
      <c r="D54" s="57"/>
      <c r="E54" s="56">
        <f>SUM(E55:E56)</f>
        <v>284031</v>
      </c>
      <c r="F54" s="56">
        <f>SUM(F57:F58)</f>
        <v>28403</v>
      </c>
      <c r="G54" s="56">
        <f>SUM(G55:G58)</f>
        <v>147</v>
      </c>
      <c r="H54" s="58">
        <f>G54/C54</f>
        <v>4.7049936946683141E-4</v>
      </c>
      <c r="I54" s="56">
        <f>SUM(I55:I58)</f>
        <v>312287</v>
      </c>
      <c r="J54" s="56">
        <f>SUM(J55:J58)</f>
        <v>312287</v>
      </c>
      <c r="K54" s="56">
        <f>SUM(K55:K58)</f>
        <v>14296</v>
      </c>
      <c r="L54" s="190">
        <f>K54/J54</f>
        <v>4.577840255918434E-2</v>
      </c>
      <c r="M54" s="56">
        <f>K54+G54</f>
        <v>14443</v>
      </c>
      <c r="N54" s="176">
        <f t="shared" si="11"/>
        <v>4.6227363219111872</v>
      </c>
      <c r="O54" s="60"/>
      <c r="P54" s="60"/>
      <c r="Q54" s="60">
        <f>SUM(Q55:Q58)</f>
        <v>284031</v>
      </c>
      <c r="R54" s="60"/>
      <c r="S54" s="60">
        <f>SUM(S55:S58)</f>
        <v>272389</v>
      </c>
      <c r="T54" s="169"/>
      <c r="U54" s="169"/>
      <c r="V54" s="170"/>
    </row>
    <row r="55" spans="1:22" s="8" customFormat="1" ht="30" customHeight="1" x14ac:dyDescent="0.2">
      <c r="A55" s="142"/>
      <c r="B55" s="143" t="s">
        <v>60</v>
      </c>
      <c r="C55" s="134">
        <f>G55+J55</f>
        <v>213459</v>
      </c>
      <c r="D55" s="47">
        <v>100</v>
      </c>
      <c r="E55" s="46">
        <v>263436</v>
      </c>
      <c r="F55" s="46"/>
      <c r="G55" s="46">
        <v>0</v>
      </c>
      <c r="H55" s="48">
        <f>G55/C55</f>
        <v>0</v>
      </c>
      <c r="I55" s="47">
        <v>263436</v>
      </c>
      <c r="J55" s="46">
        <v>213459</v>
      </c>
      <c r="K55" s="46">
        <v>10351</v>
      </c>
      <c r="L55" s="190">
        <f t="shared" si="9"/>
        <v>4.8491747829794013E-2</v>
      </c>
      <c r="M55" s="134">
        <f t="shared" si="10"/>
        <v>10351</v>
      </c>
      <c r="N55" s="176">
        <f t="shared" si="11"/>
        <v>4.849174782979401</v>
      </c>
      <c r="O55" s="46"/>
      <c r="P55" s="46"/>
      <c r="Q55" s="46">
        <v>263436</v>
      </c>
      <c r="R55" s="93"/>
      <c r="S55" s="93">
        <v>263436</v>
      </c>
      <c r="T55" s="46"/>
      <c r="U55" s="46"/>
      <c r="V55" s="115"/>
    </row>
    <row r="56" spans="1:22" s="8" customFormat="1" ht="30" customHeight="1" x14ac:dyDescent="0.2">
      <c r="A56" s="144"/>
      <c r="B56" s="145" t="s">
        <v>69</v>
      </c>
      <c r="C56" s="163">
        <f>G56+J56</f>
        <v>70572</v>
      </c>
      <c r="D56" s="168">
        <v>100</v>
      </c>
      <c r="E56" s="108">
        <v>20595</v>
      </c>
      <c r="F56" s="108"/>
      <c r="G56" s="108">
        <v>147</v>
      </c>
      <c r="H56" s="164">
        <f>G56/C56</f>
        <v>2.0829790851895937E-3</v>
      </c>
      <c r="I56" s="168">
        <v>20448</v>
      </c>
      <c r="J56" s="108">
        <v>70425</v>
      </c>
      <c r="K56" s="108">
        <v>3937</v>
      </c>
      <c r="L56" s="191">
        <f t="shared" si="9"/>
        <v>5.5903443379481721E-2</v>
      </c>
      <c r="M56" s="163">
        <f t="shared" si="10"/>
        <v>4084</v>
      </c>
      <c r="N56" s="192">
        <f t="shared" si="11"/>
        <v>5.7869976761321773</v>
      </c>
      <c r="O56" s="108"/>
      <c r="P56" s="43"/>
      <c r="Q56" s="43">
        <v>20595</v>
      </c>
      <c r="R56" s="94"/>
      <c r="S56" s="94">
        <v>8953</v>
      </c>
      <c r="T56" s="43"/>
      <c r="U56" s="43"/>
      <c r="V56" s="116"/>
    </row>
    <row r="57" spans="1:22" s="8" customFormat="1" ht="30" customHeight="1" x14ac:dyDescent="0.2">
      <c r="A57" s="142"/>
      <c r="B57" s="143" t="s">
        <v>105</v>
      </c>
      <c r="C57" s="134">
        <f>G57+J57</f>
        <v>28395</v>
      </c>
      <c r="D57" s="47"/>
      <c r="E57" s="46">
        <v>0</v>
      </c>
      <c r="F57" s="46">
        <f>G57+J57</f>
        <v>28395</v>
      </c>
      <c r="G57" s="46">
        <v>0</v>
      </c>
      <c r="H57" s="48">
        <f>G57/C57</f>
        <v>0</v>
      </c>
      <c r="I57" s="47">
        <v>28403</v>
      </c>
      <c r="J57" s="46">
        <v>28395</v>
      </c>
      <c r="K57" s="46">
        <v>0</v>
      </c>
      <c r="L57" s="190">
        <f t="shared" si="9"/>
        <v>0</v>
      </c>
      <c r="M57" s="134">
        <f t="shared" si="10"/>
        <v>0</v>
      </c>
      <c r="N57" s="176">
        <f t="shared" si="11"/>
        <v>0</v>
      </c>
      <c r="O57" s="46"/>
      <c r="P57" s="46"/>
      <c r="Q57" s="46">
        <v>0</v>
      </c>
      <c r="R57" s="93"/>
      <c r="S57" s="93"/>
      <c r="T57" s="46"/>
      <c r="U57" s="46"/>
      <c r="V57" s="115"/>
    </row>
    <row r="58" spans="1:22" s="8" customFormat="1" ht="30" customHeight="1" thickBot="1" x14ac:dyDescent="0.25">
      <c r="A58" s="155"/>
      <c r="B58" s="156" t="s">
        <v>106</v>
      </c>
      <c r="C58" s="159">
        <f>G58+J58</f>
        <v>8</v>
      </c>
      <c r="D58" s="157"/>
      <c r="E58" s="79">
        <v>0</v>
      </c>
      <c r="F58" s="79">
        <f>G58+J58</f>
        <v>8</v>
      </c>
      <c r="G58" s="79">
        <v>0</v>
      </c>
      <c r="H58" s="158">
        <v>0</v>
      </c>
      <c r="I58" s="157">
        <v>0</v>
      </c>
      <c r="J58" s="79">
        <v>8</v>
      </c>
      <c r="K58" s="79">
        <v>8</v>
      </c>
      <c r="L58" s="193">
        <v>0</v>
      </c>
      <c r="M58" s="159">
        <f t="shared" si="10"/>
        <v>8</v>
      </c>
      <c r="N58" s="188">
        <v>0</v>
      </c>
      <c r="O58" s="79"/>
      <c r="P58" s="79"/>
      <c r="Q58" s="79">
        <v>0</v>
      </c>
      <c r="R58" s="151"/>
      <c r="S58" s="151"/>
      <c r="T58" s="79"/>
      <c r="U58" s="79"/>
      <c r="V58" s="152"/>
    </row>
    <row r="59" spans="1:22" s="8" customFormat="1" ht="30" customHeight="1" x14ac:dyDescent="0.2">
      <c r="A59" s="153" t="s">
        <v>125</v>
      </c>
      <c r="B59" s="154" t="s">
        <v>111</v>
      </c>
      <c r="C59" s="56">
        <f>SUM(C60:C63)</f>
        <v>67772</v>
      </c>
      <c r="D59" s="57"/>
      <c r="E59" s="56">
        <f>SUM(E60:E61)</f>
        <v>55181</v>
      </c>
      <c r="F59" s="56">
        <f>SUM(F62:F63)</f>
        <v>12591</v>
      </c>
      <c r="G59" s="56">
        <f>SUM(G60:G63)</f>
        <v>53798</v>
      </c>
      <c r="H59" s="58">
        <f>G59/C59</f>
        <v>0.79380865254087229</v>
      </c>
      <c r="I59" s="56">
        <f>SUM(I60:I63)</f>
        <v>0</v>
      </c>
      <c r="J59" s="56">
        <f>SUM(J60:J63)</f>
        <v>13974</v>
      </c>
      <c r="K59" s="56">
        <f>SUM(K60:K63)</f>
        <v>13974</v>
      </c>
      <c r="L59" s="194">
        <f>K59/J59</f>
        <v>1</v>
      </c>
      <c r="M59" s="56">
        <f>K59+G59</f>
        <v>67772</v>
      </c>
      <c r="N59" s="187">
        <f>(M59/C59)*100</f>
        <v>100</v>
      </c>
      <c r="O59" s="60">
        <f>SUM(O60:O63)</f>
        <v>46198</v>
      </c>
      <c r="P59" s="60"/>
      <c r="Q59" s="60">
        <f>SUM(Q60:Q63)</f>
        <v>14956</v>
      </c>
      <c r="R59" s="96"/>
      <c r="S59" s="96">
        <f>SUM(S60:S63)</f>
        <v>8982</v>
      </c>
      <c r="T59" s="60"/>
      <c r="U59" s="60"/>
      <c r="V59" s="118"/>
    </row>
    <row r="60" spans="1:22" s="8" customFormat="1" ht="30" customHeight="1" x14ac:dyDescent="0.2">
      <c r="A60" s="142"/>
      <c r="B60" s="143" t="s">
        <v>60</v>
      </c>
      <c r="C60" s="134">
        <f>G60+J60</f>
        <v>52812</v>
      </c>
      <c r="D60" s="47">
        <v>95</v>
      </c>
      <c r="E60" s="46">
        <f>G60+J60</f>
        <v>52812</v>
      </c>
      <c r="F60" s="46"/>
      <c r="G60" s="46">
        <f>280+43061</f>
        <v>43341</v>
      </c>
      <c r="H60" s="48">
        <f>G60/C60</f>
        <v>0.8206657577823222</v>
      </c>
      <c r="I60" s="47">
        <v>0</v>
      </c>
      <c r="J60" s="46">
        <v>9471</v>
      </c>
      <c r="K60" s="46">
        <v>9471</v>
      </c>
      <c r="L60" s="190">
        <f>K60/J60</f>
        <v>1</v>
      </c>
      <c r="M60" s="134">
        <f>K60+G60</f>
        <v>52812</v>
      </c>
      <c r="N60" s="176">
        <f t="shared" si="11"/>
        <v>100</v>
      </c>
      <c r="O60" s="46">
        <v>43829</v>
      </c>
      <c r="P60" s="46">
        <v>0</v>
      </c>
      <c r="Q60" s="46">
        <v>14956</v>
      </c>
      <c r="R60" s="93">
        <v>0</v>
      </c>
      <c r="S60" s="93">
        <v>8982</v>
      </c>
      <c r="T60" s="46">
        <v>0</v>
      </c>
      <c r="U60" s="46">
        <v>0</v>
      </c>
      <c r="V60" s="115">
        <v>0</v>
      </c>
    </row>
    <row r="61" spans="1:22" s="8" customFormat="1" ht="30" customHeight="1" x14ac:dyDescent="0.2">
      <c r="A61" s="144"/>
      <c r="B61" s="145" t="s">
        <v>69</v>
      </c>
      <c r="C61" s="163">
        <f>G61+J61</f>
        <v>2369</v>
      </c>
      <c r="D61" s="168">
        <v>95</v>
      </c>
      <c r="E61" s="108">
        <f>G61+J61</f>
        <v>2369</v>
      </c>
      <c r="F61" s="108"/>
      <c r="G61" s="108">
        <v>720</v>
      </c>
      <c r="H61" s="164">
        <v>0</v>
      </c>
      <c r="I61" s="168">
        <v>0</v>
      </c>
      <c r="J61" s="108">
        <v>1649</v>
      </c>
      <c r="K61" s="108">
        <v>1649</v>
      </c>
      <c r="L61" s="191">
        <v>0</v>
      </c>
      <c r="M61" s="163">
        <f>K61+G61</f>
        <v>2369</v>
      </c>
      <c r="N61" s="192">
        <v>0</v>
      </c>
      <c r="O61" s="108">
        <v>2369</v>
      </c>
      <c r="P61" s="108">
        <v>0</v>
      </c>
      <c r="Q61" s="108">
        <v>0</v>
      </c>
      <c r="R61" s="166">
        <v>0</v>
      </c>
      <c r="S61" s="166">
        <v>0</v>
      </c>
      <c r="T61" s="108">
        <v>0</v>
      </c>
      <c r="U61" s="108">
        <v>0</v>
      </c>
      <c r="V61" s="167">
        <v>0</v>
      </c>
    </row>
    <row r="62" spans="1:22" s="8" customFormat="1" ht="30" customHeight="1" x14ac:dyDescent="0.2">
      <c r="A62" s="142"/>
      <c r="B62" s="143" t="s">
        <v>105</v>
      </c>
      <c r="C62" s="134">
        <f>G62+J62</f>
        <v>11664</v>
      </c>
      <c r="D62" s="47"/>
      <c r="E62" s="46">
        <v>0</v>
      </c>
      <c r="F62" s="46">
        <f>G62+J62</f>
        <v>11664</v>
      </c>
      <c r="G62" s="46">
        <f>101+8830</f>
        <v>8931</v>
      </c>
      <c r="H62" s="48">
        <f>G62/C62</f>
        <v>0.76568930041152261</v>
      </c>
      <c r="I62" s="47">
        <v>0</v>
      </c>
      <c r="J62" s="46">
        <v>2733</v>
      </c>
      <c r="K62" s="46">
        <v>2733</v>
      </c>
      <c r="L62" s="190">
        <f>K62/J62</f>
        <v>1</v>
      </c>
      <c r="M62" s="134">
        <f>K62+G62</f>
        <v>11664</v>
      </c>
      <c r="N62" s="176">
        <f>(M62/C62)*100</f>
        <v>100</v>
      </c>
      <c r="O62" s="46"/>
      <c r="P62" s="46"/>
      <c r="Q62" s="46">
        <v>0</v>
      </c>
      <c r="R62" s="93"/>
      <c r="S62" s="93"/>
      <c r="T62" s="46"/>
      <c r="U62" s="46"/>
      <c r="V62" s="115"/>
    </row>
    <row r="63" spans="1:22" s="8" customFormat="1" ht="30" customHeight="1" thickBot="1" x14ac:dyDescent="0.25">
      <c r="A63" s="147"/>
      <c r="B63" s="148" t="s">
        <v>106</v>
      </c>
      <c r="C63" s="214">
        <f>G63+J63</f>
        <v>927</v>
      </c>
      <c r="D63" s="215"/>
      <c r="E63" s="171">
        <v>0</v>
      </c>
      <c r="F63" s="171">
        <f>G63+J63</f>
        <v>927</v>
      </c>
      <c r="G63" s="171">
        <v>806</v>
      </c>
      <c r="H63" s="216">
        <v>0</v>
      </c>
      <c r="I63" s="215">
        <v>0</v>
      </c>
      <c r="J63" s="171">
        <v>121</v>
      </c>
      <c r="K63" s="171">
        <v>121</v>
      </c>
      <c r="L63" s="217">
        <v>0</v>
      </c>
      <c r="M63" s="214">
        <f>K63+G63</f>
        <v>927</v>
      </c>
      <c r="N63" s="218">
        <v>0</v>
      </c>
      <c r="O63" s="171"/>
      <c r="P63" s="171"/>
      <c r="Q63" s="171">
        <v>0</v>
      </c>
      <c r="R63" s="213"/>
      <c r="S63" s="171"/>
      <c r="T63" s="171"/>
      <c r="U63" s="171"/>
      <c r="V63" s="172"/>
    </row>
    <row r="64" spans="1:22" s="8" customFormat="1" ht="30" customHeight="1" x14ac:dyDescent="0.2">
      <c r="A64" s="153" t="s">
        <v>126</v>
      </c>
      <c r="B64" s="219" t="s">
        <v>127</v>
      </c>
      <c r="C64" s="56">
        <f>SUM(C65:C72)</f>
        <v>3801239</v>
      </c>
      <c r="D64" s="57"/>
      <c r="E64" s="56">
        <f>SUM(E65:E66)</f>
        <v>2983160</v>
      </c>
      <c r="F64" s="56">
        <f>SUM(F69:F72)</f>
        <v>810201</v>
      </c>
      <c r="G64" s="56">
        <f>SUM(G65:G72)</f>
        <v>2621</v>
      </c>
      <c r="H64" s="58">
        <f>G64/C64</f>
        <v>6.8951202489504076E-4</v>
      </c>
      <c r="I64" s="56">
        <f>SUM(I65:I72)</f>
        <v>0</v>
      </c>
      <c r="J64" s="56">
        <f>SUM(J65:J72)</f>
        <v>3798618</v>
      </c>
      <c r="K64" s="56">
        <f t="shared" ref="K64:V64" si="12">SUM(K65:K72)</f>
        <v>0</v>
      </c>
      <c r="L64" s="56">
        <f t="shared" si="12"/>
        <v>0</v>
      </c>
      <c r="M64" s="56">
        <f t="shared" si="12"/>
        <v>2621</v>
      </c>
      <c r="N64" s="194">
        <f>M64/C64</f>
        <v>6.8951202489504076E-4</v>
      </c>
      <c r="O64" s="56">
        <f t="shared" si="12"/>
        <v>0</v>
      </c>
      <c r="P64" s="56">
        <f t="shared" si="12"/>
        <v>0</v>
      </c>
      <c r="Q64" s="56">
        <f t="shared" si="12"/>
        <v>2529664</v>
      </c>
      <c r="R64" s="56">
        <f t="shared" si="12"/>
        <v>461374</v>
      </c>
      <c r="S64" s="56">
        <f t="shared" si="12"/>
        <v>756900</v>
      </c>
      <c r="T64" s="56">
        <f t="shared" si="12"/>
        <v>138048</v>
      </c>
      <c r="U64" s="56">
        <f t="shared" si="12"/>
        <v>0</v>
      </c>
      <c r="V64" s="227">
        <f t="shared" si="12"/>
        <v>0</v>
      </c>
    </row>
    <row r="65" spans="1:27" s="8" customFormat="1" ht="30" customHeight="1" x14ac:dyDescent="0.2">
      <c r="A65" s="142"/>
      <c r="B65" s="143" t="s">
        <v>128</v>
      </c>
      <c r="C65" s="134">
        <f t="shared" ref="C65:C72" si="13">G65+J65</f>
        <v>2523001</v>
      </c>
      <c r="D65" s="226">
        <v>0.84574786999999996</v>
      </c>
      <c r="E65" s="46">
        <f>G65+J65</f>
        <v>2523001</v>
      </c>
      <c r="F65" s="46"/>
      <c r="G65" s="46">
        <v>0</v>
      </c>
      <c r="H65" s="48">
        <f>G65/C65</f>
        <v>0</v>
      </c>
      <c r="I65" s="47">
        <v>0</v>
      </c>
      <c r="J65" s="46">
        <v>2523001</v>
      </c>
      <c r="K65" s="46">
        <v>0</v>
      </c>
      <c r="L65" s="190">
        <f>K65/J65</f>
        <v>0</v>
      </c>
      <c r="M65" s="134">
        <f>K65+G65</f>
        <v>0</v>
      </c>
      <c r="N65" s="176">
        <f t="shared" ref="N65:N72" si="14">(M65/C65)*100</f>
        <v>0</v>
      </c>
      <c r="O65" s="46">
        <v>0</v>
      </c>
      <c r="P65" s="46">
        <v>0</v>
      </c>
      <c r="Q65" s="46">
        <v>2523001</v>
      </c>
      <c r="R65" s="93">
        <v>0</v>
      </c>
      <c r="S65" s="93">
        <v>756900</v>
      </c>
      <c r="T65" s="46">
        <v>0</v>
      </c>
      <c r="U65" s="46">
        <v>0</v>
      </c>
      <c r="V65" s="115">
        <v>0</v>
      </c>
    </row>
    <row r="66" spans="1:27" s="8" customFormat="1" ht="30" customHeight="1" x14ac:dyDescent="0.2">
      <c r="A66" s="144"/>
      <c r="B66" s="143" t="s">
        <v>129</v>
      </c>
      <c r="C66" s="134">
        <f t="shared" si="13"/>
        <v>460159</v>
      </c>
      <c r="D66" s="226">
        <v>0.15425212999999999</v>
      </c>
      <c r="E66" s="46">
        <f>G66+J66</f>
        <v>460159</v>
      </c>
      <c r="F66" s="46"/>
      <c r="G66" s="46">
        <v>0</v>
      </c>
      <c r="H66" s="48">
        <v>0</v>
      </c>
      <c r="I66" s="47">
        <v>0</v>
      </c>
      <c r="J66" s="46">
        <v>460159</v>
      </c>
      <c r="K66" s="46">
        <v>0</v>
      </c>
      <c r="L66" s="190">
        <v>0</v>
      </c>
      <c r="M66" s="134">
        <f>K66+G66</f>
        <v>0</v>
      </c>
      <c r="N66" s="176">
        <f t="shared" si="14"/>
        <v>0</v>
      </c>
      <c r="O66" s="46">
        <v>0</v>
      </c>
      <c r="P66" s="46">
        <v>0</v>
      </c>
      <c r="Q66" s="46">
        <v>0</v>
      </c>
      <c r="R66" s="93">
        <v>460159</v>
      </c>
      <c r="S66" s="93">
        <v>0</v>
      </c>
      <c r="T66" s="46">
        <v>138048</v>
      </c>
      <c r="U66" s="46">
        <v>0</v>
      </c>
      <c r="V66" s="115">
        <v>0</v>
      </c>
      <c r="W66" s="3"/>
    </row>
    <row r="67" spans="1:27" s="8" customFormat="1" ht="30" customHeight="1" x14ac:dyDescent="0.2">
      <c r="A67" s="142"/>
      <c r="B67" s="220" t="s">
        <v>130</v>
      </c>
      <c r="C67" s="134">
        <f t="shared" si="13"/>
        <v>6663</v>
      </c>
      <c r="D67" s="226">
        <v>0.84574786999999996</v>
      </c>
      <c r="E67" s="46">
        <f>G67+J67</f>
        <v>6663</v>
      </c>
      <c r="F67" s="46"/>
      <c r="G67" s="46">
        <v>0</v>
      </c>
      <c r="H67" s="48">
        <v>0</v>
      </c>
      <c r="I67" s="47">
        <v>0</v>
      </c>
      <c r="J67" s="46">
        <v>6663</v>
      </c>
      <c r="K67" s="46">
        <v>0</v>
      </c>
      <c r="L67" s="190">
        <v>0</v>
      </c>
      <c r="M67" s="134">
        <f t="shared" ref="M67:M72" si="15">K67+G67</f>
        <v>0</v>
      </c>
      <c r="N67" s="176">
        <f t="shared" si="14"/>
        <v>0</v>
      </c>
      <c r="O67" s="46">
        <v>0</v>
      </c>
      <c r="P67" s="46"/>
      <c r="Q67" s="46">
        <v>6663</v>
      </c>
      <c r="R67" s="93">
        <v>0</v>
      </c>
      <c r="S67" s="93">
        <v>0</v>
      </c>
      <c r="T67" s="46">
        <v>0</v>
      </c>
      <c r="U67" s="46">
        <v>0</v>
      </c>
      <c r="V67" s="115">
        <v>0</v>
      </c>
    </row>
    <row r="68" spans="1:27" s="8" customFormat="1" ht="30" customHeight="1" x14ac:dyDescent="0.2">
      <c r="A68" s="142"/>
      <c r="B68" s="221" t="s">
        <v>131</v>
      </c>
      <c r="C68" s="212">
        <f t="shared" si="13"/>
        <v>1215</v>
      </c>
      <c r="D68" s="230">
        <v>0.15425212999999999</v>
      </c>
      <c r="E68" s="43">
        <f>G68+J68</f>
        <v>1215</v>
      </c>
      <c r="F68" s="43"/>
      <c r="G68" s="43">
        <v>0</v>
      </c>
      <c r="H68" s="65">
        <v>0</v>
      </c>
      <c r="I68" s="44">
        <v>0</v>
      </c>
      <c r="J68" s="43">
        <v>1215</v>
      </c>
      <c r="K68" s="43">
        <v>0</v>
      </c>
      <c r="L68" s="225">
        <v>0</v>
      </c>
      <c r="M68" s="212">
        <f t="shared" si="15"/>
        <v>0</v>
      </c>
      <c r="N68" s="178">
        <f t="shared" si="14"/>
        <v>0</v>
      </c>
      <c r="O68" s="43">
        <v>0</v>
      </c>
      <c r="P68" s="43"/>
      <c r="Q68" s="43">
        <v>0</v>
      </c>
      <c r="R68" s="94">
        <v>1215</v>
      </c>
      <c r="S68" s="94">
        <v>0</v>
      </c>
      <c r="T68" s="43">
        <v>0</v>
      </c>
      <c r="U68" s="43">
        <v>0</v>
      </c>
      <c r="V68" s="116">
        <v>0</v>
      </c>
    </row>
    <row r="69" spans="1:27" s="8" customFormat="1" ht="30" customHeight="1" x14ac:dyDescent="0.2">
      <c r="A69" s="142"/>
      <c r="B69" s="222" t="s">
        <v>105</v>
      </c>
      <c r="C69" s="134">
        <f t="shared" si="13"/>
        <v>28</v>
      </c>
      <c r="D69" s="47"/>
      <c r="E69" s="46"/>
      <c r="F69" s="46">
        <f>G69+J69</f>
        <v>28</v>
      </c>
      <c r="G69" s="46">
        <v>28</v>
      </c>
      <c r="H69" s="48">
        <v>0</v>
      </c>
      <c r="I69" s="47">
        <v>0</v>
      </c>
      <c r="J69" s="46">
        <v>0</v>
      </c>
      <c r="K69" s="46">
        <v>0</v>
      </c>
      <c r="L69" s="190">
        <v>0</v>
      </c>
      <c r="M69" s="134">
        <f t="shared" si="15"/>
        <v>28</v>
      </c>
      <c r="N69" s="176">
        <f t="shared" si="14"/>
        <v>100</v>
      </c>
      <c r="O69" s="46"/>
      <c r="P69" s="46"/>
      <c r="Q69" s="46"/>
      <c r="R69" s="93"/>
      <c r="S69" s="93"/>
      <c r="T69" s="46"/>
      <c r="U69" s="46"/>
      <c r="V69" s="115"/>
    </row>
    <row r="70" spans="1:27" s="8" customFormat="1" ht="30" customHeight="1" x14ac:dyDescent="0.2">
      <c r="A70" s="142"/>
      <c r="B70" s="220" t="s">
        <v>132</v>
      </c>
      <c r="C70" s="134">
        <f t="shared" si="13"/>
        <v>805453</v>
      </c>
      <c r="D70" s="47"/>
      <c r="E70" s="46"/>
      <c r="F70" s="46">
        <f>G70+J70</f>
        <v>805453</v>
      </c>
      <c r="G70" s="46">
        <v>0</v>
      </c>
      <c r="H70" s="48">
        <v>0</v>
      </c>
      <c r="I70" s="47">
        <v>0</v>
      </c>
      <c r="J70" s="46">
        <v>805453</v>
      </c>
      <c r="K70" s="46">
        <v>0</v>
      </c>
      <c r="L70" s="190">
        <v>0</v>
      </c>
      <c r="M70" s="134">
        <f t="shared" si="15"/>
        <v>0</v>
      </c>
      <c r="N70" s="176">
        <f t="shared" si="14"/>
        <v>0</v>
      </c>
      <c r="O70" s="46"/>
      <c r="P70" s="46"/>
      <c r="Q70" s="46"/>
      <c r="R70" s="93"/>
      <c r="S70" s="93"/>
      <c r="T70" s="46"/>
      <c r="U70" s="46"/>
      <c r="V70" s="115"/>
    </row>
    <row r="71" spans="1:27" s="8" customFormat="1" ht="30" customHeight="1" x14ac:dyDescent="0.2">
      <c r="A71" s="142"/>
      <c r="B71" s="220" t="s">
        <v>133</v>
      </c>
      <c r="C71" s="134">
        <f t="shared" si="13"/>
        <v>2593</v>
      </c>
      <c r="D71" s="47"/>
      <c r="E71" s="46"/>
      <c r="F71" s="46">
        <f>G71+J71</f>
        <v>2593</v>
      </c>
      <c r="G71" s="46">
        <v>2593</v>
      </c>
      <c r="H71" s="48">
        <v>0</v>
      </c>
      <c r="I71" s="47">
        <v>0</v>
      </c>
      <c r="J71" s="46">
        <v>0</v>
      </c>
      <c r="K71" s="46">
        <v>0</v>
      </c>
      <c r="L71" s="190">
        <v>0</v>
      </c>
      <c r="M71" s="134">
        <f t="shared" si="15"/>
        <v>2593</v>
      </c>
      <c r="N71" s="176">
        <f t="shared" si="14"/>
        <v>100</v>
      </c>
      <c r="O71" s="46"/>
      <c r="P71" s="46"/>
      <c r="Q71" s="46"/>
      <c r="R71" s="93"/>
      <c r="S71" s="93"/>
      <c r="T71" s="46"/>
      <c r="U71" s="46"/>
      <c r="V71" s="115"/>
    </row>
    <row r="72" spans="1:27" s="8" customFormat="1" ht="30" customHeight="1" thickBot="1" x14ac:dyDescent="0.25">
      <c r="A72" s="142"/>
      <c r="B72" s="223" t="s">
        <v>134</v>
      </c>
      <c r="C72" s="214">
        <f t="shared" si="13"/>
        <v>2127</v>
      </c>
      <c r="D72" s="215"/>
      <c r="E72" s="171"/>
      <c r="F72" s="171">
        <f>G72+J72</f>
        <v>2127</v>
      </c>
      <c r="G72" s="171">
        <v>0</v>
      </c>
      <c r="H72" s="216">
        <v>0</v>
      </c>
      <c r="I72" s="215">
        <v>0</v>
      </c>
      <c r="J72" s="171">
        <v>2127</v>
      </c>
      <c r="K72" s="171">
        <v>0</v>
      </c>
      <c r="L72" s="217">
        <v>0</v>
      </c>
      <c r="M72" s="214">
        <f t="shared" si="15"/>
        <v>0</v>
      </c>
      <c r="N72" s="218">
        <f t="shared" si="14"/>
        <v>0</v>
      </c>
      <c r="O72" s="171"/>
      <c r="P72" s="171"/>
      <c r="Q72" s="171"/>
      <c r="R72" s="213"/>
      <c r="S72" s="213"/>
      <c r="T72" s="171"/>
      <c r="U72" s="171"/>
      <c r="V72" s="172"/>
    </row>
    <row r="73" spans="1:27" s="50" customFormat="1" ht="27" customHeight="1" thickBot="1" x14ac:dyDescent="0.25">
      <c r="A73" s="133"/>
      <c r="B73" s="30" t="s">
        <v>50</v>
      </c>
      <c r="C73" s="224">
        <f>C24+C19+C14+C29+C36+C43+C49+C54+C59+C64</f>
        <v>6976136</v>
      </c>
      <c r="D73" s="224">
        <f t="shared" ref="D73:V73" si="16">D24+D19+D14+D29+D36+D43+D49+D54+D59+D64</f>
        <v>0</v>
      </c>
      <c r="E73" s="224">
        <f t="shared" si="16"/>
        <v>5721881</v>
      </c>
      <c r="F73" s="224">
        <f>F24+F19+F14+F29+F36+F43+F49+F54+F59+F64</f>
        <v>1246377</v>
      </c>
      <c r="G73" s="224">
        <f t="shared" si="16"/>
        <v>1898773</v>
      </c>
      <c r="H73" s="224">
        <f t="shared" si="16"/>
        <v>450.44797923568962</v>
      </c>
      <c r="I73" s="224">
        <f t="shared" si="16"/>
        <v>1259482</v>
      </c>
      <c r="J73" s="224">
        <f t="shared" si="16"/>
        <v>5077363</v>
      </c>
      <c r="K73" s="224">
        <f>K24+K19+K14+K29+K36+K43+K49+K54+K59+K64</f>
        <v>678439</v>
      </c>
      <c r="L73" s="224">
        <f t="shared" si="16"/>
        <v>6.8806587179963863</v>
      </c>
      <c r="M73" s="224">
        <f t="shared" si="16"/>
        <v>2577212</v>
      </c>
      <c r="N73" s="224">
        <f t="shared" si="16"/>
        <v>725.04422689411308</v>
      </c>
      <c r="O73" s="224">
        <f t="shared" si="16"/>
        <v>1797511</v>
      </c>
      <c r="P73" s="224">
        <f t="shared" si="16"/>
        <v>0</v>
      </c>
      <c r="Q73" s="224">
        <f t="shared" si="16"/>
        <v>3476847</v>
      </c>
      <c r="R73" s="224">
        <f t="shared" si="16"/>
        <v>461374</v>
      </c>
      <c r="S73" s="224">
        <f t="shared" si="16"/>
        <v>1634694</v>
      </c>
      <c r="T73" s="224">
        <f t="shared" si="16"/>
        <v>138048</v>
      </c>
      <c r="U73" s="224">
        <f t="shared" si="16"/>
        <v>6445</v>
      </c>
      <c r="V73" s="231">
        <f t="shared" si="16"/>
        <v>29275</v>
      </c>
    </row>
    <row r="74" spans="1:27" ht="27" customHeight="1" thickBot="1" x14ac:dyDescent="0.25">
      <c r="A74" s="29" t="s">
        <v>41</v>
      </c>
      <c r="B74" s="30" t="s">
        <v>42</v>
      </c>
      <c r="C74" s="19"/>
      <c r="D74" s="26"/>
      <c r="E74" s="19"/>
      <c r="F74" s="19"/>
      <c r="G74" s="19"/>
      <c r="H74" s="27"/>
      <c r="I74" s="26"/>
      <c r="J74" s="19"/>
      <c r="K74" s="19"/>
      <c r="L74" s="195"/>
      <c r="M74" s="19"/>
      <c r="N74" s="196"/>
      <c r="O74" s="19"/>
      <c r="P74" s="19"/>
      <c r="Q74" s="19"/>
      <c r="R74" s="98"/>
      <c r="S74" s="98"/>
      <c r="T74" s="98"/>
      <c r="U74" s="19"/>
      <c r="V74" s="120"/>
      <c r="W74" s="3"/>
      <c r="X74" s="8"/>
      <c r="Y74" s="8"/>
      <c r="Z74" s="3"/>
      <c r="AA74" s="8"/>
    </row>
    <row r="75" spans="1:27" ht="33" customHeight="1" x14ac:dyDescent="0.2">
      <c r="A75" s="31" t="s">
        <v>44</v>
      </c>
      <c r="B75" s="139" t="s">
        <v>53</v>
      </c>
      <c r="C75" s="32"/>
      <c r="D75" s="24"/>
      <c r="E75" s="32"/>
      <c r="F75" s="32"/>
      <c r="G75" s="32"/>
      <c r="H75" s="25"/>
      <c r="I75" s="24"/>
      <c r="J75" s="32"/>
      <c r="K75" s="32"/>
      <c r="L75" s="197"/>
      <c r="M75" s="88"/>
      <c r="N75" s="198"/>
      <c r="O75" s="88"/>
      <c r="P75" s="88"/>
      <c r="Q75" s="88"/>
      <c r="R75" s="99"/>
      <c r="S75" s="99"/>
      <c r="T75" s="99"/>
      <c r="U75" s="99"/>
      <c r="V75" s="100"/>
      <c r="W75" s="8"/>
      <c r="X75" s="3"/>
      <c r="Y75" s="3"/>
      <c r="Z75" s="3"/>
      <c r="AA75" s="8"/>
    </row>
    <row r="76" spans="1:27" ht="21.75" customHeight="1" x14ac:dyDescent="0.2">
      <c r="A76" s="22"/>
      <c r="B76" s="21" t="s">
        <v>35</v>
      </c>
      <c r="C76" s="5">
        <v>0</v>
      </c>
      <c r="D76" s="17"/>
      <c r="E76" s="5">
        <v>0</v>
      </c>
      <c r="F76" s="5">
        <v>0</v>
      </c>
      <c r="G76" s="5">
        <v>0</v>
      </c>
      <c r="H76" s="18">
        <v>0</v>
      </c>
      <c r="I76" s="17">
        <v>0</v>
      </c>
      <c r="J76" s="5">
        <v>0</v>
      </c>
      <c r="K76" s="5">
        <v>0</v>
      </c>
      <c r="L76" s="199"/>
      <c r="M76" s="5">
        <f>K76+G76</f>
        <v>0</v>
      </c>
      <c r="N76" s="200"/>
      <c r="O76" s="5">
        <v>0</v>
      </c>
      <c r="P76" s="5">
        <v>0</v>
      </c>
      <c r="Q76" s="5">
        <v>0</v>
      </c>
      <c r="R76" s="101">
        <v>0</v>
      </c>
      <c r="S76" s="101">
        <v>0</v>
      </c>
      <c r="T76" s="101">
        <v>0</v>
      </c>
      <c r="U76" s="101">
        <v>0</v>
      </c>
      <c r="V76" s="121">
        <v>0</v>
      </c>
      <c r="W76" s="8"/>
      <c r="X76" s="3"/>
      <c r="Y76" s="3"/>
      <c r="Z76" s="3"/>
      <c r="AA76" s="8"/>
    </row>
    <row r="77" spans="1:27" ht="21.75" customHeight="1" x14ac:dyDescent="0.2">
      <c r="A77" s="22"/>
      <c r="B77" s="21" t="s">
        <v>33</v>
      </c>
      <c r="C77" s="5">
        <v>8000</v>
      </c>
      <c r="D77" s="17">
        <v>100</v>
      </c>
      <c r="E77" s="5">
        <v>8000</v>
      </c>
      <c r="F77" s="5">
        <v>0</v>
      </c>
      <c r="G77" s="5">
        <f>0+5556+340+786-278</f>
        <v>6404</v>
      </c>
      <c r="H77" s="18">
        <v>0</v>
      </c>
      <c r="I77" s="17">
        <v>1318</v>
      </c>
      <c r="J77" s="5">
        <v>1596</v>
      </c>
      <c r="K77" s="5">
        <v>497</v>
      </c>
      <c r="L77" s="199">
        <f>K77/J77</f>
        <v>0.31140350877192985</v>
      </c>
      <c r="M77" s="5">
        <f>K77+G77-1</f>
        <v>6900</v>
      </c>
      <c r="N77" s="200">
        <f>(M77/C77)*100</f>
        <v>86.25</v>
      </c>
      <c r="O77" s="5">
        <v>8000</v>
      </c>
      <c r="P77" s="5">
        <v>0</v>
      </c>
      <c r="Q77" s="5">
        <v>0</v>
      </c>
      <c r="R77" s="101">
        <v>0</v>
      </c>
      <c r="S77" s="101">
        <v>0</v>
      </c>
      <c r="T77" s="101">
        <v>0</v>
      </c>
      <c r="U77" s="101">
        <v>0</v>
      </c>
      <c r="V77" s="121">
        <v>0</v>
      </c>
      <c r="W77" s="8"/>
      <c r="X77" s="3"/>
      <c r="Y77" s="3"/>
      <c r="Z77" s="3"/>
      <c r="AA77" s="8"/>
    </row>
    <row r="78" spans="1:27" ht="21.75" customHeight="1" x14ac:dyDescent="0.2">
      <c r="A78" s="82"/>
      <c r="B78" s="21" t="s">
        <v>73</v>
      </c>
      <c r="C78" s="83">
        <f>SUM(F78)</f>
        <v>127</v>
      </c>
      <c r="D78" s="84"/>
      <c r="E78" s="83">
        <v>0</v>
      </c>
      <c r="F78" s="83">
        <v>127</v>
      </c>
      <c r="G78" s="83">
        <f>0+127+278</f>
        <v>405</v>
      </c>
      <c r="H78" s="85"/>
      <c r="I78" s="84">
        <v>0</v>
      </c>
      <c r="J78" s="83">
        <v>0</v>
      </c>
      <c r="K78" s="83">
        <v>0</v>
      </c>
      <c r="L78" s="199">
        <v>0</v>
      </c>
      <c r="M78" s="5">
        <f>K78+G78</f>
        <v>405</v>
      </c>
      <c r="N78" s="200">
        <f>(M78/C78)*100</f>
        <v>318.89763779527561</v>
      </c>
      <c r="O78" s="83"/>
      <c r="P78" s="83"/>
      <c r="Q78" s="83">
        <v>0</v>
      </c>
      <c r="R78" s="102">
        <v>0</v>
      </c>
      <c r="S78" s="102"/>
      <c r="T78" s="102">
        <v>0</v>
      </c>
      <c r="U78" s="101">
        <v>0</v>
      </c>
      <c r="V78" s="121">
        <v>0</v>
      </c>
      <c r="W78" s="8"/>
      <c r="X78" s="3"/>
      <c r="Y78" s="3"/>
      <c r="Z78" s="3"/>
      <c r="AA78" s="8"/>
    </row>
    <row r="79" spans="1:27" ht="21.75" customHeight="1" thickBot="1" x14ac:dyDescent="0.25">
      <c r="A79" s="23"/>
      <c r="B79" s="33" t="s">
        <v>36</v>
      </c>
      <c r="C79" s="20">
        <f>SUM(C76:C78)</f>
        <v>8127</v>
      </c>
      <c r="D79" s="28"/>
      <c r="E79" s="20">
        <f>SUM(E76:E77)</f>
        <v>8000</v>
      </c>
      <c r="F79" s="20">
        <f>SUM(F76:F78)</f>
        <v>127</v>
      </c>
      <c r="G79" s="20">
        <f>SUM(G76:G78)</f>
        <v>6809</v>
      </c>
      <c r="H79" s="34">
        <f>SUM(H76:H77)</f>
        <v>0</v>
      </c>
      <c r="I79" s="28">
        <f>SUM(I76:I78)</f>
        <v>1318</v>
      </c>
      <c r="J79" s="20">
        <f>SUM(J76:J78)</f>
        <v>1596</v>
      </c>
      <c r="K79" s="20">
        <f>SUM(K76:K78)</f>
        <v>497</v>
      </c>
      <c r="L79" s="201">
        <f>SUM(L77:L78)</f>
        <v>0.31140350877192985</v>
      </c>
      <c r="M79" s="20">
        <f>SUM(M76:M78)</f>
        <v>7305</v>
      </c>
      <c r="N79" s="202">
        <f>(M79/C79)*100</f>
        <v>89.885566629752674</v>
      </c>
      <c r="O79" s="20">
        <f>SUM(O76:O77)</f>
        <v>8000</v>
      </c>
      <c r="P79" s="20">
        <f>SUM(P76:P77)</f>
        <v>0</v>
      </c>
      <c r="Q79" s="20">
        <f>SUM(Q76:Q77)</f>
        <v>0</v>
      </c>
      <c r="R79" s="103">
        <f>SUM(R76:R77)</f>
        <v>0</v>
      </c>
      <c r="S79" s="103">
        <f>SUM(S76:S78)</f>
        <v>0</v>
      </c>
      <c r="T79" s="103">
        <v>0</v>
      </c>
      <c r="U79" s="20">
        <v>0</v>
      </c>
      <c r="V79" s="122">
        <v>0</v>
      </c>
      <c r="W79" s="8"/>
      <c r="X79" s="3"/>
      <c r="Y79" s="2"/>
      <c r="Z79" s="2"/>
      <c r="AA79" s="2"/>
    </row>
    <row r="80" spans="1:27" ht="39.75" customHeight="1" x14ac:dyDescent="0.2">
      <c r="A80" s="31" t="s">
        <v>45</v>
      </c>
      <c r="B80" s="139" t="s">
        <v>62</v>
      </c>
      <c r="C80" s="32"/>
      <c r="D80" s="24"/>
      <c r="E80" s="32"/>
      <c r="F80" s="32"/>
      <c r="G80" s="32"/>
      <c r="H80" s="25"/>
      <c r="I80" s="24"/>
      <c r="J80" s="32"/>
      <c r="K80" s="32"/>
      <c r="L80" s="197"/>
      <c r="M80" s="89"/>
      <c r="N80" s="198"/>
      <c r="O80" s="88"/>
      <c r="P80" s="88"/>
      <c r="Q80" s="88"/>
      <c r="R80" s="99"/>
      <c r="S80" s="99"/>
      <c r="T80" s="99"/>
      <c r="U80" s="99"/>
      <c r="V80" s="100"/>
      <c r="W80" s="8"/>
      <c r="X80" s="3"/>
      <c r="Y80" s="3"/>
      <c r="Z80" s="3"/>
    </row>
    <row r="81" spans="1:27" ht="21.75" customHeight="1" x14ac:dyDescent="0.2">
      <c r="A81" s="22"/>
      <c r="B81" s="21" t="s">
        <v>35</v>
      </c>
      <c r="C81" s="5">
        <f>E81</f>
        <v>592</v>
      </c>
      <c r="D81" s="17">
        <v>100</v>
      </c>
      <c r="E81" s="5">
        <f>G81+J81</f>
        <v>592</v>
      </c>
      <c r="F81" s="5">
        <v>0</v>
      </c>
      <c r="G81" s="5">
        <f>0+328+264</f>
        <v>592</v>
      </c>
      <c r="H81" s="18">
        <v>0</v>
      </c>
      <c r="I81" s="17">
        <v>0</v>
      </c>
      <c r="J81" s="5">
        <v>0</v>
      </c>
      <c r="K81" s="5">
        <v>0</v>
      </c>
      <c r="L81" s="199">
        <v>0</v>
      </c>
      <c r="M81" s="5">
        <f>K81+G81</f>
        <v>592</v>
      </c>
      <c r="N81" s="200">
        <f>(M81/C81)*100</f>
        <v>100</v>
      </c>
      <c r="O81" s="5">
        <v>592</v>
      </c>
      <c r="P81" s="5">
        <v>0</v>
      </c>
      <c r="Q81" s="5">
        <v>0</v>
      </c>
      <c r="R81" s="101">
        <v>0</v>
      </c>
      <c r="S81" s="101">
        <v>0</v>
      </c>
      <c r="T81" s="101">
        <v>0</v>
      </c>
      <c r="U81" s="101">
        <v>0</v>
      </c>
      <c r="V81" s="121">
        <v>0</v>
      </c>
      <c r="W81" s="8"/>
      <c r="X81" s="3"/>
      <c r="Y81" s="3"/>
      <c r="Z81" s="3"/>
      <c r="AA81" s="8"/>
    </row>
    <row r="82" spans="1:27" ht="21.75" customHeight="1" x14ac:dyDescent="0.2">
      <c r="A82" s="22"/>
      <c r="B82" s="21" t="s">
        <v>33</v>
      </c>
      <c r="C82" s="5">
        <f>E82</f>
        <v>23202</v>
      </c>
      <c r="D82" s="17">
        <v>100</v>
      </c>
      <c r="E82" s="5">
        <f>G82+J82+72</f>
        <v>23202</v>
      </c>
      <c r="F82" s="5">
        <v>0</v>
      </c>
      <c r="G82" s="5">
        <f>15467+2856-5+4026</f>
        <v>22344</v>
      </c>
      <c r="H82" s="18">
        <v>0</v>
      </c>
      <c r="I82" s="17">
        <v>858</v>
      </c>
      <c r="J82" s="5">
        <v>786</v>
      </c>
      <c r="K82" s="5">
        <v>723</v>
      </c>
      <c r="L82" s="199">
        <f>K82/J82</f>
        <v>0.91984732824427484</v>
      </c>
      <c r="M82" s="5">
        <f>K82+G82</f>
        <v>23067</v>
      </c>
      <c r="N82" s="200">
        <f>(M82/C82)*100</f>
        <v>99.418153607447636</v>
      </c>
      <c r="O82" s="5">
        <f>23130+72</f>
        <v>23202</v>
      </c>
      <c r="P82" s="5">
        <v>0</v>
      </c>
      <c r="Q82" s="5">
        <v>0</v>
      </c>
      <c r="R82" s="101">
        <v>0</v>
      </c>
      <c r="S82" s="101">
        <v>0</v>
      </c>
      <c r="T82" s="101">
        <v>0</v>
      </c>
      <c r="U82" s="101">
        <v>0</v>
      </c>
      <c r="V82" s="121">
        <v>0</v>
      </c>
      <c r="W82" s="8"/>
      <c r="X82" s="3"/>
      <c r="Y82" s="3"/>
      <c r="Z82" s="3"/>
      <c r="AA82" s="8"/>
    </row>
    <row r="83" spans="1:27" ht="21.75" customHeight="1" x14ac:dyDescent="0.2">
      <c r="A83" s="82"/>
      <c r="B83" s="21" t="s">
        <v>73</v>
      </c>
      <c r="C83" s="5">
        <f>G83+J83</f>
        <v>233</v>
      </c>
      <c r="D83" s="84"/>
      <c r="E83" s="5">
        <v>0</v>
      </c>
      <c r="F83" s="83">
        <f>G83+J83</f>
        <v>233</v>
      </c>
      <c r="G83" s="83">
        <f>13+5+143</f>
        <v>161</v>
      </c>
      <c r="H83" s="18">
        <v>0</v>
      </c>
      <c r="I83" s="84">
        <v>0</v>
      </c>
      <c r="J83" s="83">
        <v>72</v>
      </c>
      <c r="K83" s="83">
        <v>72</v>
      </c>
      <c r="L83" s="199">
        <v>0</v>
      </c>
      <c r="M83" s="83">
        <f>K83+G83</f>
        <v>233</v>
      </c>
      <c r="N83" s="203"/>
      <c r="O83" s="83"/>
      <c r="P83" s="83"/>
      <c r="Q83" s="83"/>
      <c r="R83" s="102"/>
      <c r="S83" s="102"/>
      <c r="T83" s="102"/>
      <c r="U83" s="102"/>
      <c r="V83" s="123"/>
      <c r="W83" s="8"/>
      <c r="X83" s="3"/>
      <c r="Y83" s="3"/>
      <c r="Z83" s="3"/>
      <c r="AA83" s="8"/>
    </row>
    <row r="84" spans="1:27" ht="21.75" customHeight="1" thickBot="1" x14ac:dyDescent="0.25">
      <c r="A84" s="23"/>
      <c r="B84" s="33" t="s">
        <v>36</v>
      </c>
      <c r="C84" s="20">
        <f>SUM(C81:C83)</f>
        <v>24027</v>
      </c>
      <c r="D84" s="28"/>
      <c r="E84" s="20">
        <f>SUM(E81:E83)</f>
        <v>23794</v>
      </c>
      <c r="F84" s="20">
        <f>SUM(F81:F83)</f>
        <v>233</v>
      </c>
      <c r="G84" s="20">
        <f>SUM(G81:G83)</f>
        <v>23097</v>
      </c>
      <c r="H84" s="34">
        <f>SUM(H81:H82)</f>
        <v>0</v>
      </c>
      <c r="I84" s="28">
        <f>SUM(I81:I83)</f>
        <v>858</v>
      </c>
      <c r="J84" s="20">
        <f>SUM(J81:J83)</f>
        <v>858</v>
      </c>
      <c r="K84" s="20">
        <f>SUM(K81:K83)</f>
        <v>795</v>
      </c>
      <c r="L84" s="201">
        <f>SUM(L81:L82)</f>
        <v>0.91984732824427484</v>
      </c>
      <c r="M84" s="20">
        <f>SUM(M81:M83)</f>
        <v>23892</v>
      </c>
      <c r="N84" s="202">
        <f>(M84/C84)*100</f>
        <v>99.438132101385946</v>
      </c>
      <c r="O84" s="20">
        <f t="shared" ref="O84:V84" si="17">SUM(O81:O82)</f>
        <v>23794</v>
      </c>
      <c r="P84" s="20">
        <f t="shared" si="17"/>
        <v>0</v>
      </c>
      <c r="Q84" s="20">
        <f t="shared" si="17"/>
        <v>0</v>
      </c>
      <c r="R84" s="20">
        <f t="shared" si="17"/>
        <v>0</v>
      </c>
      <c r="S84" s="20">
        <f t="shared" si="17"/>
        <v>0</v>
      </c>
      <c r="T84" s="20">
        <f t="shared" si="17"/>
        <v>0</v>
      </c>
      <c r="U84" s="20">
        <f t="shared" si="17"/>
        <v>0</v>
      </c>
      <c r="V84" s="122">
        <f t="shared" si="17"/>
        <v>0</v>
      </c>
      <c r="W84" s="8"/>
      <c r="X84" s="3"/>
      <c r="Y84" s="3"/>
      <c r="Z84" s="3"/>
      <c r="AA84" s="8"/>
    </row>
    <row r="85" spans="1:27" ht="35.25" customHeight="1" x14ac:dyDescent="0.2">
      <c r="A85" s="31" t="s">
        <v>46</v>
      </c>
      <c r="B85" s="139" t="s">
        <v>110</v>
      </c>
      <c r="C85" s="51"/>
      <c r="D85" s="52"/>
      <c r="E85" s="51"/>
      <c r="F85" s="51"/>
      <c r="G85" s="51"/>
      <c r="H85" s="53"/>
      <c r="I85" s="53"/>
      <c r="J85" s="51"/>
      <c r="K85" s="51"/>
      <c r="L85" s="197"/>
      <c r="M85" s="89"/>
      <c r="N85" s="198"/>
      <c r="O85" s="89"/>
      <c r="P85" s="89"/>
      <c r="Q85" s="89"/>
      <c r="R85" s="104"/>
      <c r="S85" s="104"/>
      <c r="T85" s="104"/>
      <c r="U85" s="104"/>
      <c r="V85" s="124"/>
      <c r="W85" s="8"/>
      <c r="X85" s="3"/>
      <c r="Y85" s="3"/>
      <c r="Z85" s="3"/>
      <c r="AA85" s="8"/>
    </row>
    <row r="86" spans="1:27" ht="21.75" customHeight="1" x14ac:dyDescent="0.2">
      <c r="A86" s="22"/>
      <c r="B86" s="21" t="s">
        <v>35</v>
      </c>
      <c r="C86" s="5">
        <f>G86+J86</f>
        <v>1000</v>
      </c>
      <c r="D86" s="17">
        <v>100</v>
      </c>
      <c r="E86" s="5">
        <v>1000</v>
      </c>
      <c r="F86" s="5">
        <v>0</v>
      </c>
      <c r="G86" s="5">
        <v>0</v>
      </c>
      <c r="H86" s="18">
        <v>0</v>
      </c>
      <c r="I86" s="17">
        <v>1000</v>
      </c>
      <c r="J86" s="5">
        <v>1000</v>
      </c>
      <c r="K86" s="5">
        <v>1000</v>
      </c>
      <c r="L86" s="199">
        <f>K86/J86</f>
        <v>1</v>
      </c>
      <c r="M86" s="5">
        <f>K86+G86</f>
        <v>1000</v>
      </c>
      <c r="N86" s="200">
        <f>(M86/C86)*100</f>
        <v>100</v>
      </c>
      <c r="O86" s="5">
        <v>0</v>
      </c>
      <c r="P86" s="5">
        <v>0</v>
      </c>
      <c r="Q86" s="5">
        <v>1000</v>
      </c>
      <c r="R86" s="101">
        <v>0</v>
      </c>
      <c r="S86" s="101">
        <v>1000</v>
      </c>
      <c r="T86" s="101">
        <v>0</v>
      </c>
      <c r="U86" s="101">
        <v>0</v>
      </c>
      <c r="V86" s="121">
        <v>0</v>
      </c>
      <c r="W86" s="8"/>
      <c r="X86" s="3"/>
      <c r="Y86" s="49"/>
      <c r="Z86" s="49"/>
      <c r="AA86" s="8"/>
    </row>
    <row r="87" spans="1:27" ht="21.75" customHeight="1" x14ac:dyDescent="0.2">
      <c r="A87" s="22"/>
      <c r="B87" s="21" t="s">
        <v>33</v>
      </c>
      <c r="C87" s="5">
        <f>G87+J87</f>
        <v>4254</v>
      </c>
      <c r="D87" s="17">
        <v>100</v>
      </c>
      <c r="E87" s="5">
        <v>4000</v>
      </c>
      <c r="F87" s="5">
        <v>0</v>
      </c>
      <c r="G87" s="5">
        <v>254</v>
      </c>
      <c r="H87" s="18">
        <v>0</v>
      </c>
      <c r="I87" s="17">
        <v>3746</v>
      </c>
      <c r="J87" s="5">
        <v>4000</v>
      </c>
      <c r="K87" s="5">
        <v>1810</v>
      </c>
      <c r="L87" s="199">
        <f>K87/J87</f>
        <v>0.45250000000000001</v>
      </c>
      <c r="M87" s="5">
        <f>K87+G87</f>
        <v>2064</v>
      </c>
      <c r="N87" s="200">
        <f>(M87/C87)*100</f>
        <v>48.519040902679833</v>
      </c>
      <c r="O87" s="5">
        <v>0</v>
      </c>
      <c r="P87" s="5">
        <v>0</v>
      </c>
      <c r="Q87" s="5">
        <v>4000</v>
      </c>
      <c r="R87" s="101">
        <v>0</v>
      </c>
      <c r="S87" s="101">
        <v>4000</v>
      </c>
      <c r="T87" s="101">
        <v>0</v>
      </c>
      <c r="U87" s="101">
        <v>0</v>
      </c>
      <c r="V87" s="121">
        <v>0</v>
      </c>
      <c r="W87" s="8"/>
      <c r="X87" s="3"/>
      <c r="AA87" s="8"/>
    </row>
    <row r="88" spans="1:27" ht="21.75" customHeight="1" thickBot="1" x14ac:dyDescent="0.25">
      <c r="A88" s="23"/>
      <c r="B88" s="33" t="s">
        <v>36</v>
      </c>
      <c r="C88" s="20">
        <f>SUM(C86:C87)</f>
        <v>5254</v>
      </c>
      <c r="D88" s="28"/>
      <c r="E88" s="20">
        <f t="shared" ref="E88:R88" si="18">SUM(E86:E87)</f>
        <v>5000</v>
      </c>
      <c r="F88" s="20">
        <f t="shared" si="18"/>
        <v>0</v>
      </c>
      <c r="G88" s="20">
        <f t="shared" si="18"/>
        <v>254</v>
      </c>
      <c r="H88" s="34">
        <f>SUM(H86:H87)</f>
        <v>0</v>
      </c>
      <c r="I88" s="28">
        <f>SUM(I86:I87)</f>
        <v>4746</v>
      </c>
      <c r="J88" s="20">
        <f t="shared" si="18"/>
        <v>5000</v>
      </c>
      <c r="K88" s="20">
        <f>SUM(K86:K87)</f>
        <v>2810</v>
      </c>
      <c r="L88" s="201">
        <f>SUM(L86:L87)</f>
        <v>1.4525000000000001</v>
      </c>
      <c r="M88" s="20">
        <f>SUM(M86:M87)</f>
        <v>3064</v>
      </c>
      <c r="N88" s="202">
        <f>(M88/C88)*100</f>
        <v>58.317472401979444</v>
      </c>
      <c r="O88" s="20">
        <f t="shared" si="18"/>
        <v>0</v>
      </c>
      <c r="P88" s="20">
        <f t="shared" si="18"/>
        <v>0</v>
      </c>
      <c r="Q88" s="20">
        <f>SUM(Q86:Q87)</f>
        <v>5000</v>
      </c>
      <c r="R88" s="103">
        <f t="shared" si="18"/>
        <v>0</v>
      </c>
      <c r="S88" s="103">
        <f>SUM(S86:S87)</f>
        <v>5000</v>
      </c>
      <c r="T88" s="103"/>
      <c r="U88" s="20">
        <v>0</v>
      </c>
      <c r="V88" s="122">
        <v>0</v>
      </c>
      <c r="W88" s="8"/>
      <c r="X88" s="3"/>
      <c r="AA88" s="8"/>
    </row>
    <row r="89" spans="1:27" s="50" customFormat="1" ht="21.75" customHeight="1" thickBot="1" x14ac:dyDescent="0.25">
      <c r="A89" s="54"/>
      <c r="B89" s="55" t="s">
        <v>51</v>
      </c>
      <c r="C89" s="56">
        <f>C79+C84+C88</f>
        <v>37408</v>
      </c>
      <c r="D89" s="56">
        <f t="shared" ref="D89:V89" si="19">D79+D84+D88</f>
        <v>0</v>
      </c>
      <c r="E89" s="56">
        <f t="shared" si="19"/>
        <v>36794</v>
      </c>
      <c r="F89" s="56">
        <f t="shared" si="19"/>
        <v>360</v>
      </c>
      <c r="G89" s="56">
        <f t="shared" si="19"/>
        <v>30160</v>
      </c>
      <c r="H89" s="56"/>
      <c r="I89" s="56">
        <f t="shared" si="19"/>
        <v>6922</v>
      </c>
      <c r="J89" s="56">
        <f t="shared" si="19"/>
        <v>7454</v>
      </c>
      <c r="K89" s="56">
        <f t="shared" si="19"/>
        <v>4102</v>
      </c>
      <c r="L89" s="56">
        <f t="shared" si="19"/>
        <v>2.6837508370162046</v>
      </c>
      <c r="M89" s="56">
        <f t="shared" si="19"/>
        <v>34261</v>
      </c>
      <c r="N89" s="56">
        <f t="shared" si="19"/>
        <v>247.64117113311806</v>
      </c>
      <c r="O89" s="56">
        <f t="shared" si="19"/>
        <v>31794</v>
      </c>
      <c r="P89" s="56">
        <f t="shared" si="19"/>
        <v>0</v>
      </c>
      <c r="Q89" s="56">
        <f t="shared" si="19"/>
        <v>5000</v>
      </c>
      <c r="R89" s="56">
        <f t="shared" si="19"/>
        <v>0</v>
      </c>
      <c r="S89" s="56">
        <f t="shared" si="19"/>
        <v>5000</v>
      </c>
      <c r="T89" s="56">
        <f t="shared" si="19"/>
        <v>0</v>
      </c>
      <c r="U89" s="56">
        <f t="shared" si="19"/>
        <v>0</v>
      </c>
      <c r="V89" s="229">
        <f t="shared" si="19"/>
        <v>0</v>
      </c>
      <c r="W89" s="59"/>
      <c r="X89" s="49"/>
      <c r="Y89" s="1"/>
      <c r="Z89" s="1"/>
      <c r="AA89" s="59"/>
    </row>
    <row r="90" spans="1:27" s="50" customFormat="1" ht="21.75" customHeight="1" x14ac:dyDescent="0.2">
      <c r="A90" s="287" t="s">
        <v>100</v>
      </c>
      <c r="B90" s="288"/>
      <c r="C90" s="32"/>
      <c r="D90" s="24"/>
      <c r="E90" s="32"/>
      <c r="F90" s="32"/>
      <c r="G90" s="32"/>
      <c r="H90" s="32"/>
      <c r="I90" s="32"/>
      <c r="J90" s="32"/>
      <c r="K90" s="32"/>
      <c r="L90" s="204"/>
      <c r="M90" s="32"/>
      <c r="N90" s="205"/>
      <c r="O90" s="32"/>
      <c r="P90" s="32"/>
      <c r="Q90" s="32"/>
      <c r="R90" s="125"/>
      <c r="S90" s="125"/>
      <c r="T90" s="125"/>
      <c r="U90" s="32"/>
      <c r="V90" s="100"/>
      <c r="W90" s="59"/>
      <c r="X90" s="49"/>
      <c r="Y90" s="1"/>
      <c r="Z90" s="1"/>
      <c r="AA90" s="59"/>
    </row>
    <row r="91" spans="1:27" s="50" customFormat="1" ht="21.75" customHeight="1" x14ac:dyDescent="0.2">
      <c r="A91" s="126"/>
      <c r="B91" s="131" t="s">
        <v>101</v>
      </c>
      <c r="C91" s="127"/>
      <c r="D91" s="128"/>
      <c r="E91" s="127"/>
      <c r="F91" s="127"/>
      <c r="G91" s="127"/>
      <c r="H91" s="127"/>
      <c r="I91" s="127"/>
      <c r="J91" s="127"/>
      <c r="K91" s="127"/>
      <c r="L91" s="206"/>
      <c r="M91" s="127"/>
      <c r="N91" s="207"/>
      <c r="O91" s="127"/>
      <c r="P91" s="127"/>
      <c r="Q91" s="127"/>
      <c r="R91" s="129"/>
      <c r="S91" s="129"/>
      <c r="T91" s="129"/>
      <c r="U91" s="127"/>
      <c r="V91" s="130"/>
      <c r="W91" s="59"/>
      <c r="X91" s="49"/>
      <c r="Y91" s="1"/>
      <c r="Z91" s="1"/>
      <c r="AA91" s="59"/>
    </row>
    <row r="92" spans="1:27" s="50" customFormat="1" ht="39" customHeight="1" x14ac:dyDescent="0.2">
      <c r="A92" s="22" t="s">
        <v>44</v>
      </c>
      <c r="B92" s="140" t="s">
        <v>103</v>
      </c>
      <c r="C92" s="127"/>
      <c r="D92" s="128"/>
      <c r="E92" s="127"/>
      <c r="F92" s="127"/>
      <c r="G92" s="127"/>
      <c r="H92" s="127"/>
      <c r="I92" s="127"/>
      <c r="J92" s="127"/>
      <c r="K92" s="127"/>
      <c r="L92" s="206"/>
      <c r="M92" s="127"/>
      <c r="N92" s="207"/>
      <c r="O92" s="127"/>
      <c r="P92" s="127"/>
      <c r="Q92" s="127"/>
      <c r="R92" s="129"/>
      <c r="S92" s="129"/>
      <c r="T92" s="129"/>
      <c r="U92" s="127"/>
      <c r="V92" s="130"/>
      <c r="W92" s="59"/>
      <c r="X92" s="49"/>
      <c r="Y92" s="1"/>
      <c r="Z92" s="1"/>
      <c r="AA92" s="59"/>
    </row>
    <row r="93" spans="1:27" s="50" customFormat="1" ht="21.75" customHeight="1" x14ac:dyDescent="0.2">
      <c r="A93" s="126"/>
      <c r="B93" s="21" t="s">
        <v>35</v>
      </c>
      <c r="C93" s="5">
        <v>1452</v>
      </c>
      <c r="D93" s="17">
        <v>100</v>
      </c>
      <c r="E93" s="5">
        <v>1452</v>
      </c>
      <c r="F93" s="5">
        <v>0</v>
      </c>
      <c r="G93" s="5">
        <v>1275</v>
      </c>
      <c r="H93" s="208">
        <f>G93/C93*100</f>
        <v>87.809917355371908</v>
      </c>
      <c r="I93" s="5">
        <v>0</v>
      </c>
      <c r="J93" s="5">
        <v>0</v>
      </c>
      <c r="K93" s="5">
        <v>0</v>
      </c>
      <c r="L93" s="208"/>
      <c r="M93" s="5">
        <f>SUM(K93+G93)</f>
        <v>1275</v>
      </c>
      <c r="N93" s="200">
        <f>M93/C93*100</f>
        <v>87.809917355371908</v>
      </c>
      <c r="O93" s="5">
        <v>1452</v>
      </c>
      <c r="P93" s="5">
        <v>0</v>
      </c>
      <c r="Q93" s="5">
        <v>0</v>
      </c>
      <c r="R93" s="101">
        <v>0</v>
      </c>
      <c r="S93" s="101">
        <v>0</v>
      </c>
      <c r="T93" s="101">
        <v>0</v>
      </c>
      <c r="U93" s="5">
        <v>0</v>
      </c>
      <c r="V93" s="261">
        <v>0</v>
      </c>
      <c r="W93" s="49"/>
      <c r="X93" s="49"/>
      <c r="Y93" s="1"/>
      <c r="Z93" s="1"/>
      <c r="AA93" s="59"/>
    </row>
    <row r="94" spans="1:27" s="50" customFormat="1" ht="21.75" customHeight="1" x14ac:dyDescent="0.2">
      <c r="A94" s="126"/>
      <c r="B94" s="21" t="s">
        <v>33</v>
      </c>
      <c r="C94" s="5">
        <f>SUM(E94)</f>
        <v>13851</v>
      </c>
      <c r="D94" s="17">
        <v>100</v>
      </c>
      <c r="E94" s="5">
        <f>13851</f>
        <v>13851</v>
      </c>
      <c r="F94" s="5">
        <v>0</v>
      </c>
      <c r="G94" s="5">
        <v>11650</v>
      </c>
      <c r="H94" s="208">
        <f>G94/C94*100</f>
        <v>84.10945058118547</v>
      </c>
      <c r="I94" s="5">
        <v>1335</v>
      </c>
      <c r="J94" s="5">
        <v>1335</v>
      </c>
      <c r="K94" s="5">
        <v>1759</v>
      </c>
      <c r="L94" s="208">
        <f>K94/J94*100</f>
        <v>131.76029962546815</v>
      </c>
      <c r="M94" s="5">
        <f>G94+K94</f>
        <v>13409</v>
      </c>
      <c r="N94" s="200">
        <f>M94/C94*100</f>
        <v>96.808894664645152</v>
      </c>
      <c r="O94" s="5">
        <v>13696</v>
      </c>
      <c r="P94" s="5">
        <v>0</v>
      </c>
      <c r="Q94" s="5">
        <v>155</v>
      </c>
      <c r="R94" s="101">
        <v>0</v>
      </c>
      <c r="S94" s="101">
        <v>0</v>
      </c>
      <c r="T94" s="101">
        <v>0</v>
      </c>
      <c r="U94" s="5">
        <v>0</v>
      </c>
      <c r="V94" s="261">
        <v>0</v>
      </c>
      <c r="W94" s="49"/>
      <c r="X94" s="49"/>
      <c r="Y94" s="1"/>
      <c r="Z94" s="1"/>
      <c r="AA94" s="59"/>
    </row>
    <row r="95" spans="1:27" s="50" customFormat="1" ht="21.75" customHeight="1" thickBot="1" x14ac:dyDescent="0.25">
      <c r="A95" s="68"/>
      <c r="B95" s="173" t="s">
        <v>36</v>
      </c>
      <c r="C95" s="257">
        <f>SUM(C93:C94)</f>
        <v>15303</v>
      </c>
      <c r="D95" s="258">
        <v>100</v>
      </c>
      <c r="E95" s="257">
        <f>SUM(E93:E94)</f>
        <v>15303</v>
      </c>
      <c r="F95" s="257">
        <v>0</v>
      </c>
      <c r="G95" s="257">
        <f>SUM(G93:G94)</f>
        <v>12925</v>
      </c>
      <c r="H95" s="206">
        <f>G95/C95*100</f>
        <v>84.460563288244145</v>
      </c>
      <c r="I95" s="257">
        <f>SUM(I93:I94)</f>
        <v>1335</v>
      </c>
      <c r="J95" s="257">
        <f>SUM(J93:J94)</f>
        <v>1335</v>
      </c>
      <c r="K95" s="257">
        <f>SUM(K93:K94)</f>
        <v>1759</v>
      </c>
      <c r="L95" s="259">
        <f>K95/J95*100</f>
        <v>131.76029962546815</v>
      </c>
      <c r="M95" s="257">
        <f>SUM(M93:M94)</f>
        <v>14684</v>
      </c>
      <c r="N95" s="260">
        <f>M95/C95*100</f>
        <v>95.955041495131681</v>
      </c>
      <c r="O95" s="257">
        <f>SUM(O93:O94)</f>
        <v>15148</v>
      </c>
      <c r="P95" s="257">
        <v>0</v>
      </c>
      <c r="Q95" s="257">
        <f>SUM(Q93:Q94)</f>
        <v>155</v>
      </c>
      <c r="R95" s="263">
        <v>0</v>
      </c>
      <c r="S95" s="263">
        <v>0</v>
      </c>
      <c r="T95" s="263">
        <v>0</v>
      </c>
      <c r="U95" s="257">
        <v>0</v>
      </c>
      <c r="V95" s="262">
        <v>0</v>
      </c>
      <c r="W95" s="49"/>
      <c r="X95" s="49"/>
      <c r="Y95" s="2"/>
      <c r="Z95" s="1"/>
      <c r="AA95" s="59"/>
    </row>
    <row r="96" spans="1:27" s="50" customFormat="1" ht="21.75" customHeight="1" thickBot="1" x14ac:dyDescent="0.25">
      <c r="A96" s="133"/>
      <c r="B96" s="174" t="s">
        <v>102</v>
      </c>
      <c r="C96" s="19">
        <f>C95</f>
        <v>15303</v>
      </c>
      <c r="D96" s="26"/>
      <c r="E96" s="19">
        <f t="shared" ref="E96:V96" si="20">E95</f>
        <v>15303</v>
      </c>
      <c r="F96" s="19">
        <f t="shared" si="20"/>
        <v>0</v>
      </c>
      <c r="G96" s="19">
        <f t="shared" si="20"/>
        <v>12925</v>
      </c>
      <c r="H96" s="19"/>
      <c r="I96" s="19">
        <f t="shared" si="20"/>
        <v>1335</v>
      </c>
      <c r="J96" s="19">
        <f t="shared" si="20"/>
        <v>1335</v>
      </c>
      <c r="K96" s="19">
        <f t="shared" si="20"/>
        <v>1759</v>
      </c>
      <c r="L96" s="19"/>
      <c r="M96" s="19">
        <f t="shared" si="20"/>
        <v>14684</v>
      </c>
      <c r="N96" s="19"/>
      <c r="O96" s="19">
        <f t="shared" si="20"/>
        <v>15148</v>
      </c>
      <c r="P96" s="19">
        <f t="shared" si="20"/>
        <v>0</v>
      </c>
      <c r="Q96" s="19">
        <f t="shared" si="20"/>
        <v>155</v>
      </c>
      <c r="R96" s="19">
        <f t="shared" si="20"/>
        <v>0</v>
      </c>
      <c r="S96" s="19">
        <f t="shared" si="20"/>
        <v>0</v>
      </c>
      <c r="T96" s="19">
        <f t="shared" si="20"/>
        <v>0</v>
      </c>
      <c r="U96" s="19">
        <f t="shared" si="20"/>
        <v>0</v>
      </c>
      <c r="V96" s="120">
        <f t="shared" si="20"/>
        <v>0</v>
      </c>
      <c r="W96" s="59"/>
      <c r="X96" s="49"/>
      <c r="Y96" s="1"/>
      <c r="Z96" s="1"/>
      <c r="AA96" s="59"/>
    </row>
    <row r="97" spans="1:23" ht="13.5" thickBot="1" x14ac:dyDescent="0.25">
      <c r="A97" s="35"/>
      <c r="B97" s="36" t="s">
        <v>32</v>
      </c>
      <c r="C97" s="19">
        <f>C89+C73+C96</f>
        <v>7028847</v>
      </c>
      <c r="D97" s="19"/>
      <c r="E97" s="19">
        <f t="shared" ref="E97:V97" si="21">E89+E73+E96</f>
        <v>5773978</v>
      </c>
      <c r="F97" s="19">
        <f t="shared" si="21"/>
        <v>1246737</v>
      </c>
      <c r="G97" s="19">
        <f t="shared" si="21"/>
        <v>1941858</v>
      </c>
      <c r="H97" s="19"/>
      <c r="I97" s="19">
        <f t="shared" si="21"/>
        <v>1267739</v>
      </c>
      <c r="J97" s="19">
        <f t="shared" si="21"/>
        <v>5086152</v>
      </c>
      <c r="K97" s="19">
        <f t="shared" si="21"/>
        <v>684300</v>
      </c>
      <c r="L97" s="19"/>
      <c r="M97" s="19">
        <f t="shared" si="21"/>
        <v>2626157</v>
      </c>
      <c r="N97" s="19"/>
      <c r="O97" s="19">
        <f t="shared" si="21"/>
        <v>1844453</v>
      </c>
      <c r="P97" s="19">
        <f t="shared" si="21"/>
        <v>0</v>
      </c>
      <c r="Q97" s="19">
        <f t="shared" si="21"/>
        <v>3482002</v>
      </c>
      <c r="R97" s="19">
        <f t="shared" si="21"/>
        <v>461374</v>
      </c>
      <c r="S97" s="19">
        <f t="shared" si="21"/>
        <v>1639694</v>
      </c>
      <c r="T97" s="19">
        <f t="shared" si="21"/>
        <v>138048</v>
      </c>
      <c r="U97" s="19">
        <f t="shared" si="21"/>
        <v>6445</v>
      </c>
      <c r="V97" s="120">
        <f t="shared" si="21"/>
        <v>29275</v>
      </c>
    </row>
    <row r="98" spans="1:23" x14ac:dyDescent="0.2">
      <c r="W98" s="2"/>
    </row>
    <row r="99" spans="1:23" x14ac:dyDescent="0.2">
      <c r="O99" s="2"/>
      <c r="T99" s="2">
        <f>SUM(S97:T97)</f>
        <v>1777742</v>
      </c>
    </row>
    <row r="100" spans="1:23" ht="13.5" thickBot="1" x14ac:dyDescent="0.25">
      <c r="J100" s="2"/>
      <c r="K100" s="2"/>
      <c r="L100" s="2"/>
      <c r="M100" s="2"/>
      <c r="N100" s="2"/>
      <c r="S100" s="2"/>
      <c r="W100" s="2"/>
    </row>
    <row r="101" spans="1:23" x14ac:dyDescent="0.2">
      <c r="B101" s="275" t="s">
        <v>145</v>
      </c>
      <c r="C101" s="276"/>
      <c r="D101" s="276"/>
      <c r="E101" s="276"/>
      <c r="F101" s="277"/>
      <c r="H101" s="281" t="s">
        <v>135</v>
      </c>
      <c r="I101" s="282"/>
      <c r="J101" s="282"/>
      <c r="K101" s="283"/>
      <c r="S101" s="2"/>
      <c r="U101" s="2"/>
    </row>
    <row r="102" spans="1:23" ht="13.5" thickBot="1" x14ac:dyDescent="0.25">
      <c r="B102" s="278"/>
      <c r="C102" s="279"/>
      <c r="D102" s="279"/>
      <c r="E102" s="279"/>
      <c r="F102" s="280"/>
      <c r="H102" s="284" t="s">
        <v>136</v>
      </c>
      <c r="I102" s="285"/>
      <c r="J102" s="285" t="s">
        <v>137</v>
      </c>
      <c r="K102" s="286"/>
      <c r="S102" s="2"/>
    </row>
    <row r="103" spans="1:23" ht="13.5" thickBot="1" x14ac:dyDescent="0.25">
      <c r="B103" s="232"/>
      <c r="C103" s="233" t="s">
        <v>138</v>
      </c>
      <c r="D103" s="233" t="s">
        <v>114</v>
      </c>
      <c r="E103" s="233" t="s">
        <v>113</v>
      </c>
      <c r="F103" s="234" t="s">
        <v>139</v>
      </c>
      <c r="H103" s="235" t="s">
        <v>114</v>
      </c>
      <c r="I103" s="236" t="s">
        <v>113</v>
      </c>
      <c r="J103" s="233" t="s">
        <v>114</v>
      </c>
      <c r="K103" s="234" t="s">
        <v>113</v>
      </c>
      <c r="L103" s="2"/>
    </row>
    <row r="104" spans="1:23" x14ac:dyDescent="0.2">
      <c r="B104" s="237" t="s">
        <v>74</v>
      </c>
      <c r="C104" s="89">
        <f>SUM(D104:E104)</f>
        <v>163767</v>
      </c>
      <c r="D104" s="238">
        <f>K25+K37+K55</f>
        <v>163767</v>
      </c>
      <c r="E104" s="89">
        <v>0</v>
      </c>
      <c r="F104" s="239">
        <f t="shared" ref="F104:F109" si="22">SUM(D104:E104)</f>
        <v>163767</v>
      </c>
      <c r="G104" s="2"/>
      <c r="H104" s="240">
        <f>S26+S56</f>
        <v>17811</v>
      </c>
      <c r="I104" s="241">
        <v>0</v>
      </c>
      <c r="J104" s="241">
        <f>S55</f>
        <v>263436</v>
      </c>
      <c r="K104" s="242">
        <v>0</v>
      </c>
    </row>
    <row r="105" spans="1:23" x14ac:dyDescent="0.2">
      <c r="B105" s="243" t="s">
        <v>75</v>
      </c>
      <c r="C105" s="5">
        <f>SUM(D105:E105)</f>
        <v>215925</v>
      </c>
      <c r="D105" s="17">
        <f>K44</f>
        <v>202960</v>
      </c>
      <c r="E105" s="5">
        <f>K15+K86</f>
        <v>12965</v>
      </c>
      <c r="F105" s="244">
        <f t="shared" si="22"/>
        <v>215925</v>
      </c>
      <c r="H105" s="22">
        <f>S21+S45</f>
        <v>16082</v>
      </c>
      <c r="I105" s="245">
        <f>S87</f>
        <v>4000</v>
      </c>
      <c r="J105" s="245">
        <f>S44</f>
        <v>238246</v>
      </c>
      <c r="K105" s="246">
        <f>S86</f>
        <v>1000</v>
      </c>
    </row>
    <row r="106" spans="1:23" x14ac:dyDescent="0.2">
      <c r="B106" s="243" t="s">
        <v>76</v>
      </c>
      <c r="C106" s="5">
        <f>SUM(D106:E106)</f>
        <v>9471</v>
      </c>
      <c r="D106" s="17">
        <f>K60</f>
        <v>9471</v>
      </c>
      <c r="E106" s="5">
        <v>0</v>
      </c>
      <c r="F106" s="244">
        <f t="shared" si="22"/>
        <v>9471</v>
      </c>
      <c r="H106" s="247">
        <v>0</v>
      </c>
      <c r="I106" s="245">
        <v>0</v>
      </c>
      <c r="J106" s="245">
        <f>S60</f>
        <v>8982</v>
      </c>
      <c r="K106" s="248">
        <v>0</v>
      </c>
      <c r="M106" s="249">
        <v>66020</v>
      </c>
      <c r="N106" s="250"/>
    </row>
    <row r="107" spans="1:23" x14ac:dyDescent="0.2">
      <c r="B107" s="243" t="s">
        <v>140</v>
      </c>
      <c r="C107" s="5">
        <f>SUM(D107:E107)</f>
        <v>125435</v>
      </c>
      <c r="D107" s="17">
        <f>K50</f>
        <v>125435</v>
      </c>
      <c r="E107" s="5">
        <v>0</v>
      </c>
      <c r="F107" s="244">
        <f t="shared" si="22"/>
        <v>125435</v>
      </c>
      <c r="H107" s="22">
        <v>0</v>
      </c>
      <c r="I107" s="245">
        <v>0</v>
      </c>
      <c r="J107" s="245">
        <f>S50</f>
        <v>333237</v>
      </c>
      <c r="K107" s="248">
        <v>0</v>
      </c>
      <c r="M107" s="251" t="s">
        <v>141</v>
      </c>
      <c r="N107" s="252" t="s">
        <v>142</v>
      </c>
    </row>
    <row r="108" spans="1:23" ht="13.5" thickBot="1" x14ac:dyDescent="0.25">
      <c r="B108" s="243" t="s">
        <v>143</v>
      </c>
      <c r="C108" s="5">
        <f>SUM(D108:E108)</f>
        <v>0</v>
      </c>
      <c r="D108" s="17">
        <f>K65+K66</f>
        <v>0</v>
      </c>
      <c r="E108" s="5">
        <v>0</v>
      </c>
      <c r="F108" s="244">
        <f>SUM(D108:E108)</f>
        <v>0</v>
      </c>
      <c r="H108" s="22">
        <v>0</v>
      </c>
      <c r="I108" s="245">
        <v>0</v>
      </c>
      <c r="J108" s="245">
        <f>S65+T66</f>
        <v>894948</v>
      </c>
      <c r="K108" s="248">
        <v>0</v>
      </c>
      <c r="M108" s="104">
        <f>K47</f>
        <v>6294</v>
      </c>
      <c r="N108" s="253" t="s">
        <v>144</v>
      </c>
    </row>
    <row r="109" spans="1:23" ht="13.5" thickBot="1" x14ac:dyDescent="0.25">
      <c r="B109" s="254" t="s">
        <v>139</v>
      </c>
      <c r="C109" s="19">
        <f>SUM(C104:C108)</f>
        <v>514598</v>
      </c>
      <c r="D109" s="26">
        <f>SUM(D104:D108)</f>
        <v>501633</v>
      </c>
      <c r="E109" s="19">
        <f>SUM(E104:E108)</f>
        <v>12965</v>
      </c>
      <c r="F109" s="120">
        <f t="shared" si="22"/>
        <v>514598</v>
      </c>
      <c r="H109" s="133">
        <f>SUM(H104:H108)</f>
        <v>33893</v>
      </c>
      <c r="I109" s="255">
        <f>SUM(I104:I108)</f>
        <v>4000</v>
      </c>
      <c r="J109" s="255">
        <f>SUM(J104:J108)</f>
        <v>1738849</v>
      </c>
      <c r="K109" s="256">
        <f>SUM(K104:K108)</f>
        <v>1000</v>
      </c>
      <c r="L109" s="2"/>
    </row>
    <row r="110" spans="1:23" x14ac:dyDescent="0.2">
      <c r="B110" s="86"/>
      <c r="D110" s="105"/>
    </row>
    <row r="111" spans="1:23" x14ac:dyDescent="0.2">
      <c r="I111" s="105">
        <f>SUM(H109:I109)</f>
        <v>37893</v>
      </c>
      <c r="J111" s="2">
        <f>SUM(J109:K109)</f>
        <v>1739849</v>
      </c>
      <c r="K111" s="2">
        <f>SUM(I111:J111)</f>
        <v>1777742</v>
      </c>
    </row>
    <row r="113" spans="4:4" x14ac:dyDescent="0.2">
      <c r="D113" s="105">
        <f>K15+K20+K25+K30+K37+K44+K50+K55+K60+K65+K76+K81+K86</f>
        <v>514598</v>
      </c>
    </row>
    <row r="118" spans="4:4" x14ac:dyDescent="0.2">
      <c r="D118" s="105"/>
    </row>
    <row r="119" spans="4:4" x14ac:dyDescent="0.2">
      <c r="D119" s="105"/>
    </row>
    <row r="120" spans="4:4" x14ac:dyDescent="0.2">
      <c r="D120" s="105"/>
    </row>
    <row r="121" spans="4:4" x14ac:dyDescent="0.2">
      <c r="D121" s="105"/>
    </row>
    <row r="122" spans="4:4" x14ac:dyDescent="0.2">
      <c r="D122" s="105"/>
    </row>
    <row r="123" spans="4:4" x14ac:dyDescent="0.2">
      <c r="D123" s="105"/>
    </row>
  </sheetData>
  <mergeCells count="11">
    <mergeCell ref="B101:F102"/>
    <mergeCell ref="H101:K101"/>
    <mergeCell ref="H102:I102"/>
    <mergeCell ref="J102:K102"/>
    <mergeCell ref="A90:B90"/>
    <mergeCell ref="A12:B12"/>
    <mergeCell ref="B6:B10"/>
    <mergeCell ref="A6:A10"/>
    <mergeCell ref="O1:V1"/>
    <mergeCell ref="A3:V3"/>
    <mergeCell ref="R5:V5"/>
  </mergeCells>
  <phoneticPr fontId="2" type="noConversion"/>
  <pageMargins left="0.74803149606299213" right="0.74803149606299213" top="0.98425196850393704" bottom="0.98425196850393704" header="0.51181102362204722" footer="0.51181102362204722"/>
  <pageSetup paperSize="9" scale="40" fitToHeight="3" orientation="landscape" r:id="rId1"/>
  <headerFooter alignWithMargins="0"/>
  <rowBreaks count="1" manualBreakCount="1">
    <brk id="38" max="2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13mell2020Zársz</vt:lpstr>
      <vt:lpstr>'13mell2020Zársz'!Nyomtatási_terület</vt:lpstr>
    </vt:vector>
  </TitlesOfParts>
  <Company>Tamási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csikjne</dc:creator>
  <cp:lastModifiedBy>Salamon Irénke 2</cp:lastModifiedBy>
  <cp:lastPrinted>2021-05-26T12:00:12Z</cp:lastPrinted>
  <dcterms:created xsi:type="dcterms:W3CDTF">2008-02-11T07:21:38Z</dcterms:created>
  <dcterms:modified xsi:type="dcterms:W3CDTF">2021-05-26T13:27:01Z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839037445</vt:i4>
  </property>
  <property fmtid="{D5CDD505-2E9C-101B-9397-08002B2CF9AE}" pid="3" name="_EmailSubject">
    <vt:lpwstr/>
  </property>
  <property fmtid="{D5CDD505-2E9C-101B-9397-08002B2CF9AE}" pid="4" name="_AuthorEmail">
    <vt:lpwstr>simonne@tamasi.hu</vt:lpwstr>
  </property>
  <property fmtid="{D5CDD505-2E9C-101B-9397-08002B2CF9AE}" pid="5" name="_AuthorEmailDisplayName">
    <vt:lpwstr>Simonné Horváth Andrea</vt:lpwstr>
  </property>
  <property fmtid="{D5CDD505-2E9C-101B-9397-08002B2CF9AE}" pid="6" name="_ReviewingToolsShownOnce">
    <vt:lpwstr/>
  </property>
</Properties>
</file>