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épviselő-testület\Adrienn munkaanyagok\Rendeletek LocLex munkához\"/>
    </mc:Choice>
  </mc:AlternateContent>
  <bookViews>
    <workbookView xWindow="0" yWindow="0" windowWidth="28800" windowHeight="12345"/>
  </bookViews>
  <sheets>
    <sheet name="2.a_bevételek_kiadások rész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8" i="1" l="1"/>
  <c r="J176" i="1"/>
  <c r="E174" i="1"/>
  <c r="M169" i="1"/>
  <c r="F169" i="1"/>
  <c r="L168" i="1"/>
  <c r="K168" i="1"/>
  <c r="J168" i="1"/>
  <c r="F168" i="1"/>
  <c r="E168" i="1"/>
  <c r="D168" i="1"/>
  <c r="C168" i="1"/>
  <c r="L165" i="1"/>
  <c r="L170" i="1" s="1"/>
  <c r="M170" i="1" s="1"/>
  <c r="K165" i="1"/>
  <c r="K170" i="1" s="1"/>
  <c r="K148" i="1" s="1"/>
  <c r="J165" i="1"/>
  <c r="J170" i="1" s="1"/>
  <c r="F165" i="1"/>
  <c r="E165" i="1"/>
  <c r="E171" i="1" s="1"/>
  <c r="F171" i="1" s="1"/>
  <c r="D165" i="1"/>
  <c r="D171" i="1" s="1"/>
  <c r="C165" i="1"/>
  <c r="C171" i="1" s="1"/>
  <c r="C160" i="1"/>
  <c r="C148" i="1" s="1"/>
  <c r="K158" i="1"/>
  <c r="J158" i="1"/>
  <c r="N157" i="1"/>
  <c r="M157" i="1"/>
  <c r="M156" i="1"/>
  <c r="F156" i="1"/>
  <c r="L155" i="1"/>
  <c r="K155" i="1"/>
  <c r="J155" i="1"/>
  <c r="F155" i="1"/>
  <c r="E155" i="1"/>
  <c r="D155" i="1"/>
  <c r="C155" i="1"/>
  <c r="L152" i="1"/>
  <c r="L158" i="1" s="1"/>
  <c r="K152" i="1"/>
  <c r="J152" i="1"/>
  <c r="E152" i="1"/>
  <c r="E160" i="1" s="1"/>
  <c r="D152" i="1"/>
  <c r="D160" i="1" s="1"/>
  <c r="D148" i="1" s="1"/>
  <c r="C152" i="1"/>
  <c r="M147" i="1"/>
  <c r="M146" i="1"/>
  <c r="M145" i="1"/>
  <c r="L144" i="1"/>
  <c r="K144" i="1"/>
  <c r="M144" i="1" s="1"/>
  <c r="J144" i="1"/>
  <c r="J141" i="1" s="1"/>
  <c r="M142" i="1"/>
  <c r="L141" i="1"/>
  <c r="M141" i="1" s="1"/>
  <c r="K141" i="1"/>
  <c r="M140" i="1"/>
  <c r="E140" i="1"/>
  <c r="D140" i="1"/>
  <c r="C140" i="1"/>
  <c r="M136" i="1"/>
  <c r="J136" i="1"/>
  <c r="M134" i="1"/>
  <c r="J134" i="1"/>
  <c r="J140" i="1" s="1"/>
  <c r="J132" i="1" s="1"/>
  <c r="L133" i="1"/>
  <c r="M133" i="1" s="1"/>
  <c r="K133" i="1"/>
  <c r="J133" i="1"/>
  <c r="L132" i="1"/>
  <c r="M132" i="1" s="1"/>
  <c r="K132" i="1"/>
  <c r="F132" i="1"/>
  <c r="M131" i="1"/>
  <c r="E130" i="1"/>
  <c r="F130" i="1" s="1"/>
  <c r="D130" i="1"/>
  <c r="C130" i="1"/>
  <c r="L127" i="1"/>
  <c r="M127" i="1" s="1"/>
  <c r="M126" i="1"/>
  <c r="K125" i="1"/>
  <c r="J125" i="1"/>
  <c r="M124" i="1"/>
  <c r="M123" i="1"/>
  <c r="J123" i="1"/>
  <c r="M122" i="1"/>
  <c r="J122" i="1"/>
  <c r="F122" i="1"/>
  <c r="C122" i="1"/>
  <c r="M121" i="1"/>
  <c r="J121" i="1"/>
  <c r="F121" i="1"/>
  <c r="M120" i="1"/>
  <c r="J120" i="1"/>
  <c r="F120" i="1"/>
  <c r="M119" i="1"/>
  <c r="J119" i="1"/>
  <c r="E119" i="1"/>
  <c r="D119" i="1"/>
  <c r="F119" i="1" s="1"/>
  <c r="C119" i="1"/>
  <c r="C114" i="1" s="1"/>
  <c r="C113" i="1" s="1"/>
  <c r="M118" i="1"/>
  <c r="J118" i="1"/>
  <c r="J116" i="1" s="1"/>
  <c r="J114" i="1" s="1"/>
  <c r="M117" i="1"/>
  <c r="M116" i="1"/>
  <c r="L116" i="1"/>
  <c r="K116" i="1"/>
  <c r="K114" i="1" s="1"/>
  <c r="K113" i="1" s="1"/>
  <c r="M115" i="1"/>
  <c r="J115" i="1"/>
  <c r="F115" i="1"/>
  <c r="E114" i="1"/>
  <c r="F114" i="1" s="1"/>
  <c r="D114" i="1"/>
  <c r="E113" i="1"/>
  <c r="F113" i="1" s="1"/>
  <c r="D113" i="1"/>
  <c r="M112" i="1"/>
  <c r="J112" i="1"/>
  <c r="L111" i="1"/>
  <c r="M111" i="1" s="1"/>
  <c r="K111" i="1"/>
  <c r="J111" i="1"/>
  <c r="M110" i="1"/>
  <c r="M109" i="1"/>
  <c r="J109" i="1"/>
  <c r="M108" i="1"/>
  <c r="M107" i="1"/>
  <c r="J107" i="1"/>
  <c r="L106" i="1"/>
  <c r="M106" i="1" s="1"/>
  <c r="K106" i="1"/>
  <c r="J106" i="1"/>
  <c r="M103" i="1"/>
  <c r="J103" i="1"/>
  <c r="M102" i="1"/>
  <c r="F102" i="1"/>
  <c r="M101" i="1"/>
  <c r="M100" i="1"/>
  <c r="L99" i="1"/>
  <c r="M99" i="1" s="1"/>
  <c r="K99" i="1"/>
  <c r="J99" i="1"/>
  <c r="E99" i="1"/>
  <c r="F99" i="1" s="1"/>
  <c r="D99" i="1"/>
  <c r="C99" i="1"/>
  <c r="N98" i="1"/>
  <c r="M97" i="1"/>
  <c r="N96" i="1"/>
  <c r="K96" i="1"/>
  <c r="J96" i="1"/>
  <c r="M95" i="1"/>
  <c r="L89" i="1"/>
  <c r="K89" i="1"/>
  <c r="M89" i="1" s="1"/>
  <c r="J89" i="1"/>
  <c r="M87" i="1"/>
  <c r="M86" i="1"/>
  <c r="L85" i="1"/>
  <c r="L88" i="1" s="1"/>
  <c r="K85" i="1"/>
  <c r="K88" i="1" s="1"/>
  <c r="J85" i="1"/>
  <c r="J88" i="1" s="1"/>
  <c r="E83" i="1"/>
  <c r="E64" i="1" s="1"/>
  <c r="F64" i="1" s="1"/>
  <c r="D83" i="1"/>
  <c r="C83" i="1"/>
  <c r="C64" i="1" s="1"/>
  <c r="M82" i="1"/>
  <c r="M81" i="1"/>
  <c r="F81" i="1"/>
  <c r="M79" i="1"/>
  <c r="L79" i="1"/>
  <c r="K79" i="1"/>
  <c r="J79" i="1"/>
  <c r="M78" i="1"/>
  <c r="F78" i="1"/>
  <c r="K76" i="1"/>
  <c r="J75" i="1"/>
  <c r="E75" i="1"/>
  <c r="D75" i="1"/>
  <c r="C75" i="1"/>
  <c r="M74" i="1"/>
  <c r="M73" i="1"/>
  <c r="J73" i="1"/>
  <c r="F73" i="1"/>
  <c r="M72" i="1"/>
  <c r="J72" i="1"/>
  <c r="F72" i="1"/>
  <c r="M71" i="1"/>
  <c r="J71" i="1"/>
  <c r="M70" i="1"/>
  <c r="F70" i="1"/>
  <c r="M69" i="1"/>
  <c r="J69" i="1"/>
  <c r="F69" i="1"/>
  <c r="M68" i="1"/>
  <c r="J68" i="1"/>
  <c r="F68" i="1"/>
  <c r="M67" i="1"/>
  <c r="J67" i="1"/>
  <c r="F67" i="1"/>
  <c r="M66" i="1"/>
  <c r="J66" i="1"/>
  <c r="F66" i="1"/>
  <c r="E66" i="1"/>
  <c r="D66" i="1"/>
  <c r="C66" i="1"/>
  <c r="N65" i="1"/>
  <c r="L65" i="1"/>
  <c r="M65" i="1" s="1"/>
  <c r="K65" i="1"/>
  <c r="J65" i="1"/>
  <c r="M64" i="1"/>
  <c r="D64" i="1"/>
  <c r="M63" i="1"/>
  <c r="M62" i="1"/>
  <c r="M61" i="1"/>
  <c r="M59" i="1"/>
  <c r="M58" i="1"/>
  <c r="M57" i="1"/>
  <c r="M56" i="1"/>
  <c r="L56" i="1"/>
  <c r="L76" i="1" s="1"/>
  <c r="M76" i="1" s="1"/>
  <c r="K56" i="1"/>
  <c r="J56" i="1"/>
  <c r="J76" i="1" s="1"/>
  <c r="M54" i="1"/>
  <c r="L53" i="1"/>
  <c r="L55" i="1" s="1"/>
  <c r="K53" i="1"/>
  <c r="J53" i="1"/>
  <c r="J55" i="1" s="1"/>
  <c r="F53" i="1"/>
  <c r="F52" i="1"/>
  <c r="F51" i="1"/>
  <c r="M50" i="1"/>
  <c r="K49" i="1"/>
  <c r="M49" i="1" s="1"/>
  <c r="J49" i="1"/>
  <c r="M48" i="1"/>
  <c r="K48" i="1"/>
  <c r="J48" i="1"/>
  <c r="E48" i="1"/>
  <c r="F48" i="1" s="1"/>
  <c r="D48" i="1"/>
  <c r="C48" i="1"/>
  <c r="K47" i="1"/>
  <c r="M47" i="1" s="1"/>
  <c r="J47" i="1"/>
  <c r="F47" i="1"/>
  <c r="K46" i="1"/>
  <c r="M46" i="1" s="1"/>
  <c r="J46" i="1"/>
  <c r="E46" i="1"/>
  <c r="D46" i="1"/>
  <c r="F46" i="1" s="1"/>
  <c r="C46" i="1"/>
  <c r="M45" i="1"/>
  <c r="L44" i="1"/>
  <c r="J44" i="1"/>
  <c r="E41" i="1"/>
  <c r="D41" i="1"/>
  <c r="C41" i="1"/>
  <c r="M40" i="1"/>
  <c r="M39" i="1"/>
  <c r="F39" i="1"/>
  <c r="M38" i="1"/>
  <c r="E38" i="1"/>
  <c r="D38" i="1"/>
  <c r="D37" i="1" s="1"/>
  <c r="D30" i="1" s="1"/>
  <c r="C38" i="1"/>
  <c r="M37" i="1"/>
  <c r="E37" i="1"/>
  <c r="C37" i="1"/>
  <c r="L35" i="1"/>
  <c r="M35" i="1" s="1"/>
  <c r="K35" i="1"/>
  <c r="J35" i="1"/>
  <c r="F34" i="1"/>
  <c r="M33" i="1"/>
  <c r="F33" i="1"/>
  <c r="F32" i="1"/>
  <c r="L31" i="1"/>
  <c r="M31" i="1" s="1"/>
  <c r="K31" i="1"/>
  <c r="K43" i="1" s="1"/>
  <c r="J31" i="1"/>
  <c r="J43" i="1" s="1"/>
  <c r="E31" i="1"/>
  <c r="F31" i="1" s="1"/>
  <c r="D31" i="1"/>
  <c r="C31" i="1"/>
  <c r="E30" i="1"/>
  <c r="C30" i="1"/>
  <c r="C26" i="1"/>
  <c r="C24" i="1"/>
  <c r="C17" i="1" s="1"/>
  <c r="C3" i="1" s="1"/>
  <c r="F23" i="1"/>
  <c r="M22" i="1"/>
  <c r="F22" i="1"/>
  <c r="M21" i="1"/>
  <c r="M20" i="1"/>
  <c r="L19" i="1"/>
  <c r="K19" i="1"/>
  <c r="M19" i="1" s="1"/>
  <c r="J19" i="1"/>
  <c r="F19" i="1"/>
  <c r="E17" i="1"/>
  <c r="F17" i="1" s="1"/>
  <c r="D17" i="1"/>
  <c r="D3" i="1" s="1"/>
  <c r="D2" i="1" s="1"/>
  <c r="D172" i="1" s="1"/>
  <c r="L16" i="1"/>
  <c r="M16" i="1" s="1"/>
  <c r="K16" i="1"/>
  <c r="J16" i="1"/>
  <c r="M15" i="1"/>
  <c r="M14" i="1"/>
  <c r="M13" i="1"/>
  <c r="L12" i="1"/>
  <c r="K12" i="1"/>
  <c r="M12" i="1" s="1"/>
  <c r="J12" i="1"/>
  <c r="J3" i="1" s="1"/>
  <c r="M11" i="1"/>
  <c r="F11" i="1"/>
  <c r="G10" i="1"/>
  <c r="F10" i="1"/>
  <c r="F9" i="1"/>
  <c r="M8" i="1"/>
  <c r="F8" i="1"/>
  <c r="F7" i="1"/>
  <c r="F5" i="1"/>
  <c r="M4" i="1"/>
  <c r="E4" i="1"/>
  <c r="F4" i="1" s="1"/>
  <c r="D4" i="1"/>
  <c r="C4" i="1"/>
  <c r="L3" i="1"/>
  <c r="M3" i="1" l="1"/>
  <c r="F37" i="1"/>
  <c r="M88" i="1"/>
  <c r="F30" i="1"/>
  <c r="J30" i="1"/>
  <c r="M55" i="1"/>
  <c r="J113" i="1"/>
  <c r="L148" i="1"/>
  <c r="M148" i="1" s="1"/>
  <c r="M158" i="1"/>
  <c r="J148" i="1"/>
  <c r="J2" i="1"/>
  <c r="J172" i="1" s="1"/>
  <c r="C2" i="1"/>
  <c r="C172" i="1" s="1"/>
  <c r="J175" i="1" s="1"/>
  <c r="E148" i="1"/>
  <c r="F148" i="1" s="1"/>
  <c r="F160" i="1"/>
  <c r="E3" i="1"/>
  <c r="K3" i="1"/>
  <c r="F38" i="1"/>
  <c r="M85" i="1"/>
  <c r="L96" i="1"/>
  <c r="M96" i="1" s="1"/>
  <c r="N119" i="1"/>
  <c r="L125" i="1"/>
  <c r="K44" i="1"/>
  <c r="K55" i="1" s="1"/>
  <c r="K30" i="1" s="1"/>
  <c r="M53" i="1"/>
  <c r="N85" i="1"/>
  <c r="N87" i="1" s="1"/>
  <c r="L43" i="1"/>
  <c r="E2" i="1" l="1"/>
  <c r="F3" i="1"/>
  <c r="K2" i="1"/>
  <c r="K172" i="1" s="1"/>
  <c r="K175" i="1" s="1"/>
  <c r="N97" i="1"/>
  <c r="M44" i="1"/>
  <c r="M43" i="1"/>
  <c r="L30" i="1"/>
  <c r="L114" i="1"/>
  <c r="M125" i="1"/>
  <c r="M114" i="1" l="1"/>
  <c r="L113" i="1"/>
  <c r="M113" i="1" s="1"/>
  <c r="M30" i="1"/>
  <c r="L2" i="1"/>
  <c r="E172" i="1"/>
  <c r="F2" i="1"/>
  <c r="F172" i="1" l="1"/>
  <c r="L172" i="1"/>
  <c r="M172" i="1" s="1"/>
  <c r="M2" i="1"/>
  <c r="M175" i="1" l="1"/>
  <c r="L175" i="1"/>
</calcChain>
</file>

<file path=xl/comments1.xml><?xml version="1.0" encoding="utf-8"?>
<comments xmlns="http://schemas.openxmlformats.org/spreadsheetml/2006/main">
  <authors>
    <author>Szeleckiné Nagy Andrea</author>
  </authors>
  <commentList>
    <comment ref="L109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tartalmazza a Fiatal Svábok 1 000 000 Ft ami 2017. évben lett jóváhagyva</t>
        </r>
      </text>
    </comment>
  </commentList>
</comments>
</file>

<file path=xl/sharedStrings.xml><?xml version="1.0" encoding="utf-8"?>
<sst xmlns="http://schemas.openxmlformats.org/spreadsheetml/2006/main" count="298" uniqueCount="273">
  <si>
    <t>Önkormányzat bevételi előirányzata</t>
  </si>
  <si>
    <t>Eredeti előirányzat (Ft)</t>
  </si>
  <si>
    <t>Módosított előirányzat (Ft)</t>
  </si>
  <si>
    <t>Teljesítés 2020.12.31. (Ft)</t>
  </si>
  <si>
    <t>Teljesítés százalékban (%)</t>
  </si>
  <si>
    <t>Önkormányzat kiadási előirányzata</t>
  </si>
  <si>
    <t>MŰKÖDÉSI KÖLTSÉGVETÉSI BEVÉTELEK (I+II+III+IV)</t>
  </si>
  <si>
    <t>MŰKÖDÉSI KÖLTSÉGVETÉSI KIADÁSOK (I+II+….V)</t>
  </si>
  <si>
    <t>I.</t>
  </si>
  <si>
    <t xml:space="preserve">091. Működési célú támogatások Áht.-on belülről </t>
  </si>
  <si>
    <t>051. Személyi juttatások</t>
  </si>
  <si>
    <t>0911. Önkormányzatok működési támogatásai</t>
  </si>
  <si>
    <t>0511011. Illetmények, munkabérek (közfoglalkoztatott  14 fő 3 hó; 13 fő 9 hó)</t>
  </si>
  <si>
    <t>091111. Helyi önkormányzatok működésének általános támogatása</t>
  </si>
  <si>
    <t>0511041. Készenlét, ügyelet, helyettesítés, túlóra</t>
  </si>
  <si>
    <t>091121. Települési önkormányzatok egyes köznevelési feladatainak támogatása</t>
  </si>
  <si>
    <t>0511051. Végkielégítés</t>
  </si>
  <si>
    <t>091131. Települési önkormányzatok szociális, gyermekjóléti és gyermekétkeztetési  feladatainak támogatása</t>
  </si>
  <si>
    <t>0511061. Jubileumi jutalom</t>
  </si>
  <si>
    <t>091132. Települési önkormányzatok gyermekétkeztetési feladatainak ellátása</t>
  </si>
  <si>
    <t>0511071. Béren kívüli juttatások ( cégtelefon)</t>
  </si>
  <si>
    <t>091141. Települési önkormányzatok kulturális feladatainak támogatása</t>
  </si>
  <si>
    <t>0511091. Közlekedési költségtérítés</t>
  </si>
  <si>
    <t>091151. Működési célú költségvetési támogatások és kegészítő támogatások</t>
  </si>
  <si>
    <t>nem tervezhető!</t>
  </si>
  <si>
    <t>0511101. Egyéb költségtérítés</t>
  </si>
  <si>
    <t xml:space="preserve">091161. Elszámolásból származó bevételek </t>
  </si>
  <si>
    <t>0511131. Foglalkoztatottak egyéb személyi juttatásai</t>
  </si>
  <si>
    <t>0511. Foglalkoztatottak személyi juttatásai összesen</t>
  </si>
  <si>
    <t>09121. Elvonások és befizetések bevételei</t>
  </si>
  <si>
    <t>051211. Választott tisztségviselők juttatásai (polg;alpolg;képv;bizotts;ktg által)</t>
  </si>
  <si>
    <t>09131. Működési célú garancia- és kezességvállalásból származó megtérülések államháztartáson belülről</t>
  </si>
  <si>
    <t>051221. Munkavégzésre irányuló nem saját foglalkoztatottnak fizetett juttatás</t>
  </si>
  <si>
    <t>09141. Működési célú visszatérítendő támogatások, kölcsönök visszatérülése államháztartáson belülről</t>
  </si>
  <si>
    <r>
      <t>051231. Egyéb külső személyi juttatás (építész;fotós;</t>
    </r>
    <r>
      <rPr>
        <sz val="11"/>
        <rFont val="Times New Roman"/>
        <family val="1"/>
        <charset val="238"/>
      </rPr>
      <t>hírharang h</t>
    </r>
    <r>
      <rPr>
        <sz val="11"/>
        <color theme="1"/>
        <rFont val="Times New Roman"/>
        <family val="1"/>
        <charset val="238"/>
      </rPr>
      <t>on;repi; RSD; tüdőszűrés, korcsolya; dijazott, KEHOP)</t>
    </r>
  </si>
  <si>
    <t>09151. Működési célú visszatérítendő támogatások, kölcsönök igénybevétele államháztartáson belülről</t>
  </si>
  <si>
    <t>0512. Külső személyi juttatások összesen</t>
  </si>
  <si>
    <t xml:space="preserve">09161. Egyéb működési célú támogatások bevételei államháztartáson belülről </t>
  </si>
  <si>
    <t>- Lakossági víz-, csatornaszolgáltatás támogatása</t>
  </si>
  <si>
    <t xml:space="preserve">  - közfoglalkoztatási program (2017. évi 14 fő / 2018. évi 13 fő) + nyári diákmunka</t>
  </si>
  <si>
    <t>II.</t>
  </si>
  <si>
    <t>05211. Munkaadókat terhelő járulékok és szociális hozzájárulási adó</t>
  </si>
  <si>
    <t xml:space="preserve">  - Szoc ágazati összevont pótlék</t>
  </si>
  <si>
    <t xml:space="preserve">  -szociális hozzájárulási adó (16,5 %)</t>
  </si>
  <si>
    <t xml:space="preserve"> - kulturális illetménypótlék</t>
  </si>
  <si>
    <t xml:space="preserve">  - munkáltatói SZJA (15%)</t>
  </si>
  <si>
    <t xml:space="preserve"> - RSD munkaszervezet támogatása</t>
  </si>
  <si>
    <t xml:space="preserve">  - munkáltatói táppénz hozzájárulás</t>
  </si>
  <si>
    <t xml:space="preserve"> - Iskolaorvosi ellátás finanszírozása</t>
  </si>
  <si>
    <t xml:space="preserve"> - PM_CSAPVIZGAZD_2017/34  támogatás működési része</t>
  </si>
  <si>
    <t xml:space="preserve"> - KEHOP-2.2.2-15-2015 projekt működési része</t>
  </si>
  <si>
    <t xml:space="preserve"> - Kerékpárút projekt működési része</t>
  </si>
  <si>
    <t xml:space="preserve">  - Bursa visszautalása</t>
  </si>
  <si>
    <t xml:space="preserve"> - PM_ONKORMUT_2018/100  támogatás felhalmozási része</t>
  </si>
  <si>
    <t xml:space="preserve"> - Nyári diákmunka támogatás</t>
  </si>
  <si>
    <t>093. Közhatalmi bevételek</t>
  </si>
  <si>
    <t>III.</t>
  </si>
  <si>
    <t>053. Dologi kiadások</t>
  </si>
  <si>
    <t>09341. Vagyoni típusú adók</t>
  </si>
  <si>
    <t>053111. Szakmai anyag beszerzés</t>
  </si>
  <si>
    <t xml:space="preserve"> - építményadó</t>
  </si>
  <si>
    <t xml:space="preserve"> - gyógyszer</t>
  </si>
  <si>
    <t xml:space="preserve"> - magánszemélyek kommunális idója</t>
  </si>
  <si>
    <t xml:space="preserve"> - könyv, folyóirat ( menedzser Praxis,Jegyző folyóirat.)</t>
  </si>
  <si>
    <t xml:space="preserve"> - telekadó</t>
  </si>
  <si>
    <t xml:space="preserve"> - kisértékű informatikai és tárgyi eszközök, szellemi termékek</t>
  </si>
  <si>
    <t>053121. Üzemeltetési anyag beszerzés</t>
  </si>
  <si>
    <t xml:space="preserve"> - élelmiszer, élelmezési nyersanyag</t>
  </si>
  <si>
    <t>0935. Termékek és szolgáltatások adói</t>
  </si>
  <si>
    <t xml:space="preserve"> - papír, nyomtatvány, irodai anyag</t>
  </si>
  <si>
    <t>093511. Értékesítési és forgalmi adók</t>
  </si>
  <si>
    <t xml:space="preserve"> - nyomtatási festék, festékpatron</t>
  </si>
  <si>
    <t xml:space="preserve"> - állandó jelleggel végzett tevékenység után fizetett helyi iparűzési adó</t>
  </si>
  <si>
    <t xml:space="preserve"> - tüzelő-, hajtó-, és kenőanyag</t>
  </si>
  <si>
    <t xml:space="preserve"> - ideiglenes jelleggel végzett tevékenység után fizetett helyi iparűzési adó</t>
  </si>
  <si>
    <t xml:space="preserve"> - egyéb üzemeltetési anyagok (térkő; építési anyagok;zászló; időskoruak kösz külkapcs)</t>
  </si>
  <si>
    <t>093541. Gépjárműadó</t>
  </si>
  <si>
    <t xml:space="preserve"> - belföldi gépjármű adójának önkormányzatot megillető része</t>
  </si>
  <si>
    <t>053131. Árubeszerzés</t>
  </si>
  <si>
    <t>0531. Készletbeszerzés összesen</t>
  </si>
  <si>
    <t>053211. Informatikai szolgáltatások igénybevétele</t>
  </si>
  <si>
    <t xml:space="preserve"> - Internet szolgáltatás</t>
  </si>
  <si>
    <t>093551. Egyéb áruhasználati és szolgáltatási adók</t>
  </si>
  <si>
    <t xml:space="preserve"> - informatikai szoftverek (EDTR;Winszoc;Mikrovoks; Organ P)</t>
  </si>
  <si>
    <t xml:space="preserve"> - tartózkodás után fizetett idegenforgalmi adó</t>
  </si>
  <si>
    <t xml:space="preserve"> - éves windows licence KerSoft; tűzfal licence Interface</t>
  </si>
  <si>
    <t>09361. Egyéb közhatalmi bevételek</t>
  </si>
  <si>
    <t xml:space="preserve"> - Opten cégtár, jogtár előfízetés</t>
  </si>
  <si>
    <t xml:space="preserve"> - eljárási illetékek</t>
  </si>
  <si>
    <t xml:space="preserve"> - informatikai rendszer karbantartás (térfigyelő rendszer, taksony.hu)</t>
  </si>
  <si>
    <t xml:space="preserve"> - igazgatási szolgáltatási díjak</t>
  </si>
  <si>
    <t xml:space="preserve"> - infrastruktúra fejlesztés</t>
  </si>
  <si>
    <t xml:space="preserve"> - bírságok</t>
  </si>
  <si>
    <t xml:space="preserve"> - Helpynet Vezetői Infokommunikációs rendszer</t>
  </si>
  <si>
    <t xml:space="preserve"> - egyéb közhatalmi bevételek (késedelmi pótlék)</t>
  </si>
  <si>
    <t xml:space="preserve"> - talajterhelési díj</t>
  </si>
  <si>
    <t>053221. Egyéb kommunikációs szolgáltatás (telefon+internet)</t>
  </si>
  <si>
    <t xml:space="preserve">  - telefon </t>
  </si>
  <si>
    <t>0532. Kommunikációs szolgáltatások összesen</t>
  </si>
  <si>
    <t>053311. Közüzemi díjak</t>
  </si>
  <si>
    <t xml:space="preserve"> - villamosenergia (közvilágítás, rendszerhasz. díj;sárga villogó, jelzőlámpa, szőkőkút, marestli, zenepavilon, Fő tér 8.)  </t>
  </si>
  <si>
    <t xml:space="preserve"> - gázdíj (Fő; Baross tér;)</t>
  </si>
  <si>
    <t xml:space="preserve"> - víz- és csatornadíj  (közterületek locsolómérő;szökőkút;tájház)</t>
  </si>
  <si>
    <t>053321. Vásárolt élelmezés</t>
  </si>
  <si>
    <t>053331. Bérleti és lízingdíj (Budai Cs orvosi rendelő; konténer)</t>
  </si>
  <si>
    <t>053341. Karbantartás, kisjavítás (Ford, riasztó-; tűzjelző rendszer;)</t>
  </si>
  <si>
    <t>053351. Közvetített szolgáltatás (közüzemi díjak)</t>
  </si>
  <si>
    <t>094. Működési bevételek</t>
  </si>
  <si>
    <t>053361. Szakmai tevékenységet segítő szolgáltatások (könyv;jogi;iskola eüi; belső ell (2017. szla 375000); közbeszerzés,  CEU, Kormos, eüi alkalmasság; KEHOP;szabályzat,PMONKORMUT2016/58;fordítás)</t>
  </si>
  <si>
    <t>094011. Készletértékesítés ellenértéke</t>
  </si>
  <si>
    <t>053371. Egyéb szolgáltatások</t>
  </si>
  <si>
    <t>094021. Szolgáltatások ellenértéke</t>
  </si>
  <si>
    <t xml:space="preserve"> - tűz- és munkavédelmi szolgáltatás, Atev szolg;, örzés védelem;</t>
  </si>
  <si>
    <t xml:space="preserve"> - bérleti díj</t>
  </si>
  <si>
    <t xml:space="preserve"> - közterület, zöldter tisztántartás (ZöldKorona) , temető</t>
  </si>
  <si>
    <t xml:space="preserve"> - hírdetési díj</t>
  </si>
  <si>
    <t xml:space="preserve"> - közvilágítási lámpatestek üzemeltetése (Eurovill Kft; )</t>
  </si>
  <si>
    <t xml:space="preserve"> - szolgáltatás nyújtásából származó bevétel (temető, tábor)</t>
  </si>
  <si>
    <t xml:space="preserve"> - biztosítási díjak (elemi kár; szgép;KGFB;Casco;számítógép;)</t>
  </si>
  <si>
    <t xml:space="preserve"> - közterület használati díj; közútkezelői hozzájárulás</t>
  </si>
  <si>
    <t xml:space="preserve"> - bank ktg</t>
  </si>
  <si>
    <t xml:space="preserve"> - jegyértékesítés (jubileumi rendezvények)</t>
  </si>
  <si>
    <t xml:space="preserve"> - egyéb szolgáltatás (személy szállítás;érem készítés,földhiv;könyvkötés, egyéb)</t>
  </si>
  <si>
    <t>094031. Közvetített szolgáltatások értéke (közüzemi díjak) (orvosi, óvoda, SAS)</t>
  </si>
  <si>
    <t xml:space="preserve"> - sikosságmentesítés </t>
  </si>
  <si>
    <t>094041. Tulajdonosi bevételek</t>
  </si>
  <si>
    <t xml:space="preserve"> - szemét szállítás (temető, veszélyes hulladék, extra zöldhulladékgyűjtés)</t>
  </si>
  <si>
    <t xml:space="preserve"> - szúnyoggyérítés 2020.évi kt határozat</t>
  </si>
  <si>
    <t>094051. Ellátási díjak</t>
  </si>
  <si>
    <t xml:space="preserve"> - testvérvárosi kapcsolatok (busz, szállás)</t>
  </si>
  <si>
    <t xml:space="preserve"> - ellátottak részére nyújtott szolgáltatások</t>
  </si>
  <si>
    <t>0533. Szolgáltatási kiadások összesen</t>
  </si>
  <si>
    <t>053411. Kiküldetés</t>
  </si>
  <si>
    <t>094061. Kiszámlázott általános forgalmi adó</t>
  </si>
  <si>
    <r>
      <t xml:space="preserve">053421. Reklám- és propaganda (hírharang,hírlevél, ünnepnaptár, grafikai munkák; Lakihegy Rádió;kistérségi naptár </t>
    </r>
    <r>
      <rPr>
        <sz val="11"/>
        <rFont val="Times New Roman"/>
        <family val="1"/>
        <charset val="238"/>
      </rPr>
      <t>,testvérvárosi kapcs,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CSAPVIZGAZD 2017/34;KEHOP Dvarsányi szennyvíztiszt;ONKORMUT_2018; PM_BOLCSODEFEJLESZTES_2018, PM_KEREKPARUTEPITES_2018</t>
    </r>
    <r>
      <rPr>
        <sz val="11"/>
        <color theme="1"/>
        <rFont val="Times New Roman"/>
        <family val="1"/>
        <charset val="238"/>
      </rPr>
      <t>)</t>
    </r>
  </si>
  <si>
    <t>094071. Általános forgalmi adó visszatérítése</t>
  </si>
  <si>
    <t>0534. Kiküldetés, reklám- és propaganda kiadások összesen</t>
  </si>
  <si>
    <t>0940811. Befektetett pénzügyi eszközökből származó bevételek</t>
  </si>
  <si>
    <t>0940821. Kamatbevételek</t>
  </si>
  <si>
    <t>053511. Működési célú előzetesen felszámított ÁFA</t>
  </si>
  <si>
    <t>094091. Egyéb pénzügyi műveletek bevételei</t>
  </si>
  <si>
    <r>
      <t>053521. Fizetendő ÁFA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(útépítés fordított ÁFA)</t>
    </r>
  </si>
  <si>
    <t>094101. Egyéb működési bevételek</t>
  </si>
  <si>
    <t>053531. Kamatkiadások</t>
  </si>
  <si>
    <t xml:space="preserve"> - ajánlati biztosíték</t>
  </si>
  <si>
    <t>053541. Egyéb pénzügyi műveletek kiadásai</t>
  </si>
  <si>
    <t xml:space="preserve"> - közüzemi díj visszatérítés</t>
  </si>
  <si>
    <t>053551. Egyéb dologi kiadások (adók, díjak, illetékek, ajánlati biztosíték, kés.kamat)</t>
  </si>
  <si>
    <t xml:space="preserve"> - egyéb</t>
  </si>
  <si>
    <t xml:space="preserve"> - szerzői jogdíj,kamarai tagdíj,jogtár, gázmérő hit;</t>
  </si>
  <si>
    <t xml:space="preserve"> - hatósági díjak</t>
  </si>
  <si>
    <t>0535. Különféle befizetések és egyéb dologi kiadások összesen</t>
  </si>
  <si>
    <t>IV.</t>
  </si>
  <si>
    <t>054. Ellátottak pénzbeli juttatásai</t>
  </si>
  <si>
    <t>05421. Családi támogatások</t>
  </si>
  <si>
    <t>05441. Betegséggel kapcsolatos (nem TB) ellátások</t>
  </si>
  <si>
    <t>05451. Foglalkoztatással, munkanélküliséggel kapcsolatos ellátások</t>
  </si>
  <si>
    <t>05461. Lakhatással kapcsolatos ellátások</t>
  </si>
  <si>
    <t>05471. Intézményi ellátottak pénzbeli juttatásai (Bursa)</t>
  </si>
  <si>
    <t>05481. Egyéb nem intézményi ellátások</t>
  </si>
  <si>
    <t>V.</t>
  </si>
  <si>
    <t>055. Egyéb működési célú kiadások (tartalékokkal együtt)</t>
  </si>
  <si>
    <t>055021. Elvonások és befizetések</t>
  </si>
  <si>
    <t>055051. Működési c.visszatérítendő támogatások, kölcsönök törlesztése áht.belül</t>
  </si>
  <si>
    <t>096. Működési célú átvett pénzeszközök</t>
  </si>
  <si>
    <t>055061. Egyéb működési célú támogatások államháztartáson belülre</t>
  </si>
  <si>
    <t>09611. Működési célú garancia- és kezességvállalásból származó megtérülések államháztartáson kívülről</t>
  </si>
  <si>
    <t xml:space="preserve"> - Központi költségvetési szervek</t>
  </si>
  <si>
    <t>09641. Működési célú visszatérítendő támogatások, kölcsönök visszatérülése államháztartáson kívülről</t>
  </si>
  <si>
    <t xml:space="preserve"> - RSD műkődési hozzájárulás</t>
  </si>
  <si>
    <t>09651. Egyéb működési célú átvett pénzeszközök</t>
  </si>
  <si>
    <t xml:space="preserve"> - DTÖSZ  hozzájárulás</t>
  </si>
  <si>
    <t xml:space="preserve"> - Dharaszti orvosi ügyelet</t>
  </si>
  <si>
    <t xml:space="preserve"> - Bursa Hungarica ösztöndíj, köztemetés, egyéb</t>
  </si>
  <si>
    <t>055081. Működési c.visszatérítendő támogatások, kölcsönök törlesztése áht.kívül</t>
  </si>
  <si>
    <t>055121. Egyéb működési célú támogatások államháztartáson kívülre</t>
  </si>
  <si>
    <t xml:space="preserve"> - Haraszti Fraxinus  sürgősségi ügyelet</t>
  </si>
  <si>
    <t xml:space="preserve"> - gyepmesteri tev. Támogatása</t>
  </si>
  <si>
    <t xml:space="preserve"> - egyéb szervezet</t>
  </si>
  <si>
    <t xml:space="preserve"> - lakossági víz- csatorna szolgáltatás támogatása</t>
  </si>
  <si>
    <t>055131. Tartalékok</t>
  </si>
  <si>
    <t xml:space="preserve"> - áltlános tartalék </t>
  </si>
  <si>
    <t>FELHALMOZÁSI KÖLTSÉGVETÉSI BEVÉTELEK (V+VI+VII)</t>
  </si>
  <si>
    <t>FELHALMOZÁSI KÖLTSÉGVETÉSI KIADÁSOK (VI+VII+VIII)</t>
  </si>
  <si>
    <t>092. Felhalmozási célú támogatások Áht.-on belülről</t>
  </si>
  <si>
    <t>VI.</t>
  </si>
  <si>
    <t>056. Beruházások</t>
  </si>
  <si>
    <t>09211. Felhalmozási célú önkormányzati támogatások (Dózsa, Petőfi ;Arany J. Csokonai u. szilárdurkolat támogatás)</t>
  </si>
  <si>
    <t>05611. Immateriális javak beszerzése (HÉSZ, kerékpárforgalmi hálózati terv, vírusvédelmi licenc )</t>
  </si>
  <si>
    <t>09221. Felhalmozási célú garancia- és kezességvállalásból származó megtérülések államháztartáson belülről</t>
  </si>
  <si>
    <t>05621. Ingatlanok beszerzése</t>
  </si>
  <si>
    <t>09231. Felhalmozási célú visszatérítendő támogatások, kölcsönök visszatérülése államháztartáson belülről</t>
  </si>
  <si>
    <t xml:space="preserve"> - ingatlan vásárlás</t>
  </si>
  <si>
    <t>09241. Felhalmozási célú visszatérítendő támogatások, kölcsönök igénybevétele államháztartáson belülről</t>
  </si>
  <si>
    <t xml:space="preserve"> - csapadékvíz elvezetés (PM_CSAPVIZGAZD_2017/34; Petőfi u.) </t>
  </si>
  <si>
    <t>09251. Egyéb felhalmozási célú támogatások bevételei államháztartáson belülről</t>
  </si>
  <si>
    <t xml:space="preserve"> - Baross téri épület bontás, családsegítő előtető</t>
  </si>
  <si>
    <t xml:space="preserve"> - PM_CSAPVIZGAZD_2017/34  támogatás felhalmozási része</t>
  </si>
  <si>
    <t xml:space="preserve"> - kerékpárút építés</t>
  </si>
  <si>
    <t xml:space="preserve"> - KEHOP-2.2.2-15-2015 projekt felhalmozási része</t>
  </si>
  <si>
    <t xml:space="preserve"> - tervezési ktg (útépítés; Fő u. elektromos hálozat, egyéb)</t>
  </si>
  <si>
    <t xml:space="preserve"> - Kerékpárút projekt felhalmozási része PM_KEREKP_2018/50</t>
  </si>
  <si>
    <t xml:space="preserve"> - bölcsőde építése </t>
  </si>
  <si>
    <t>- PM_ONKORMUZ:2018. Széchenyi út felújítása</t>
  </si>
  <si>
    <t xml:space="preserve"> - járdaépítés (Akácfa u., Solt-Sólyom )</t>
  </si>
  <si>
    <t>05631. Informatikai eszközök beszerzése</t>
  </si>
  <si>
    <t xml:space="preserve">05641. Egyéb tárgyi eszközök beszerzése </t>
  </si>
  <si>
    <t xml:space="preserve"> - Közvilágítási lámpatestek bővítése</t>
  </si>
  <si>
    <t xml:space="preserve"> - sörpad + asztal beszerzés 40 garnitúra (kiegészítőkkel), egyéb tárgyi eszközök</t>
  </si>
  <si>
    <t xml:space="preserve">  - Játszótéri eszközök </t>
  </si>
  <si>
    <t>05651. Részesedések</t>
  </si>
  <si>
    <t>095. Felhalmozási bevételek</t>
  </si>
  <si>
    <t>05661. Meglévő részesedések növeléséhez kapcsolódó kiadás</t>
  </si>
  <si>
    <t>09511. Immateriális javak értékesítése</t>
  </si>
  <si>
    <t>05671. Beruházási célú előzetesen felszámított ÁFA</t>
  </si>
  <si>
    <t>09521. Ingatlanok értékesítése</t>
  </si>
  <si>
    <t>VII.</t>
  </si>
  <si>
    <t>057. Felújítások</t>
  </si>
  <si>
    <t>09531. Egyéb tárgyi eszközök értékesítése</t>
  </si>
  <si>
    <t>05711. Ingatlanok felújítása</t>
  </si>
  <si>
    <t xml:space="preserve"> - Önkormányzati int. Ép felújítás  munkálaltai (Tájház; Mház fűtéskorszerűsítés,előtető építése )</t>
  </si>
  <si>
    <t xml:space="preserve"> - útfelújítás </t>
  </si>
  <si>
    <t xml:space="preserve"> - szennyvíztelep felújítás KEHOP-2.2.2.-15.-2015</t>
  </si>
  <si>
    <t xml:space="preserve"> - KEHOP-2.2.2-15-2015 projekt (Dvarsány szennyvíztisztító)</t>
  </si>
  <si>
    <t>09541. Részesedések értékesítése</t>
  </si>
  <si>
    <t>05721. Informatikai eszközök felújítása</t>
  </si>
  <si>
    <t>09551. Részesedések megszűnéséhez kapcsolódó bevételek</t>
  </si>
  <si>
    <t>05731. Egyéb tárgyi eszközök felújítása  (I. Vh emlékmű)</t>
  </si>
  <si>
    <t>097. Felhalmozási célú átvett pénzeszközök</t>
  </si>
  <si>
    <t>05741. Felújítási célú előzetesen felszámított ÁFA</t>
  </si>
  <si>
    <t>09711. Felhalmozási célú garancia- és kezességvállalásból származó megtérülések államháztartáson kívülről</t>
  </si>
  <si>
    <t>VIII.</t>
  </si>
  <si>
    <t>058. Egyéb felhalmozási célú kiadások</t>
  </si>
  <si>
    <t xml:space="preserve">09751 Egyéb felhalmozási célú átvett pénzeszközök </t>
  </si>
  <si>
    <t>05841. Egyéb felhalmozási célú támogatások államháztartáson belülre</t>
  </si>
  <si>
    <t>05891. Egyéb felhalmozási célú támogatások államháztartáson kívülre (DPMV)</t>
  </si>
  <si>
    <t>055131. Tartalékok  (felhalmozási)</t>
  </si>
  <si>
    <t xml:space="preserve"> - céltartalék  (Bölcsőde építés+Áfa)</t>
  </si>
  <si>
    <t xml:space="preserve"> - céltartalék  (Útépítés pályázat))</t>
  </si>
  <si>
    <t xml:space="preserve"> - közművelődési pályázat önrész</t>
  </si>
  <si>
    <t>098. FINANSZÍROZÁSI BEVÉTELEK (1+2+….+7)</t>
  </si>
  <si>
    <t xml:space="preserve">059. FINANSZÍROZÁSI KIADÁSOK </t>
  </si>
  <si>
    <t>0981111. Hosszú lejáratú hitelek, kölcsönök felvétele pénzügyi vállalkozástól</t>
  </si>
  <si>
    <t>0591111. Hosszú lejáratú hitelek, kölcsönök törlesztése</t>
  </si>
  <si>
    <t>0981121. Likviditási célú hitelek, kölcsönök felvétele pénzügyi vállalkozástól</t>
  </si>
  <si>
    <t>0591121. Likviditási célú hitelek, kölcsönök törlesztése pénzügyi vállalkozásnak</t>
  </si>
  <si>
    <t>0981131. Rövid lejáratú hitelek, kölcsönök felvétele pénzügyi vállalkozástól</t>
  </si>
  <si>
    <t>0591131. Rövid lejáratú hitelek, kölcsönök törlesztése</t>
  </si>
  <si>
    <t>09811. Hitel-, kölcsönfelvétel államháztartáson kívülről összesenn</t>
  </si>
  <si>
    <t>05911. Hitel-, kölcsöntörlesztés államháztartáson kívülre összesen</t>
  </si>
  <si>
    <t>0981211. Forgatási célú belföldi értékpapírok beváltása, értékesítése</t>
  </si>
  <si>
    <t>0591211. Forgatási célú belföldi értékpapír vásárlása</t>
  </si>
  <si>
    <t xml:space="preserve">0981231. Befektetési célú belföldi értékpapírok beváltása, értékesítése  </t>
  </si>
  <si>
    <t>0591221 Befektetési célú belföldi értékpapírok vásárlása</t>
  </si>
  <si>
    <t>09812. Belföldi értékpapírok bevételei</t>
  </si>
  <si>
    <t>05912. Belföldi értékpapírok kiadásai összesen</t>
  </si>
  <si>
    <t>0981311. Maradvány igénybevétele (működési)</t>
  </si>
  <si>
    <t xml:space="preserve">05914. Államháztartáson belüli megelőlegezések visszafizetése előirányzata </t>
  </si>
  <si>
    <t xml:space="preserve">09814. Államháztartáson belüli megelőlegezések  </t>
  </si>
  <si>
    <t>059151. Központi, irányító szervi támogatás folyósítása (működési)</t>
  </si>
  <si>
    <t>098161. Központi, irányító szervi támogatás</t>
  </si>
  <si>
    <t>0591. Belföldi finanszírozás kiadásai (működési) összesen</t>
  </si>
  <si>
    <t>098171. Lekötött bankbetétek</t>
  </si>
  <si>
    <t>0981. Belföldi finanszírozás bevételei (működési) összesen</t>
  </si>
  <si>
    <t>0981111. Hosszú lejáratú hitelek, kölcsönök felvétele</t>
  </si>
  <si>
    <t>0981131. Rövid lejáratú hitelek, kölcsönök felvétele</t>
  </si>
  <si>
    <t>0981221. Forgatási célú belföldi értékpapír kibocsátása</t>
  </si>
  <si>
    <t>0981311. Maradvány igénybevétele (felhalmozási)</t>
  </si>
  <si>
    <t>059151. Központi, irányító szervi támogatás folyósítása (felhalmozási)</t>
  </si>
  <si>
    <t>0591. Belföldi finanszírozás kiadásai (felhalmozási) összesen</t>
  </si>
  <si>
    <t>0981. Belföldi finanszírozás bevételei (felhalmozási) összesen</t>
  </si>
  <si>
    <t>BEVÉTELEK MINDÖSSZESEN</t>
  </si>
  <si>
    <t>KIADÁSOK 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</si>
</sst>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yyyy/mm/dd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9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9" fontId="2" fillId="3" borderId="1" xfId="2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vertical="center" wrapText="1"/>
    </xf>
    <xf numFmtId="9" fontId="2" fillId="4" borderId="1" xfId="2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/>
    </xf>
    <xf numFmtId="9" fontId="3" fillId="0" borderId="1" xfId="2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9" fontId="5" fillId="0" borderId="1" xfId="2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3" fontId="5" fillId="5" borderId="1" xfId="0" applyNumberFormat="1" applyFont="1" applyFill="1" applyBorder="1" applyAlignment="1">
      <alignment horizontal="right" vertical="center" wrapText="1"/>
    </xf>
    <xf numFmtId="9" fontId="5" fillId="5" borderId="1" xfId="2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9" fontId="5" fillId="0" borderId="1" xfId="2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9" fontId="2" fillId="0" borderId="1" xfId="2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9" fontId="3" fillId="0" borderId="1" xfId="2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9" fontId="3" fillId="0" borderId="1" xfId="2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vertical="center" wrapText="1"/>
    </xf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9" fontId="5" fillId="0" borderId="1" xfId="2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3" fontId="4" fillId="5" borderId="1" xfId="0" applyNumberFormat="1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9" fontId="2" fillId="3" borderId="1" xfId="2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5" fillId="5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5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3" fontId="3" fillId="7" borderId="1" xfId="0" applyNumberFormat="1" applyFont="1" applyFill="1" applyBorder="1" applyAlignment="1">
      <alignment vertical="center"/>
    </xf>
    <xf numFmtId="9" fontId="3" fillId="7" borderId="1" xfId="2" applyFont="1" applyFill="1" applyBorder="1" applyAlignment="1">
      <alignment vertical="center"/>
    </xf>
    <xf numFmtId="164" fontId="3" fillId="7" borderId="1" xfId="1" applyNumberFormat="1" applyFont="1" applyFill="1" applyBorder="1" applyAlignment="1">
      <alignment vertical="center"/>
    </xf>
    <xf numFmtId="3" fontId="5" fillId="7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3" fontId="9" fillId="8" borderId="1" xfId="0" applyNumberFormat="1" applyFont="1" applyFill="1" applyBorder="1" applyAlignment="1">
      <alignment vertical="center"/>
    </xf>
    <xf numFmtId="9" fontId="9" fillId="8" borderId="1" xfId="2" applyFont="1" applyFill="1" applyBorder="1" applyAlignment="1">
      <alignment vertical="center"/>
    </xf>
    <xf numFmtId="164" fontId="9" fillId="8" borderId="2" xfId="1" applyNumberFormat="1" applyFont="1" applyFill="1" applyBorder="1" applyAlignment="1">
      <alignment vertical="center"/>
    </xf>
    <xf numFmtId="9" fontId="2" fillId="8" borderId="1" xfId="2" applyFont="1" applyFill="1" applyBorder="1" applyAlignment="1">
      <alignment vertical="center" wrapText="1"/>
    </xf>
    <xf numFmtId="9" fontId="3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9" fontId="5" fillId="0" borderId="1" xfId="2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9" fontId="5" fillId="0" borderId="0" xfId="2" applyFont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Border="1" applyAlignment="1"/>
    <xf numFmtId="9" fontId="10" fillId="0" borderId="0" xfId="2" applyFont="1" applyBorder="1" applyAlignment="1"/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83"/>
  <sheetViews>
    <sheetView tabSelected="1" workbookViewId="0">
      <selection activeCell="B13" sqref="B13"/>
    </sheetView>
  </sheetViews>
  <sheetFormatPr defaultRowHeight="15" x14ac:dyDescent="0.25"/>
  <cols>
    <col min="1" max="1" width="4.85546875" style="6" customWidth="1"/>
    <col min="2" max="2" width="54.28515625" style="6" customWidth="1"/>
    <col min="3" max="3" width="20.7109375" style="6" customWidth="1"/>
    <col min="4" max="4" width="16" style="6" customWidth="1"/>
    <col min="5" max="5" width="18.28515625" style="6" customWidth="1"/>
    <col min="6" max="6" width="14" style="106" customWidth="1"/>
    <col min="7" max="7" width="14" style="107" customWidth="1"/>
    <col min="8" max="8" width="6.140625" style="6" customWidth="1"/>
    <col min="9" max="9" width="60.5703125" style="6" customWidth="1"/>
    <col min="10" max="12" width="18" style="114" customWidth="1"/>
    <col min="13" max="13" width="15.140625" style="111" customWidth="1"/>
    <col min="14" max="14" width="14" style="5" bestFit="1" customWidth="1"/>
    <col min="15" max="15" width="17.7109375" style="5" bestFit="1" customWidth="1"/>
    <col min="16" max="16" width="13.28515625" style="5" customWidth="1"/>
    <col min="17" max="47" width="9.140625" style="5"/>
    <col min="48" max="16384" width="9.140625" style="6"/>
  </cols>
  <sheetData>
    <row r="1" spans="1:15" ht="42.75" x14ac:dyDescent="0.25">
      <c r="A1" s="1"/>
      <c r="B1" s="2" t="s">
        <v>0</v>
      </c>
      <c r="C1" s="1" t="s">
        <v>1</v>
      </c>
      <c r="D1" s="1" t="s">
        <v>2</v>
      </c>
      <c r="E1" s="1" t="s">
        <v>3</v>
      </c>
      <c r="F1" s="3" t="s">
        <v>4</v>
      </c>
      <c r="G1" s="4"/>
      <c r="H1" s="1"/>
      <c r="I1" s="2" t="s">
        <v>5</v>
      </c>
      <c r="J1" s="1" t="s">
        <v>1</v>
      </c>
      <c r="K1" s="1" t="s">
        <v>2</v>
      </c>
      <c r="L1" s="1" t="s">
        <v>3</v>
      </c>
      <c r="M1" s="3" t="s">
        <v>4</v>
      </c>
    </row>
    <row r="2" spans="1:15" x14ac:dyDescent="0.25">
      <c r="A2" s="7"/>
      <c r="B2" s="8" t="s">
        <v>6</v>
      </c>
      <c r="C2" s="9">
        <f>C3+C30+C64+C99</f>
        <v>559906738</v>
      </c>
      <c r="D2" s="9">
        <f>D3+D30+D64+D99</f>
        <v>627255428</v>
      </c>
      <c r="E2" s="9">
        <f>E3+E30+E64+E99</f>
        <v>548919233</v>
      </c>
      <c r="F2" s="10">
        <f>+E2/D2</f>
        <v>0.87511276666066573</v>
      </c>
      <c r="G2" s="11"/>
      <c r="H2" s="7"/>
      <c r="I2" s="8" t="s">
        <v>7</v>
      </c>
      <c r="J2" s="12">
        <f>J3+J19+J30+J89+J96</f>
        <v>257783908.0472441</v>
      </c>
      <c r="K2" s="12">
        <f>K3+K19+K30+K89+K96</f>
        <v>247785475</v>
      </c>
      <c r="L2" s="12">
        <f>L3+L19+L30+L89+L96</f>
        <v>203000611</v>
      </c>
      <c r="M2" s="10">
        <f>+L2/K2</f>
        <v>0.81925952681447534</v>
      </c>
      <c r="N2" s="13"/>
      <c r="O2" s="13"/>
    </row>
    <row r="3" spans="1:15" x14ac:dyDescent="0.25">
      <c r="A3" s="14" t="s">
        <v>8</v>
      </c>
      <c r="B3" s="15" t="s">
        <v>9</v>
      </c>
      <c r="C3" s="16">
        <f>C4+C13+C14+C15+C16+C17</f>
        <v>137644452</v>
      </c>
      <c r="D3" s="16">
        <f>D4+D13+D14+D15+D16+D17</f>
        <v>211620792</v>
      </c>
      <c r="E3" s="16">
        <f>E4+E13+E14+E15+E16+E17</f>
        <v>148800382</v>
      </c>
      <c r="F3" s="17">
        <f>+E3/D3</f>
        <v>0.7031463241097784</v>
      </c>
      <c r="G3" s="18"/>
      <c r="H3" s="14" t="s">
        <v>8</v>
      </c>
      <c r="I3" s="15" t="s">
        <v>10</v>
      </c>
      <c r="J3" s="19">
        <f>J12+J16</f>
        <v>31770100</v>
      </c>
      <c r="K3" s="19">
        <f t="shared" ref="K3:L3" si="0">K12+K16</f>
        <v>28830100</v>
      </c>
      <c r="L3" s="19">
        <f t="shared" si="0"/>
        <v>25189698</v>
      </c>
      <c r="M3" s="17">
        <f>+L3/K3</f>
        <v>0.87372912338146591</v>
      </c>
      <c r="N3" s="13"/>
      <c r="O3" s="13"/>
    </row>
    <row r="4" spans="1:15" ht="30" x14ac:dyDescent="0.25">
      <c r="A4" s="20"/>
      <c r="B4" s="21" t="s">
        <v>11</v>
      </c>
      <c r="C4" s="22">
        <f>SUM(C5:C9)</f>
        <v>105011190</v>
      </c>
      <c r="D4" s="22">
        <f>SUM(D5:D11)</f>
        <v>141294419</v>
      </c>
      <c r="E4" s="22">
        <f>SUM(E5:E11)</f>
        <v>141294419</v>
      </c>
      <c r="F4" s="23">
        <f>+E4/D4</f>
        <v>1</v>
      </c>
      <c r="G4" s="24"/>
      <c r="H4" s="25"/>
      <c r="I4" s="26" t="s">
        <v>12</v>
      </c>
      <c r="J4" s="27">
        <v>3904800</v>
      </c>
      <c r="K4" s="27">
        <v>2904800</v>
      </c>
      <c r="L4" s="27">
        <v>2823203</v>
      </c>
      <c r="M4" s="23">
        <f>+L4/K4</f>
        <v>0.97190959790691267</v>
      </c>
      <c r="N4" s="13"/>
      <c r="O4" s="13"/>
    </row>
    <row r="5" spans="1:15" ht="30" x14ac:dyDescent="0.25">
      <c r="A5" s="25"/>
      <c r="B5" s="28" t="s">
        <v>13</v>
      </c>
      <c r="C5" s="22">
        <v>62505835</v>
      </c>
      <c r="D5" s="22">
        <v>79319052</v>
      </c>
      <c r="E5" s="22">
        <v>79319052</v>
      </c>
      <c r="F5" s="23">
        <f t="shared" ref="F5:F11" si="1">+E5/D5</f>
        <v>1</v>
      </c>
      <c r="G5" s="24"/>
      <c r="H5" s="25"/>
      <c r="I5" s="26" t="s">
        <v>14</v>
      </c>
      <c r="J5" s="27"/>
      <c r="K5" s="27"/>
      <c r="L5" s="27"/>
      <c r="M5" s="29"/>
      <c r="N5" s="13"/>
      <c r="O5" s="13"/>
    </row>
    <row r="6" spans="1:15" ht="30" x14ac:dyDescent="0.25">
      <c r="A6" s="25"/>
      <c r="B6" s="28" t="s">
        <v>15</v>
      </c>
      <c r="C6" s="22"/>
      <c r="D6" s="22"/>
      <c r="E6" s="22"/>
      <c r="F6" s="23"/>
      <c r="G6" s="24"/>
      <c r="H6" s="25"/>
      <c r="I6" s="26" t="s">
        <v>16</v>
      </c>
      <c r="J6" s="27"/>
      <c r="K6" s="27"/>
      <c r="L6" s="27"/>
      <c r="M6" s="29"/>
      <c r="N6" s="13"/>
      <c r="O6" s="13"/>
    </row>
    <row r="7" spans="1:15" ht="30" x14ac:dyDescent="0.25">
      <c r="A7" s="25"/>
      <c r="B7" s="28" t="s">
        <v>17</v>
      </c>
      <c r="C7" s="22">
        <v>30702500</v>
      </c>
      <c r="D7" s="22">
        <v>42847319</v>
      </c>
      <c r="E7" s="22">
        <v>42847319</v>
      </c>
      <c r="F7" s="23">
        <f t="shared" si="1"/>
        <v>1</v>
      </c>
      <c r="G7" s="24"/>
      <c r="H7" s="25"/>
      <c r="I7" s="26" t="s">
        <v>18</v>
      </c>
      <c r="J7" s="27"/>
      <c r="K7" s="27"/>
      <c r="L7" s="27"/>
      <c r="M7" s="29"/>
      <c r="N7" s="13"/>
      <c r="O7" s="13"/>
    </row>
    <row r="8" spans="1:15" ht="30" x14ac:dyDescent="0.25">
      <c r="A8" s="25"/>
      <c r="B8" s="28" t="s">
        <v>19</v>
      </c>
      <c r="C8" s="22">
        <v>3775188</v>
      </c>
      <c r="D8" s="22">
        <v>2885389</v>
      </c>
      <c r="E8" s="22">
        <v>2885389</v>
      </c>
      <c r="F8" s="23">
        <f t="shared" si="1"/>
        <v>1</v>
      </c>
      <c r="G8" s="24"/>
      <c r="H8" s="25"/>
      <c r="I8" s="26" t="s">
        <v>20</v>
      </c>
      <c r="J8" s="27">
        <v>50800</v>
      </c>
      <c r="K8" s="27">
        <v>100800</v>
      </c>
      <c r="L8" s="27">
        <v>46155</v>
      </c>
      <c r="M8" s="29">
        <f>+L8/K8</f>
        <v>0.45788690476190474</v>
      </c>
      <c r="N8" s="13"/>
      <c r="O8" s="13"/>
    </row>
    <row r="9" spans="1:15" ht="30" x14ac:dyDescent="0.25">
      <c r="A9" s="25"/>
      <c r="B9" s="28" t="s">
        <v>21</v>
      </c>
      <c r="C9" s="22">
        <v>8027667</v>
      </c>
      <c r="D9" s="22">
        <v>11934939</v>
      </c>
      <c r="E9" s="22">
        <v>11934939</v>
      </c>
      <c r="F9" s="23">
        <f t="shared" si="1"/>
        <v>1</v>
      </c>
      <c r="G9" s="24"/>
      <c r="H9" s="25"/>
      <c r="I9" s="26" t="s">
        <v>22</v>
      </c>
      <c r="J9" s="27"/>
      <c r="K9" s="27"/>
      <c r="L9" s="27"/>
      <c r="M9" s="29"/>
      <c r="N9" s="13"/>
      <c r="O9" s="13"/>
    </row>
    <row r="10" spans="1:15" ht="30" x14ac:dyDescent="0.25">
      <c r="A10" s="25"/>
      <c r="B10" s="28" t="s">
        <v>23</v>
      </c>
      <c r="C10" s="30" t="s">
        <v>24</v>
      </c>
      <c r="D10" s="22">
        <v>3512000</v>
      </c>
      <c r="E10" s="22">
        <v>3512000</v>
      </c>
      <c r="F10" s="23">
        <f t="shared" si="1"/>
        <v>1</v>
      </c>
      <c r="G10" s="24">
        <f>110700+3401600</f>
        <v>3512300</v>
      </c>
      <c r="H10" s="25"/>
      <c r="I10" s="26" t="s">
        <v>25</v>
      </c>
      <c r="J10" s="31"/>
      <c r="K10" s="31"/>
      <c r="L10" s="31"/>
      <c r="M10" s="32"/>
      <c r="N10" s="13"/>
      <c r="O10" s="13"/>
    </row>
    <row r="11" spans="1:15" x14ac:dyDescent="0.25">
      <c r="A11" s="25"/>
      <c r="B11" s="28" t="s">
        <v>26</v>
      </c>
      <c r="C11" s="30" t="s">
        <v>24</v>
      </c>
      <c r="D11" s="22">
        <v>795720</v>
      </c>
      <c r="E11" s="22">
        <v>795720</v>
      </c>
      <c r="F11" s="23">
        <f t="shared" si="1"/>
        <v>1</v>
      </c>
      <c r="G11" s="24"/>
      <c r="H11" s="33"/>
      <c r="I11" s="26" t="s">
        <v>27</v>
      </c>
      <c r="J11" s="34"/>
      <c r="K11" s="34">
        <v>1619082</v>
      </c>
      <c r="L11" s="34">
        <v>1619082</v>
      </c>
      <c r="M11" s="29">
        <f t="shared" ref="M11:M15" si="2">+L11/K11</f>
        <v>1</v>
      </c>
      <c r="N11" s="13"/>
      <c r="O11" s="13"/>
    </row>
    <row r="12" spans="1:15" x14ac:dyDescent="0.25">
      <c r="A12" s="25"/>
      <c r="B12" s="35"/>
      <c r="C12" s="30"/>
      <c r="D12" s="30"/>
      <c r="E12" s="30"/>
      <c r="F12" s="23"/>
      <c r="G12" s="24"/>
      <c r="H12" s="33"/>
      <c r="I12" s="20" t="s">
        <v>28</v>
      </c>
      <c r="J12" s="34">
        <f>SUM(J4:J11)</f>
        <v>3955600</v>
      </c>
      <c r="K12" s="34">
        <f t="shared" ref="K12:L12" si="3">SUM(K4:K11)</f>
        <v>4624682</v>
      </c>
      <c r="L12" s="34">
        <f t="shared" si="3"/>
        <v>4488440</v>
      </c>
      <c r="M12" s="29">
        <f t="shared" si="2"/>
        <v>0.9705402447130419</v>
      </c>
      <c r="N12" s="13"/>
      <c r="O12" s="13"/>
    </row>
    <row r="13" spans="1:15" ht="30" x14ac:dyDescent="0.25">
      <c r="A13" s="25"/>
      <c r="B13" s="28" t="s">
        <v>29</v>
      </c>
      <c r="C13" s="30"/>
      <c r="D13" s="30"/>
      <c r="E13" s="30"/>
      <c r="F13" s="23"/>
      <c r="G13" s="24"/>
      <c r="H13" s="33"/>
      <c r="I13" s="26" t="s">
        <v>30</v>
      </c>
      <c r="J13" s="34">
        <v>21111500</v>
      </c>
      <c r="K13" s="34">
        <v>19002418</v>
      </c>
      <c r="L13" s="34">
        <v>16352618</v>
      </c>
      <c r="M13" s="29">
        <f t="shared" si="2"/>
        <v>0.86055458836870125</v>
      </c>
      <c r="N13" s="13"/>
      <c r="O13" s="13"/>
    </row>
    <row r="14" spans="1:15" ht="30" x14ac:dyDescent="0.25">
      <c r="A14" s="20"/>
      <c r="B14" s="28" t="s">
        <v>31</v>
      </c>
      <c r="C14" s="22"/>
      <c r="D14" s="22"/>
      <c r="E14" s="22"/>
      <c r="F14" s="23"/>
      <c r="G14" s="24"/>
      <c r="H14" s="33"/>
      <c r="I14" s="26" t="s">
        <v>32</v>
      </c>
      <c r="J14" s="34">
        <v>4703000</v>
      </c>
      <c r="K14" s="34">
        <v>4703000</v>
      </c>
      <c r="L14" s="34">
        <v>3990459</v>
      </c>
      <c r="M14" s="29">
        <f t="shared" si="2"/>
        <v>0.84849223899638526</v>
      </c>
      <c r="N14" s="13"/>
      <c r="O14" s="13"/>
    </row>
    <row r="15" spans="1:15" ht="30" x14ac:dyDescent="0.25">
      <c r="A15" s="20"/>
      <c r="B15" s="28" t="s">
        <v>33</v>
      </c>
      <c r="C15" s="22"/>
      <c r="D15" s="22"/>
      <c r="E15" s="22"/>
      <c r="F15" s="23"/>
      <c r="G15" s="24"/>
      <c r="H15" s="33"/>
      <c r="I15" s="26" t="s">
        <v>34</v>
      </c>
      <c r="J15" s="34">
        <v>2000000</v>
      </c>
      <c r="K15" s="34">
        <v>500000</v>
      </c>
      <c r="L15" s="34">
        <v>358181</v>
      </c>
      <c r="M15" s="29">
        <f t="shared" si="2"/>
        <v>0.71636200000000005</v>
      </c>
      <c r="N15" s="13"/>
      <c r="O15" s="13"/>
    </row>
    <row r="16" spans="1:15" ht="30" x14ac:dyDescent="0.25">
      <c r="A16" s="20"/>
      <c r="B16" s="28" t="s">
        <v>35</v>
      </c>
      <c r="C16" s="22"/>
      <c r="D16" s="22"/>
      <c r="E16" s="22"/>
      <c r="F16" s="23"/>
      <c r="G16" s="24"/>
      <c r="H16" s="33"/>
      <c r="I16" s="20" t="s">
        <v>36</v>
      </c>
      <c r="J16" s="34">
        <f>J13+J14+J15</f>
        <v>27814500</v>
      </c>
      <c r="K16" s="34">
        <f t="shared" ref="K16:L16" si="4">K13+K14+K15</f>
        <v>24205418</v>
      </c>
      <c r="L16" s="34">
        <f t="shared" si="4"/>
        <v>20701258</v>
      </c>
      <c r="M16" s="29">
        <f>+L16/K16</f>
        <v>0.85523241118992455</v>
      </c>
      <c r="N16" s="13"/>
      <c r="O16" s="13"/>
    </row>
    <row r="17" spans="1:15" ht="30" x14ac:dyDescent="0.25">
      <c r="A17" s="20"/>
      <c r="B17" s="28" t="s">
        <v>37</v>
      </c>
      <c r="C17" s="22">
        <f>SUM(C19:C29)</f>
        <v>32633262</v>
      </c>
      <c r="D17" s="22">
        <f>SUM(D19:D29)</f>
        <v>70326373</v>
      </c>
      <c r="E17" s="22">
        <f>SUM(E19:E29)</f>
        <v>7505963</v>
      </c>
      <c r="F17" s="23">
        <f t="shared" ref="F17:F53" si="5">+E17/D17</f>
        <v>0.10673041534503706</v>
      </c>
      <c r="G17" s="24"/>
      <c r="H17" s="33"/>
      <c r="I17" s="20"/>
      <c r="J17" s="34"/>
      <c r="K17" s="34"/>
      <c r="L17" s="34"/>
      <c r="M17" s="29"/>
      <c r="N17" s="13"/>
      <c r="O17" s="13"/>
    </row>
    <row r="18" spans="1:15" x14ac:dyDescent="0.25">
      <c r="A18" s="20"/>
      <c r="B18" s="36" t="s">
        <v>38</v>
      </c>
      <c r="C18" s="22">
        <v>0</v>
      </c>
      <c r="D18" s="22">
        <v>0</v>
      </c>
      <c r="E18" s="22">
        <v>0</v>
      </c>
      <c r="F18" s="23"/>
      <c r="G18" s="24"/>
      <c r="H18" s="33"/>
      <c r="I18" s="20"/>
      <c r="J18" s="34"/>
      <c r="K18" s="34"/>
      <c r="L18" s="34"/>
      <c r="M18" s="29"/>
      <c r="N18" s="13"/>
      <c r="O18" s="13"/>
    </row>
    <row r="19" spans="1:15" ht="30" x14ac:dyDescent="0.25">
      <c r="A19" s="20"/>
      <c r="B19" s="28" t="s">
        <v>39</v>
      </c>
      <c r="C19" s="22">
        <v>2979107</v>
      </c>
      <c r="D19" s="22">
        <v>2321063</v>
      </c>
      <c r="E19" s="22">
        <v>2321063</v>
      </c>
      <c r="F19" s="23">
        <f t="shared" si="5"/>
        <v>1</v>
      </c>
      <c r="G19" s="24"/>
      <c r="H19" s="14" t="s">
        <v>40</v>
      </c>
      <c r="I19" s="15" t="s">
        <v>41</v>
      </c>
      <c r="J19" s="19">
        <f>SUM(J20:J29)</f>
        <v>5993300</v>
      </c>
      <c r="K19" s="19">
        <f>SUM(K20:K29)</f>
        <v>5239965</v>
      </c>
      <c r="L19" s="19">
        <f>SUM(L20:L29)</f>
        <v>3981802</v>
      </c>
      <c r="M19" s="17">
        <f>+L19/K19</f>
        <v>0.75989095347010904</v>
      </c>
      <c r="N19" s="13"/>
      <c r="O19" s="13"/>
    </row>
    <row r="20" spans="1:15" x14ac:dyDescent="0.25">
      <c r="A20" s="20"/>
      <c r="B20" s="28" t="s">
        <v>42</v>
      </c>
      <c r="C20" s="22">
        <v>6479440</v>
      </c>
      <c r="D20" s="22">
        <v>0</v>
      </c>
      <c r="E20" s="22">
        <v>0</v>
      </c>
      <c r="F20" s="23"/>
      <c r="G20" s="24"/>
      <c r="H20" s="25"/>
      <c r="I20" s="37" t="s">
        <v>43</v>
      </c>
      <c r="J20" s="34">
        <v>5624400</v>
      </c>
      <c r="K20" s="34">
        <v>4921065</v>
      </c>
      <c r="L20" s="34">
        <v>3827391</v>
      </c>
      <c r="M20" s="29">
        <f t="shared" ref="M20:M22" si="6">+L20/K20</f>
        <v>0.77775664414105483</v>
      </c>
      <c r="N20" s="13"/>
      <c r="O20" s="13"/>
    </row>
    <row r="21" spans="1:15" x14ac:dyDescent="0.25">
      <c r="A21" s="20"/>
      <c r="B21" s="28" t="s">
        <v>44</v>
      </c>
      <c r="C21" s="22">
        <v>1099330</v>
      </c>
      <c r="D21" s="22">
        <v>0</v>
      </c>
      <c r="E21" s="22">
        <v>0</v>
      </c>
      <c r="F21" s="23"/>
      <c r="G21" s="24"/>
      <c r="H21" s="25"/>
      <c r="I21" s="37" t="s">
        <v>45</v>
      </c>
      <c r="J21" s="34">
        <v>368900</v>
      </c>
      <c r="K21" s="34">
        <v>268900</v>
      </c>
      <c r="L21" s="34">
        <v>140198</v>
      </c>
      <c r="M21" s="29">
        <f t="shared" si="6"/>
        <v>0.52137597619933063</v>
      </c>
      <c r="N21" s="13"/>
      <c r="O21" s="13"/>
    </row>
    <row r="22" spans="1:15" x14ac:dyDescent="0.25">
      <c r="A22" s="20"/>
      <c r="B22" s="28" t="s">
        <v>46</v>
      </c>
      <c r="C22" s="22">
        <v>4660500</v>
      </c>
      <c r="D22" s="22">
        <v>4660500</v>
      </c>
      <c r="E22" s="22">
        <v>4660500</v>
      </c>
      <c r="F22" s="23">
        <f t="shared" si="5"/>
        <v>1</v>
      </c>
      <c r="G22" s="24"/>
      <c r="H22" s="25"/>
      <c r="I22" s="37" t="s">
        <v>47</v>
      </c>
      <c r="J22" s="34">
        <v>0</v>
      </c>
      <c r="K22" s="34">
        <v>50000</v>
      </c>
      <c r="L22" s="34">
        <v>14213</v>
      </c>
      <c r="M22" s="29">
        <f t="shared" si="6"/>
        <v>0.28426000000000001</v>
      </c>
      <c r="N22" s="13"/>
      <c r="O22" s="13"/>
    </row>
    <row r="23" spans="1:15" x14ac:dyDescent="0.25">
      <c r="A23" s="20"/>
      <c r="B23" s="28" t="s">
        <v>48</v>
      </c>
      <c r="C23" s="22">
        <v>537600</v>
      </c>
      <c r="D23" s="22">
        <v>524400</v>
      </c>
      <c r="E23" s="22">
        <v>524400</v>
      </c>
      <c r="F23" s="23">
        <f t="shared" si="5"/>
        <v>1</v>
      </c>
      <c r="G23" s="24"/>
      <c r="H23" s="25"/>
      <c r="I23" s="37"/>
      <c r="J23" s="34"/>
      <c r="K23" s="34"/>
      <c r="L23" s="34"/>
      <c r="M23" s="29"/>
      <c r="N23" s="13"/>
      <c r="O23" s="13"/>
    </row>
    <row r="24" spans="1:15" x14ac:dyDescent="0.25">
      <c r="A24" s="20"/>
      <c r="B24" s="38" t="s">
        <v>49</v>
      </c>
      <c r="C24" s="39">
        <f>4495800+1587500+5207000+393700</f>
        <v>11684000</v>
      </c>
      <c r="D24" s="22">
        <v>13603541</v>
      </c>
      <c r="E24" s="22"/>
      <c r="F24" s="23"/>
      <c r="G24" s="24"/>
      <c r="H24" s="25"/>
      <c r="I24" s="37"/>
      <c r="J24" s="34"/>
      <c r="K24" s="34"/>
      <c r="L24" s="34"/>
      <c r="M24" s="29"/>
      <c r="N24" s="13"/>
      <c r="O24" s="13"/>
    </row>
    <row r="25" spans="1:15" x14ac:dyDescent="0.25">
      <c r="A25" s="20"/>
      <c r="B25" s="38" t="s">
        <v>50</v>
      </c>
      <c r="C25" s="39">
        <v>4361403</v>
      </c>
      <c r="D25" s="22">
        <v>4361403</v>
      </c>
      <c r="E25" s="22"/>
      <c r="F25" s="23"/>
      <c r="G25" s="24"/>
      <c r="H25" s="25"/>
      <c r="I25" s="37"/>
      <c r="J25" s="34"/>
      <c r="K25" s="34"/>
      <c r="L25" s="34"/>
      <c r="M25" s="29"/>
      <c r="N25" s="13"/>
      <c r="O25" s="13"/>
    </row>
    <row r="26" spans="1:15" x14ac:dyDescent="0.25">
      <c r="A26" s="20"/>
      <c r="B26" s="40" t="s">
        <v>51</v>
      </c>
      <c r="C26" s="39">
        <f>(422275+301625+784225+155639)/2</f>
        <v>831882</v>
      </c>
      <c r="D26" s="22">
        <v>0</v>
      </c>
      <c r="E26" s="22"/>
      <c r="F26" s="23"/>
      <c r="G26" s="24"/>
      <c r="H26" s="25"/>
      <c r="I26" s="37"/>
      <c r="J26" s="34"/>
      <c r="K26" s="34"/>
      <c r="L26" s="34"/>
      <c r="M26" s="29"/>
      <c r="N26" s="13"/>
      <c r="O26" s="13"/>
    </row>
    <row r="27" spans="1:15" x14ac:dyDescent="0.25">
      <c r="A27" s="20"/>
      <c r="B27" s="40" t="s">
        <v>52</v>
      </c>
      <c r="C27" s="39"/>
      <c r="D27" s="22">
        <v>0</v>
      </c>
      <c r="E27" s="22"/>
      <c r="F27" s="23"/>
      <c r="G27" s="24"/>
      <c r="H27" s="25"/>
      <c r="I27" s="37"/>
      <c r="J27" s="34"/>
      <c r="K27" s="34"/>
      <c r="L27" s="34"/>
      <c r="M27" s="29"/>
      <c r="N27" s="13"/>
      <c r="O27" s="13"/>
    </row>
    <row r="28" spans="1:15" x14ac:dyDescent="0.25">
      <c r="A28" s="20"/>
      <c r="B28" s="41" t="s">
        <v>53</v>
      </c>
      <c r="C28" s="42">
        <v>0</v>
      </c>
      <c r="D28" s="22">
        <v>44855466</v>
      </c>
      <c r="E28" s="22"/>
      <c r="F28" s="23"/>
      <c r="G28" s="24"/>
      <c r="H28" s="25"/>
      <c r="I28" s="37"/>
      <c r="J28" s="34"/>
      <c r="K28" s="34"/>
      <c r="L28" s="34"/>
      <c r="M28" s="29"/>
      <c r="N28" s="13"/>
      <c r="O28" s="13"/>
    </row>
    <row r="29" spans="1:15" x14ac:dyDescent="0.25">
      <c r="A29" s="20"/>
      <c r="B29" s="40" t="s">
        <v>54</v>
      </c>
      <c r="C29" s="42"/>
      <c r="D29" s="22">
        <v>0</v>
      </c>
      <c r="E29" s="22"/>
      <c r="F29" s="23"/>
      <c r="G29" s="24"/>
      <c r="H29" s="25"/>
      <c r="I29" s="37"/>
      <c r="J29" s="34"/>
      <c r="K29" s="34"/>
      <c r="L29" s="34"/>
      <c r="M29" s="43"/>
      <c r="N29" s="13"/>
      <c r="O29" s="13"/>
    </row>
    <row r="30" spans="1:15" x14ac:dyDescent="0.25">
      <c r="A30" s="14" t="s">
        <v>40</v>
      </c>
      <c r="B30" s="15" t="s">
        <v>55</v>
      </c>
      <c r="C30" s="16">
        <f>C31+C37+C48</f>
        <v>369600000</v>
      </c>
      <c r="D30" s="16">
        <f>D31+D37+D48</f>
        <v>386976287</v>
      </c>
      <c r="E30" s="16">
        <f>E31+E37+E48</f>
        <v>377804136</v>
      </c>
      <c r="F30" s="17">
        <f>+E30/D30</f>
        <v>0.97629789910098552</v>
      </c>
      <c r="G30" s="18"/>
      <c r="H30" s="14" t="s">
        <v>56</v>
      </c>
      <c r="I30" s="15" t="s">
        <v>57</v>
      </c>
      <c r="J30" s="19">
        <f>J43+J55+J76+J79+J88</f>
        <v>176358762.0472441</v>
      </c>
      <c r="K30" s="19">
        <f>K43+K55+K76+K79+K88</f>
        <v>172459409</v>
      </c>
      <c r="L30" s="44">
        <f>L43+L55+L76+L79+L88</f>
        <v>141060610</v>
      </c>
      <c r="M30" s="17">
        <f>+L30/K30</f>
        <v>0.81793513510184879</v>
      </c>
      <c r="N30" s="13"/>
      <c r="O30" s="13"/>
    </row>
    <row r="31" spans="1:15" x14ac:dyDescent="0.25">
      <c r="A31" s="45"/>
      <c r="B31" s="40" t="s">
        <v>58</v>
      </c>
      <c r="C31" s="46">
        <f>SUM(C32:C36)</f>
        <v>66100000</v>
      </c>
      <c r="D31" s="46">
        <f>SUM(D32:D36)</f>
        <v>94447145</v>
      </c>
      <c r="E31" s="47">
        <f>SUM(E32:E36)</f>
        <v>71031649</v>
      </c>
      <c r="F31" s="23">
        <f t="shared" si="5"/>
        <v>0.75207830792555985</v>
      </c>
      <c r="G31" s="24"/>
      <c r="H31" s="48"/>
      <c r="I31" s="49" t="s">
        <v>59</v>
      </c>
      <c r="J31" s="34">
        <f>SUM(J32:J34)</f>
        <v>74500</v>
      </c>
      <c r="K31" s="34">
        <f>SUM(K32:K34)</f>
        <v>174500</v>
      </c>
      <c r="L31" s="34">
        <f>SUM(L32:L34)</f>
        <v>102514</v>
      </c>
      <c r="M31" s="50">
        <f t="shared" ref="M31:M89" si="7">+L31/K31</f>
        <v>0.5874727793696275</v>
      </c>
      <c r="N31" s="13"/>
      <c r="O31" s="13"/>
    </row>
    <row r="32" spans="1:15" x14ac:dyDescent="0.25">
      <c r="A32" s="45"/>
      <c r="B32" s="40" t="s">
        <v>60</v>
      </c>
      <c r="C32" s="46">
        <v>43500000</v>
      </c>
      <c r="D32" s="46">
        <v>58500000</v>
      </c>
      <c r="E32" s="47">
        <v>42759722</v>
      </c>
      <c r="F32" s="23">
        <f t="shared" si="5"/>
        <v>0.73093541880341883</v>
      </c>
      <c r="G32" s="24"/>
      <c r="H32" s="48"/>
      <c r="I32" s="48" t="s">
        <v>61</v>
      </c>
      <c r="J32" s="34"/>
      <c r="K32" s="34"/>
      <c r="L32" s="34"/>
      <c r="M32" s="50"/>
      <c r="N32" s="13"/>
      <c r="O32" s="13"/>
    </row>
    <row r="33" spans="1:15" x14ac:dyDescent="0.25">
      <c r="A33" s="45"/>
      <c r="B33" s="40" t="s">
        <v>62</v>
      </c>
      <c r="C33" s="46">
        <v>18000000</v>
      </c>
      <c r="D33" s="46">
        <v>24947145</v>
      </c>
      <c r="E33" s="47">
        <v>17880495</v>
      </c>
      <c r="F33" s="23">
        <f t="shared" si="5"/>
        <v>0.71673512139365048</v>
      </c>
      <c r="G33" s="24"/>
      <c r="H33" s="48"/>
      <c r="I33" s="48" t="s">
        <v>63</v>
      </c>
      <c r="J33" s="34">
        <v>74500</v>
      </c>
      <c r="K33" s="34">
        <v>174500</v>
      </c>
      <c r="L33" s="34">
        <v>43188</v>
      </c>
      <c r="M33" s="50">
        <f t="shared" si="7"/>
        <v>0.24749570200573065</v>
      </c>
      <c r="N33" s="13"/>
      <c r="O33" s="13"/>
    </row>
    <row r="34" spans="1:15" x14ac:dyDescent="0.25">
      <c r="A34" s="45"/>
      <c r="B34" s="40" t="s">
        <v>64</v>
      </c>
      <c r="C34" s="46">
        <v>4600000</v>
      </c>
      <c r="D34" s="46">
        <v>11000000</v>
      </c>
      <c r="E34" s="47">
        <v>10391432</v>
      </c>
      <c r="F34" s="23">
        <f t="shared" si="5"/>
        <v>0.94467563636363638</v>
      </c>
      <c r="G34" s="24"/>
      <c r="H34" s="48"/>
      <c r="I34" s="48" t="s">
        <v>65</v>
      </c>
      <c r="J34" s="34"/>
      <c r="K34" s="34"/>
      <c r="L34" s="34">
        <v>59326</v>
      </c>
      <c r="M34" s="50"/>
      <c r="N34" s="13"/>
      <c r="O34" s="13"/>
    </row>
    <row r="35" spans="1:15" x14ac:dyDescent="0.25">
      <c r="A35" s="45"/>
      <c r="B35" s="40"/>
      <c r="C35" s="46"/>
      <c r="D35" s="46"/>
      <c r="E35" s="47"/>
      <c r="F35" s="23"/>
      <c r="G35" s="24"/>
      <c r="H35" s="48"/>
      <c r="I35" s="49" t="s">
        <v>66</v>
      </c>
      <c r="J35" s="34">
        <f>SUM(J36:J41)</f>
        <v>3040000</v>
      </c>
      <c r="K35" s="34">
        <f>SUM(K36:K41)</f>
        <v>7000000</v>
      </c>
      <c r="L35" s="34">
        <f>SUM(L36:L41)</f>
        <v>6252841</v>
      </c>
      <c r="M35" s="50">
        <f t="shared" si="7"/>
        <v>0.89326300000000003</v>
      </c>
      <c r="N35" s="13"/>
      <c r="O35" s="13"/>
    </row>
    <row r="36" spans="1:15" x14ac:dyDescent="0.25">
      <c r="A36" s="45"/>
      <c r="B36" s="40"/>
      <c r="C36" s="46"/>
      <c r="D36" s="46"/>
      <c r="E36" s="47"/>
      <c r="F36" s="23"/>
      <c r="G36" s="24"/>
      <c r="H36" s="48"/>
      <c r="I36" s="48" t="s">
        <v>67</v>
      </c>
      <c r="J36" s="34"/>
      <c r="K36" s="34"/>
      <c r="L36" s="34"/>
      <c r="M36" s="50"/>
      <c r="N36" s="13"/>
      <c r="O36" s="13"/>
    </row>
    <row r="37" spans="1:15" x14ac:dyDescent="0.25">
      <c r="A37" s="45"/>
      <c r="B37" s="40" t="s">
        <v>68</v>
      </c>
      <c r="C37" s="46">
        <f>C38+C41+C46</f>
        <v>302000000</v>
      </c>
      <c r="D37" s="46">
        <f>D38+D41+D46</f>
        <v>291329142</v>
      </c>
      <c r="E37" s="46">
        <f t="shared" ref="E37" si="8">E38+E41+E46</f>
        <v>303965117</v>
      </c>
      <c r="F37" s="23">
        <f>E37/D37</f>
        <v>1.0433735359025633</v>
      </c>
      <c r="G37" s="24"/>
      <c r="H37" s="48"/>
      <c r="I37" s="48" t="s">
        <v>69</v>
      </c>
      <c r="J37" s="34">
        <v>10000</v>
      </c>
      <c r="K37" s="34">
        <v>10000</v>
      </c>
      <c r="L37" s="34">
        <v>16339</v>
      </c>
      <c r="M37" s="50">
        <f t="shared" si="7"/>
        <v>1.6338999999999999</v>
      </c>
      <c r="N37" s="13"/>
      <c r="O37" s="13"/>
    </row>
    <row r="38" spans="1:15" x14ac:dyDescent="0.25">
      <c r="A38" s="45"/>
      <c r="B38" s="40" t="s">
        <v>70</v>
      </c>
      <c r="C38" s="46">
        <f>C39+C40</f>
        <v>276000000</v>
      </c>
      <c r="D38" s="46">
        <f>D39+D40</f>
        <v>291268542</v>
      </c>
      <c r="E38" s="47">
        <f>E39+E40</f>
        <v>303904517</v>
      </c>
      <c r="F38" s="23">
        <f>+E38/D38</f>
        <v>1.0433825600019655</v>
      </c>
      <c r="G38" s="24"/>
      <c r="H38" s="48"/>
      <c r="I38" s="48" t="s">
        <v>71</v>
      </c>
      <c r="J38" s="34">
        <v>30000</v>
      </c>
      <c r="K38" s="34">
        <v>30000</v>
      </c>
      <c r="L38" s="34">
        <v>12583</v>
      </c>
      <c r="M38" s="50">
        <f t="shared" si="7"/>
        <v>0.41943333333333332</v>
      </c>
      <c r="N38" s="13"/>
      <c r="O38" s="13"/>
    </row>
    <row r="39" spans="1:15" x14ac:dyDescent="0.25">
      <c r="A39" s="45"/>
      <c r="B39" s="40" t="s">
        <v>72</v>
      </c>
      <c r="C39" s="46">
        <v>276000000</v>
      </c>
      <c r="D39" s="46">
        <v>291268542</v>
      </c>
      <c r="E39" s="47">
        <v>303904517</v>
      </c>
      <c r="F39" s="23">
        <f t="shared" si="5"/>
        <v>1.0433825600019655</v>
      </c>
      <c r="G39" s="24"/>
      <c r="H39" s="48"/>
      <c r="I39" s="48" t="s">
        <v>73</v>
      </c>
      <c r="J39" s="34">
        <v>1000000</v>
      </c>
      <c r="K39" s="34">
        <v>1000000</v>
      </c>
      <c r="L39" s="34">
        <v>610996</v>
      </c>
      <c r="M39" s="50">
        <f t="shared" si="7"/>
        <v>0.61099599999999998</v>
      </c>
      <c r="N39" s="13"/>
      <c r="O39" s="13"/>
    </row>
    <row r="40" spans="1:15" ht="30" x14ac:dyDescent="0.25">
      <c r="A40" s="45"/>
      <c r="B40" s="40" t="s">
        <v>74</v>
      </c>
      <c r="C40" s="46"/>
      <c r="D40" s="46"/>
      <c r="E40" s="47"/>
      <c r="F40" s="23"/>
      <c r="G40" s="24"/>
      <c r="H40" s="48"/>
      <c r="I40" s="51" t="s">
        <v>75</v>
      </c>
      <c r="J40" s="34">
        <v>2000000</v>
      </c>
      <c r="K40" s="34">
        <v>5960000</v>
      </c>
      <c r="L40" s="34">
        <v>5612923</v>
      </c>
      <c r="M40" s="50">
        <f t="shared" si="7"/>
        <v>0.94176560402684562</v>
      </c>
      <c r="N40" s="13"/>
      <c r="O40" s="13"/>
    </row>
    <row r="41" spans="1:15" x14ac:dyDescent="0.25">
      <c r="A41" s="45"/>
      <c r="B41" s="40" t="s">
        <v>76</v>
      </c>
      <c r="C41" s="46">
        <f>SUM(C42:C45)</f>
        <v>26000000</v>
      </c>
      <c r="D41" s="46">
        <f>SUM(D42:D45)</f>
        <v>0</v>
      </c>
      <c r="E41" s="47">
        <f>SUM(E42:E45)</f>
        <v>0</v>
      </c>
      <c r="F41" s="23"/>
      <c r="G41" s="24"/>
      <c r="H41" s="48"/>
      <c r="I41" s="51"/>
      <c r="J41" s="34"/>
      <c r="K41" s="34"/>
      <c r="L41" s="34"/>
      <c r="M41" s="50"/>
      <c r="N41" s="13"/>
      <c r="O41" s="13"/>
    </row>
    <row r="42" spans="1:15" x14ac:dyDescent="0.25">
      <c r="A42" s="45"/>
      <c r="B42" s="40" t="s">
        <v>77</v>
      </c>
      <c r="C42" s="46">
        <v>26000000</v>
      </c>
      <c r="D42" s="46">
        <v>0</v>
      </c>
      <c r="E42" s="47">
        <v>0</v>
      </c>
      <c r="F42" s="23"/>
      <c r="G42" s="24"/>
      <c r="H42" s="48"/>
      <c r="I42" s="48" t="s">
        <v>78</v>
      </c>
      <c r="J42" s="34"/>
      <c r="K42" s="34"/>
      <c r="L42" s="34"/>
      <c r="M42" s="50"/>
      <c r="N42" s="13"/>
      <c r="O42" s="13"/>
    </row>
    <row r="43" spans="1:15" x14ac:dyDescent="0.25">
      <c r="A43" s="45"/>
      <c r="B43" s="40"/>
      <c r="C43" s="46"/>
      <c r="D43" s="46"/>
      <c r="E43" s="47"/>
      <c r="F43" s="23"/>
      <c r="G43" s="24"/>
      <c r="H43" s="48"/>
      <c r="I43" s="52" t="s">
        <v>79</v>
      </c>
      <c r="J43" s="34">
        <f>J31+J35+J42</f>
        <v>3114500</v>
      </c>
      <c r="K43" s="34">
        <f>K31+K35+K42</f>
        <v>7174500</v>
      </c>
      <c r="L43" s="34">
        <f>L31+L35+L42</f>
        <v>6355355</v>
      </c>
      <c r="M43" s="50">
        <f t="shared" si="7"/>
        <v>0.88582549306571889</v>
      </c>
      <c r="N43" s="13"/>
      <c r="O43" s="13"/>
    </row>
    <row r="44" spans="1:15" x14ac:dyDescent="0.25">
      <c r="A44" s="45"/>
      <c r="B44" s="40"/>
      <c r="C44" s="46"/>
      <c r="D44" s="46"/>
      <c r="E44" s="47"/>
      <c r="F44" s="23"/>
      <c r="G44" s="24"/>
      <c r="H44" s="48"/>
      <c r="I44" s="48" t="s">
        <v>80</v>
      </c>
      <c r="J44" s="34">
        <f>SUM(J45:J52)</f>
        <v>4923400</v>
      </c>
      <c r="K44" s="34">
        <f>SUM(K45:K52)</f>
        <v>4138400</v>
      </c>
      <c r="L44" s="34">
        <f>SUM(L45:L52)</f>
        <v>3581861</v>
      </c>
      <c r="M44" s="50">
        <f t="shared" si="7"/>
        <v>0.86551831625749087</v>
      </c>
      <c r="N44" s="13"/>
      <c r="O44" s="13"/>
    </row>
    <row r="45" spans="1:15" x14ac:dyDescent="0.25">
      <c r="A45" s="45"/>
      <c r="B45" s="40"/>
      <c r="C45" s="46"/>
      <c r="D45" s="46"/>
      <c r="E45" s="47"/>
      <c r="F45" s="23"/>
      <c r="G45" s="24"/>
      <c r="H45" s="48"/>
      <c r="I45" s="48" t="s">
        <v>81</v>
      </c>
      <c r="J45" s="34">
        <v>257000</v>
      </c>
      <c r="K45" s="34">
        <v>257000</v>
      </c>
      <c r="L45" s="34">
        <v>242283</v>
      </c>
      <c r="M45" s="50">
        <f t="shared" si="7"/>
        <v>0.94273540856031124</v>
      </c>
      <c r="N45" s="13"/>
      <c r="O45" s="13"/>
    </row>
    <row r="46" spans="1:15" x14ac:dyDescent="0.25">
      <c r="A46" s="45"/>
      <c r="B46" s="40" t="s">
        <v>82</v>
      </c>
      <c r="C46" s="46">
        <f>+C47</f>
        <v>0</v>
      </c>
      <c r="D46" s="46">
        <f>+D47</f>
        <v>60600</v>
      </c>
      <c r="E46" s="47">
        <f>+E47</f>
        <v>60600</v>
      </c>
      <c r="F46" s="23">
        <f>+E46/D46</f>
        <v>1</v>
      </c>
      <c r="G46" s="24"/>
      <c r="H46" s="48"/>
      <c r="I46" s="48" t="s">
        <v>83</v>
      </c>
      <c r="J46" s="34">
        <f>240000+125400+396000+128000+252000+300000</f>
        <v>1441400</v>
      </c>
      <c r="K46" s="34">
        <f>240000+125400+396000+128000+252000+300000</f>
        <v>1441400</v>
      </c>
      <c r="L46" s="34">
        <v>1020150</v>
      </c>
      <c r="M46" s="50">
        <f t="shared" si="7"/>
        <v>0.70774941029554594</v>
      </c>
      <c r="N46" s="13"/>
      <c r="O46" s="13"/>
    </row>
    <row r="47" spans="1:15" x14ac:dyDescent="0.25">
      <c r="A47" s="45"/>
      <c r="B47" s="53" t="s">
        <v>84</v>
      </c>
      <c r="C47" s="42"/>
      <c r="D47" s="42">
        <v>60600</v>
      </c>
      <c r="E47" s="22">
        <v>60600</v>
      </c>
      <c r="F47" s="23">
        <f>+E47/D47</f>
        <v>1</v>
      </c>
      <c r="G47" s="24"/>
      <c r="H47" s="48"/>
      <c r="I47" s="48" t="s">
        <v>85</v>
      </c>
      <c r="J47" s="34">
        <f>632000+644000</f>
        <v>1276000</v>
      </c>
      <c r="K47" s="34">
        <f>632000+644000</f>
        <v>1276000</v>
      </c>
      <c r="L47" s="34">
        <v>1127007</v>
      </c>
      <c r="M47" s="50">
        <f t="shared" si="7"/>
        <v>0.8832343260188088</v>
      </c>
      <c r="N47" s="13"/>
      <c r="O47" s="13"/>
    </row>
    <row r="48" spans="1:15" x14ac:dyDescent="0.25">
      <c r="A48" s="45"/>
      <c r="B48" s="40" t="s">
        <v>86</v>
      </c>
      <c r="C48" s="42">
        <f>SUM(C49:C53)</f>
        <v>1500000</v>
      </c>
      <c r="D48" s="42">
        <f>SUM(D49:D54)</f>
        <v>1200000</v>
      </c>
      <c r="E48" s="22">
        <f>SUM(E49:E54)</f>
        <v>2807370</v>
      </c>
      <c r="F48" s="23">
        <f t="shared" si="5"/>
        <v>2.3394750000000002</v>
      </c>
      <c r="G48" s="24"/>
      <c r="H48" s="48"/>
      <c r="I48" s="48" t="s">
        <v>87</v>
      </c>
      <c r="J48" s="34">
        <f>117000+60000</f>
        <v>177000</v>
      </c>
      <c r="K48" s="34">
        <f>117000+60000</f>
        <v>177000</v>
      </c>
      <c r="L48" s="34">
        <v>183581</v>
      </c>
      <c r="M48" s="50">
        <f t="shared" si="7"/>
        <v>1.037180790960452</v>
      </c>
      <c r="N48" s="13"/>
      <c r="O48" s="13"/>
    </row>
    <row r="49" spans="1:15" x14ac:dyDescent="0.25">
      <c r="A49" s="45"/>
      <c r="B49" s="40" t="s">
        <v>88</v>
      </c>
      <c r="C49" s="42"/>
      <c r="D49" s="42"/>
      <c r="E49" s="22"/>
      <c r="F49" s="23"/>
      <c r="G49" s="24"/>
      <c r="H49" s="48"/>
      <c r="I49" s="48" t="s">
        <v>89</v>
      </c>
      <c r="J49" s="34">
        <f>135000*2+4*90000+57000</f>
        <v>687000</v>
      </c>
      <c r="K49" s="34">
        <f>135000*2+4*90000+57000</f>
        <v>687000</v>
      </c>
      <c r="L49" s="34">
        <v>715400</v>
      </c>
      <c r="M49" s="50">
        <f t="shared" si="7"/>
        <v>1.0413391557496361</v>
      </c>
      <c r="N49" s="13"/>
      <c r="O49" s="13"/>
    </row>
    <row r="50" spans="1:15" x14ac:dyDescent="0.25">
      <c r="A50" s="45"/>
      <c r="B50" s="53" t="s">
        <v>90</v>
      </c>
      <c r="C50" s="42"/>
      <c r="D50" s="42"/>
      <c r="E50" s="22"/>
      <c r="F50" s="23"/>
      <c r="G50" s="24"/>
      <c r="H50" s="48"/>
      <c r="I50" s="48" t="s">
        <v>91</v>
      </c>
      <c r="J50" s="34">
        <v>300000</v>
      </c>
      <c r="K50" s="34">
        <v>300000</v>
      </c>
      <c r="L50" s="34">
        <v>293440</v>
      </c>
      <c r="M50" s="50">
        <f t="shared" si="7"/>
        <v>0.9781333333333333</v>
      </c>
      <c r="N50" s="13"/>
      <c r="O50" s="13"/>
    </row>
    <row r="51" spans="1:15" x14ac:dyDescent="0.25">
      <c r="A51" s="45"/>
      <c r="B51" s="40" t="s">
        <v>92</v>
      </c>
      <c r="C51" s="46">
        <v>400000</v>
      </c>
      <c r="D51" s="46">
        <v>400000</v>
      </c>
      <c r="E51" s="47">
        <v>523651</v>
      </c>
      <c r="F51" s="23">
        <f t="shared" si="5"/>
        <v>1.3091275</v>
      </c>
      <c r="G51" s="24"/>
      <c r="H51" s="48"/>
      <c r="I51" s="41" t="s">
        <v>93</v>
      </c>
      <c r="J51" s="34">
        <v>785000</v>
      </c>
      <c r="K51" s="34"/>
      <c r="L51" s="34">
        <v>0</v>
      </c>
      <c r="M51" s="50"/>
      <c r="N51" s="13"/>
      <c r="O51" s="13"/>
    </row>
    <row r="52" spans="1:15" x14ac:dyDescent="0.25">
      <c r="A52" s="45"/>
      <c r="B52" s="53" t="s">
        <v>94</v>
      </c>
      <c r="C52" s="42">
        <v>600000</v>
      </c>
      <c r="D52" s="42">
        <v>300000</v>
      </c>
      <c r="E52" s="22">
        <v>1706579</v>
      </c>
      <c r="F52" s="23">
        <f t="shared" si="5"/>
        <v>5.6885966666666663</v>
      </c>
      <c r="G52" s="24"/>
      <c r="H52" s="48"/>
      <c r="I52" s="48"/>
      <c r="J52" s="34"/>
      <c r="K52" s="34"/>
      <c r="L52" s="34"/>
      <c r="M52" s="50"/>
      <c r="N52" s="13"/>
      <c r="O52" s="13"/>
    </row>
    <row r="53" spans="1:15" x14ac:dyDescent="0.25">
      <c r="A53" s="45"/>
      <c r="B53" s="53" t="s">
        <v>95</v>
      </c>
      <c r="C53" s="46">
        <v>500000</v>
      </c>
      <c r="D53" s="46">
        <v>500000</v>
      </c>
      <c r="E53" s="47">
        <v>577140</v>
      </c>
      <c r="F53" s="23">
        <f t="shared" si="5"/>
        <v>1.15428</v>
      </c>
      <c r="G53" s="24"/>
      <c r="H53" s="48"/>
      <c r="I53" s="48" t="s">
        <v>96</v>
      </c>
      <c r="J53" s="54">
        <f>SUM(J54:J54)</f>
        <v>200000</v>
      </c>
      <c r="K53" s="54">
        <f>SUM(K54:K54)</f>
        <v>300000</v>
      </c>
      <c r="L53" s="39">
        <f>SUM(L54:L54)</f>
        <v>180851</v>
      </c>
      <c r="M53" s="50">
        <f t="shared" si="7"/>
        <v>0.60283666666666669</v>
      </c>
      <c r="N53" s="13"/>
      <c r="O53" s="13"/>
    </row>
    <row r="54" spans="1:15" x14ac:dyDescent="0.25">
      <c r="A54" s="45"/>
      <c r="B54" s="40"/>
      <c r="C54" s="46"/>
      <c r="D54" s="46"/>
      <c r="E54" s="46"/>
      <c r="F54" s="23"/>
      <c r="G54" s="24"/>
      <c r="H54" s="48"/>
      <c r="I54" s="48" t="s">
        <v>97</v>
      </c>
      <c r="J54" s="34">
        <v>200000</v>
      </c>
      <c r="K54" s="34">
        <v>300000</v>
      </c>
      <c r="L54" s="34">
        <v>180851</v>
      </c>
      <c r="M54" s="50">
        <f t="shared" si="7"/>
        <v>0.60283666666666669</v>
      </c>
      <c r="N54" s="13"/>
      <c r="O54" s="13"/>
    </row>
    <row r="55" spans="1:15" x14ac:dyDescent="0.25">
      <c r="A55" s="45"/>
      <c r="B55" s="40"/>
      <c r="C55" s="46"/>
      <c r="D55" s="46"/>
      <c r="E55" s="46"/>
      <c r="F55" s="55"/>
      <c r="G55" s="56"/>
      <c r="H55" s="48"/>
      <c r="I55" s="52" t="s">
        <v>98</v>
      </c>
      <c r="J55" s="34">
        <f>J53+J44</f>
        <v>5123400</v>
      </c>
      <c r="K55" s="34">
        <f>K53+K44</f>
        <v>4438400</v>
      </c>
      <c r="L55" s="34">
        <f>L53+L44</f>
        <v>3762712</v>
      </c>
      <c r="M55" s="50">
        <f t="shared" si="7"/>
        <v>0.84776315789473689</v>
      </c>
      <c r="N55" s="13"/>
      <c r="O55" s="13"/>
    </row>
    <row r="56" spans="1:15" x14ac:dyDescent="0.25">
      <c r="A56" s="45"/>
      <c r="B56" s="53"/>
      <c r="C56" s="42"/>
      <c r="D56" s="42"/>
      <c r="E56" s="42"/>
      <c r="F56" s="57"/>
      <c r="G56" s="58"/>
      <c r="H56" s="48"/>
      <c r="I56" s="48" t="s">
        <v>99</v>
      </c>
      <c r="J56" s="34">
        <f>SUM(J57:J59)</f>
        <v>11250000</v>
      </c>
      <c r="K56" s="34">
        <f>SUM(K57:K59)</f>
        <v>13850000</v>
      </c>
      <c r="L56" s="34">
        <f>SUM(L57:L59)</f>
        <v>13037978</v>
      </c>
      <c r="M56" s="50">
        <f t="shared" si="7"/>
        <v>0.94137025270758123</v>
      </c>
      <c r="N56" s="13"/>
      <c r="O56" s="13"/>
    </row>
    <row r="57" spans="1:15" ht="30" x14ac:dyDescent="0.25">
      <c r="A57" s="45"/>
      <c r="B57" s="53"/>
      <c r="C57" s="42"/>
      <c r="D57" s="42"/>
      <c r="E57" s="42"/>
      <c r="F57" s="57"/>
      <c r="G57" s="58"/>
      <c r="H57" s="48"/>
      <c r="I57" s="59" t="s">
        <v>100</v>
      </c>
      <c r="J57" s="34">
        <v>10000000</v>
      </c>
      <c r="K57" s="34">
        <v>11800000</v>
      </c>
      <c r="L57" s="34">
        <v>12033419</v>
      </c>
      <c r="M57" s="50">
        <f t="shared" si="7"/>
        <v>1.0197812711864407</v>
      </c>
      <c r="N57" s="13"/>
      <c r="O57" s="13"/>
    </row>
    <row r="58" spans="1:15" x14ac:dyDescent="0.25">
      <c r="A58" s="45"/>
      <c r="B58" s="40"/>
      <c r="C58" s="42"/>
      <c r="D58" s="42"/>
      <c r="E58" s="42"/>
      <c r="F58" s="57"/>
      <c r="G58" s="58"/>
      <c r="H58" s="48"/>
      <c r="I58" s="41" t="s">
        <v>101</v>
      </c>
      <c r="J58" s="34">
        <v>700000</v>
      </c>
      <c r="K58" s="34">
        <v>1100000</v>
      </c>
      <c r="L58" s="34">
        <v>409508</v>
      </c>
      <c r="M58" s="50">
        <f t="shared" si="7"/>
        <v>0.37228</v>
      </c>
      <c r="N58" s="13"/>
      <c r="O58" s="13"/>
    </row>
    <row r="59" spans="1:15" x14ac:dyDescent="0.25">
      <c r="A59" s="45"/>
      <c r="B59" s="40"/>
      <c r="C59" s="42"/>
      <c r="D59" s="42"/>
      <c r="E59" s="42"/>
      <c r="F59" s="57"/>
      <c r="G59" s="58"/>
      <c r="H59" s="48"/>
      <c r="I59" s="41" t="s">
        <v>102</v>
      </c>
      <c r="J59" s="34">
        <v>550000</v>
      </c>
      <c r="K59" s="34">
        <v>950000</v>
      </c>
      <c r="L59" s="34">
        <v>595051</v>
      </c>
      <c r="M59" s="50">
        <f t="shared" si="7"/>
        <v>0.62636947368421048</v>
      </c>
      <c r="N59" s="13"/>
      <c r="O59" s="13"/>
    </row>
    <row r="60" spans="1:15" x14ac:dyDescent="0.25">
      <c r="A60" s="45"/>
      <c r="B60" s="53"/>
      <c r="C60" s="42"/>
      <c r="D60" s="42"/>
      <c r="E60" s="42"/>
      <c r="F60" s="57"/>
      <c r="G60" s="58"/>
      <c r="H60" s="48"/>
      <c r="I60" s="48" t="s">
        <v>103</v>
      </c>
      <c r="J60" s="34">
        <v>0</v>
      </c>
      <c r="K60" s="34">
        <v>0</v>
      </c>
      <c r="L60" s="34">
        <v>0</v>
      </c>
      <c r="M60" s="50"/>
      <c r="N60" s="13"/>
      <c r="O60" s="13"/>
    </row>
    <row r="61" spans="1:15" x14ac:dyDescent="0.25">
      <c r="A61" s="45"/>
      <c r="B61" s="40"/>
      <c r="C61" s="46"/>
      <c r="D61" s="46"/>
      <c r="E61" s="46"/>
      <c r="F61" s="55"/>
      <c r="G61" s="56"/>
      <c r="H61" s="48"/>
      <c r="I61" s="59" t="s">
        <v>104</v>
      </c>
      <c r="J61" s="34">
        <v>1200000</v>
      </c>
      <c r="K61" s="34">
        <v>1367500</v>
      </c>
      <c r="L61" s="34">
        <v>1250000</v>
      </c>
      <c r="M61" s="50">
        <f t="shared" si="7"/>
        <v>0.91407678244972579</v>
      </c>
      <c r="N61" s="13"/>
      <c r="O61" s="13"/>
    </row>
    <row r="62" spans="1:15" x14ac:dyDescent="0.25">
      <c r="A62" s="45"/>
      <c r="B62" s="53"/>
      <c r="C62" s="42"/>
      <c r="D62" s="42"/>
      <c r="E62" s="42"/>
      <c r="F62" s="57"/>
      <c r="G62" s="58"/>
      <c r="H62" s="48"/>
      <c r="I62" s="48" t="s">
        <v>105</v>
      </c>
      <c r="J62" s="34">
        <v>2000000</v>
      </c>
      <c r="K62" s="34">
        <v>1000000</v>
      </c>
      <c r="L62" s="34">
        <v>817799</v>
      </c>
      <c r="M62" s="50">
        <f t="shared" si="7"/>
        <v>0.81779900000000005</v>
      </c>
      <c r="N62" s="13"/>
      <c r="O62" s="13"/>
    </row>
    <row r="63" spans="1:15" x14ac:dyDescent="0.25">
      <c r="A63" s="45"/>
      <c r="B63" s="53"/>
      <c r="C63" s="42"/>
      <c r="D63" s="42"/>
      <c r="E63" s="42"/>
      <c r="F63" s="57"/>
      <c r="G63" s="58"/>
      <c r="H63" s="48"/>
      <c r="I63" s="48" t="s">
        <v>106</v>
      </c>
      <c r="J63" s="34">
        <v>1500000</v>
      </c>
      <c r="K63" s="34">
        <v>1950000</v>
      </c>
      <c r="L63" s="34">
        <v>1757860</v>
      </c>
      <c r="M63" s="50">
        <f t="shared" si="7"/>
        <v>0.90146666666666664</v>
      </c>
      <c r="N63" s="13"/>
      <c r="O63" s="13"/>
    </row>
    <row r="64" spans="1:15" ht="60" x14ac:dyDescent="0.25">
      <c r="A64" s="14" t="s">
        <v>56</v>
      </c>
      <c r="B64" s="15" t="s">
        <v>107</v>
      </c>
      <c r="C64" s="16">
        <f>C65+C66+C72+C78+C73+C81+C83</f>
        <v>52662286</v>
      </c>
      <c r="D64" s="16">
        <f>D65+D66+D72+D78+D73+D81+D83</f>
        <v>28485663</v>
      </c>
      <c r="E64" s="16">
        <f>E65+E66+E72+E78+E73+E81+E83</f>
        <v>22180839</v>
      </c>
      <c r="F64" s="17">
        <f>+E64/D64</f>
        <v>0.77866676299582704</v>
      </c>
      <c r="G64" s="18"/>
      <c r="H64" s="48"/>
      <c r="I64" s="59" t="s">
        <v>108</v>
      </c>
      <c r="J64" s="34">
        <v>48332336</v>
      </c>
      <c r="K64" s="34">
        <v>40663360</v>
      </c>
      <c r="L64" s="34">
        <v>20442900</v>
      </c>
      <c r="M64" s="50">
        <f t="shared" si="7"/>
        <v>0.5027351404310908</v>
      </c>
      <c r="N64" s="13"/>
      <c r="O64" s="13"/>
    </row>
    <row r="65" spans="1:15" x14ac:dyDescent="0.25">
      <c r="A65" s="45"/>
      <c r="B65" s="53" t="s">
        <v>109</v>
      </c>
      <c r="C65" s="42"/>
      <c r="D65" s="42"/>
      <c r="E65" s="42"/>
      <c r="F65" s="23"/>
      <c r="G65" s="24"/>
      <c r="H65" s="48"/>
      <c r="I65" s="48" t="s">
        <v>110</v>
      </c>
      <c r="J65" s="34">
        <f>SUM(J66:J75)</f>
        <v>58719322.047244094</v>
      </c>
      <c r="K65" s="34">
        <f>SUM(K66:K75)</f>
        <v>57069960</v>
      </c>
      <c r="L65" s="34">
        <f>SUM(L66:L75)</f>
        <v>54054213</v>
      </c>
      <c r="M65" s="50">
        <f t="shared" si="7"/>
        <v>0.94715701570493482</v>
      </c>
      <c r="N65" s="13">
        <f>+L65-L69</f>
        <v>52940080</v>
      </c>
      <c r="O65" s="13"/>
    </row>
    <row r="66" spans="1:15" x14ac:dyDescent="0.25">
      <c r="A66" s="45"/>
      <c r="B66" s="53" t="s">
        <v>111</v>
      </c>
      <c r="C66" s="42">
        <f>SUM(C67:C71)</f>
        <v>38731800</v>
      </c>
      <c r="D66" s="42">
        <f>SUM(D67:D71)</f>
        <v>13731800</v>
      </c>
      <c r="E66" s="42">
        <f>SUM(E67:E71)</f>
        <v>12979090</v>
      </c>
      <c r="F66" s="23">
        <f t="shared" ref="F66:F81" si="9">+E66/D66</f>
        <v>0.94518489928487159</v>
      </c>
      <c r="G66" s="24"/>
      <c r="H66" s="48"/>
      <c r="I66" s="48" t="s">
        <v>112</v>
      </c>
      <c r="J66" s="34">
        <f>420000+50000+192000</f>
        <v>662000</v>
      </c>
      <c r="K66" s="34">
        <v>662000</v>
      </c>
      <c r="L66" s="34">
        <v>714758</v>
      </c>
      <c r="M66" s="50">
        <f t="shared" si="7"/>
        <v>1.0796948640483384</v>
      </c>
      <c r="N66" s="13"/>
      <c r="O66" s="13"/>
    </row>
    <row r="67" spans="1:15" x14ac:dyDescent="0.25">
      <c r="A67" s="45"/>
      <c r="B67" s="53" t="s">
        <v>113</v>
      </c>
      <c r="C67" s="42">
        <v>7931800</v>
      </c>
      <c r="D67" s="42">
        <v>7931800</v>
      </c>
      <c r="E67" s="42">
        <v>8102633</v>
      </c>
      <c r="F67" s="23">
        <f t="shared" si="9"/>
        <v>1.0215377341839178</v>
      </c>
      <c r="G67" s="24"/>
      <c r="H67" s="48"/>
      <c r="I67" s="48" t="s">
        <v>114</v>
      </c>
      <c r="J67" s="34">
        <f>+(67389426+7800000+2198000)/2-13</f>
        <v>38693700</v>
      </c>
      <c r="K67" s="34">
        <v>40793700</v>
      </c>
      <c r="L67" s="34">
        <v>41249410</v>
      </c>
      <c r="M67" s="50">
        <f t="shared" si="7"/>
        <v>1.0111710876924622</v>
      </c>
      <c r="N67" s="13"/>
      <c r="O67" s="13"/>
    </row>
    <row r="68" spans="1:15" x14ac:dyDescent="0.25">
      <c r="A68" s="45"/>
      <c r="B68" s="53" t="s">
        <v>115</v>
      </c>
      <c r="C68" s="42">
        <v>11000000</v>
      </c>
      <c r="D68" s="42">
        <v>1000000</v>
      </c>
      <c r="E68" s="42">
        <v>1362819</v>
      </c>
      <c r="F68" s="23">
        <f t="shared" si="9"/>
        <v>1.362819</v>
      </c>
      <c r="G68" s="24"/>
      <c r="H68" s="48"/>
      <c r="I68" s="41" t="s">
        <v>116</v>
      </c>
      <c r="J68" s="34">
        <f>140000*12</f>
        <v>1680000</v>
      </c>
      <c r="K68" s="34">
        <v>1680000</v>
      </c>
      <c r="L68" s="34">
        <v>1548463</v>
      </c>
      <c r="M68" s="50">
        <f t="shared" si="7"/>
        <v>0.92170416666666666</v>
      </c>
      <c r="N68" s="13"/>
      <c r="O68" s="13"/>
    </row>
    <row r="69" spans="1:15" x14ac:dyDescent="0.25">
      <c r="A69" s="45"/>
      <c r="B69" s="60" t="s">
        <v>117</v>
      </c>
      <c r="C69" s="42">
        <v>1800000</v>
      </c>
      <c r="D69" s="42">
        <v>3800000</v>
      </c>
      <c r="E69" s="42">
        <v>3239997</v>
      </c>
      <c r="F69" s="23">
        <f t="shared" si="9"/>
        <v>0.8526307894736842</v>
      </c>
      <c r="G69" s="24"/>
      <c r="H69" s="48"/>
      <c r="I69" s="48" t="s">
        <v>118</v>
      </c>
      <c r="J69" s="34">
        <f>180000*4+16000*4+(80000+170000+17000*4)</f>
        <v>1102000</v>
      </c>
      <c r="K69" s="34">
        <v>1115000</v>
      </c>
      <c r="L69" s="34">
        <v>1114133</v>
      </c>
      <c r="M69" s="50">
        <f t="shared" si="7"/>
        <v>0.99922242152466367</v>
      </c>
      <c r="N69" s="13"/>
      <c r="O69" s="13"/>
    </row>
    <row r="70" spans="1:15" x14ac:dyDescent="0.25">
      <c r="A70" s="45"/>
      <c r="B70" s="53" t="s">
        <v>119</v>
      </c>
      <c r="C70" s="42">
        <v>1000000</v>
      </c>
      <c r="D70" s="42">
        <v>1000000</v>
      </c>
      <c r="E70" s="42">
        <v>273641</v>
      </c>
      <c r="F70" s="23">
        <f t="shared" si="9"/>
        <v>0.27364100000000002</v>
      </c>
      <c r="G70" s="24"/>
      <c r="H70" s="48"/>
      <c r="I70" s="48" t="s">
        <v>120</v>
      </c>
      <c r="J70" s="34">
        <v>5000000</v>
      </c>
      <c r="K70" s="34">
        <v>5000000</v>
      </c>
      <c r="L70" s="34">
        <v>4196210</v>
      </c>
      <c r="M70" s="50">
        <f t="shared" si="7"/>
        <v>0.83924200000000004</v>
      </c>
      <c r="N70" s="13"/>
      <c r="O70" s="13"/>
    </row>
    <row r="71" spans="1:15" x14ac:dyDescent="0.25">
      <c r="A71" s="45"/>
      <c r="B71" s="61" t="s">
        <v>121</v>
      </c>
      <c r="C71" s="42">
        <v>17000000</v>
      </c>
      <c r="D71" s="42">
        <v>0</v>
      </c>
      <c r="E71" s="42"/>
      <c r="F71" s="23"/>
      <c r="G71" s="24"/>
      <c r="H71" s="48"/>
      <c r="I71" s="48" t="s">
        <v>122</v>
      </c>
      <c r="J71" s="34">
        <f>2000000</f>
        <v>2000000</v>
      </c>
      <c r="K71" s="34">
        <v>2500000</v>
      </c>
      <c r="L71" s="34">
        <v>1334599</v>
      </c>
      <c r="M71" s="50">
        <f t="shared" si="7"/>
        <v>0.53383959999999997</v>
      </c>
      <c r="N71" s="13"/>
      <c r="O71" s="13"/>
    </row>
    <row r="72" spans="1:15" ht="30" x14ac:dyDescent="0.25">
      <c r="A72" s="45"/>
      <c r="B72" s="53" t="s">
        <v>123</v>
      </c>
      <c r="C72" s="42">
        <v>2300000</v>
      </c>
      <c r="D72" s="42">
        <v>2750000</v>
      </c>
      <c r="E72" s="42">
        <v>1768439</v>
      </c>
      <c r="F72" s="23">
        <f t="shared" si="9"/>
        <v>0.64306872727272724</v>
      </c>
      <c r="G72" s="24"/>
      <c r="H72" s="48"/>
      <c r="I72" s="41" t="s">
        <v>124</v>
      </c>
      <c r="J72" s="34">
        <f>3000000</f>
        <v>3000000</v>
      </c>
      <c r="K72" s="34">
        <v>2000000</v>
      </c>
      <c r="L72" s="34">
        <v>794860</v>
      </c>
      <c r="M72" s="50">
        <f t="shared" si="7"/>
        <v>0.39743000000000001</v>
      </c>
      <c r="N72" s="13"/>
      <c r="O72" s="13"/>
    </row>
    <row r="73" spans="1:15" x14ac:dyDescent="0.25">
      <c r="A73" s="45"/>
      <c r="B73" s="53" t="s">
        <v>125</v>
      </c>
      <c r="C73" s="54">
        <v>3701900</v>
      </c>
      <c r="D73" s="54">
        <v>3801900</v>
      </c>
      <c r="E73" s="54">
        <v>392380</v>
      </c>
      <c r="F73" s="23">
        <f t="shared" si="9"/>
        <v>0.10320629159104658</v>
      </c>
      <c r="G73" s="24"/>
      <c r="H73" s="48"/>
      <c r="I73" s="41" t="s">
        <v>126</v>
      </c>
      <c r="J73" s="34">
        <f>800000+1000000+800000</f>
        <v>2600000</v>
      </c>
      <c r="K73" s="34">
        <v>2787000</v>
      </c>
      <c r="L73" s="34">
        <v>2569520</v>
      </c>
      <c r="M73" s="50">
        <f t="shared" si="7"/>
        <v>0.92196627197703629</v>
      </c>
      <c r="N73" s="13"/>
      <c r="O73" s="13"/>
    </row>
    <row r="74" spans="1:15" x14ac:dyDescent="0.25">
      <c r="A74" s="45"/>
      <c r="B74" s="53"/>
      <c r="C74" s="54"/>
      <c r="D74" s="54"/>
      <c r="E74" s="54"/>
      <c r="F74" s="23"/>
      <c r="G74" s="24"/>
      <c r="H74" s="48"/>
      <c r="I74" s="48" t="s">
        <v>127</v>
      </c>
      <c r="J74" s="34">
        <v>2958000</v>
      </c>
      <c r="K74" s="34">
        <v>532260</v>
      </c>
      <c r="L74" s="34">
        <v>532260</v>
      </c>
      <c r="M74" s="50">
        <f t="shared" si="7"/>
        <v>1</v>
      </c>
      <c r="N74" s="13"/>
      <c r="O74" s="13"/>
    </row>
    <row r="75" spans="1:15" x14ac:dyDescent="0.25">
      <c r="A75" s="45"/>
      <c r="B75" s="53" t="s">
        <v>128</v>
      </c>
      <c r="C75" s="42">
        <f>SUM(C76:C77)</f>
        <v>0</v>
      </c>
      <c r="D75" s="42">
        <f>SUM(D76:D77)</f>
        <v>0</v>
      </c>
      <c r="E75" s="42">
        <f>SUM(E76:E77)</f>
        <v>0</v>
      </c>
      <c r="F75" s="23"/>
      <c r="G75" s="24"/>
      <c r="H75" s="48"/>
      <c r="I75" s="48" t="s">
        <v>129</v>
      </c>
      <c r="J75" s="34">
        <f>(800000+500000)/127%</f>
        <v>1023622.0472440944</v>
      </c>
      <c r="K75" s="34">
        <v>0</v>
      </c>
      <c r="L75" s="34">
        <v>0</v>
      </c>
      <c r="M75" s="50"/>
      <c r="N75" s="13"/>
      <c r="O75" s="13"/>
    </row>
    <row r="76" spans="1:15" x14ac:dyDescent="0.25">
      <c r="A76" s="45"/>
      <c r="B76" s="40" t="s">
        <v>130</v>
      </c>
      <c r="C76" s="42"/>
      <c r="D76" s="42"/>
      <c r="E76" s="42"/>
      <c r="F76" s="23"/>
      <c r="G76" s="24"/>
      <c r="H76" s="48"/>
      <c r="I76" s="52" t="s">
        <v>131</v>
      </c>
      <c r="J76" s="34">
        <f>J56+J60+J61+J62+J63+J64+J65+1</f>
        <v>123001659.0472441</v>
      </c>
      <c r="K76" s="34">
        <f>K56+K60+K61+K62+K63+K64+K65</f>
        <v>115900820</v>
      </c>
      <c r="L76" s="34">
        <f>L56+L60+L61+L62+L63+L64+L65</f>
        <v>91360750</v>
      </c>
      <c r="M76" s="50">
        <f t="shared" si="7"/>
        <v>0.78826664039132766</v>
      </c>
      <c r="N76" s="13"/>
      <c r="O76" s="13"/>
    </row>
    <row r="77" spans="1:15" x14ac:dyDescent="0.25">
      <c r="A77" s="45"/>
      <c r="C77" s="42"/>
      <c r="D77" s="42"/>
      <c r="E77" s="42"/>
      <c r="F77" s="23"/>
      <c r="G77" s="24"/>
      <c r="H77" s="48"/>
      <c r="I77" s="48" t="s">
        <v>132</v>
      </c>
      <c r="J77" s="34">
        <v>300000</v>
      </c>
      <c r="K77" s="34">
        <v>0</v>
      </c>
      <c r="L77" s="34"/>
      <c r="M77" s="50"/>
      <c r="N77" s="13"/>
      <c r="O77" s="13"/>
    </row>
    <row r="78" spans="1:15" ht="90" x14ac:dyDescent="0.25">
      <c r="A78" s="45"/>
      <c r="B78" s="53" t="s">
        <v>133</v>
      </c>
      <c r="C78" s="22">
        <v>7928586</v>
      </c>
      <c r="D78" s="22">
        <v>3863593</v>
      </c>
      <c r="E78" s="22">
        <v>2643456</v>
      </c>
      <c r="F78" s="23">
        <f t="shared" si="9"/>
        <v>0.68419629086189981</v>
      </c>
      <c r="G78" s="24"/>
      <c r="H78" s="48"/>
      <c r="I78" s="51" t="s">
        <v>134</v>
      </c>
      <c r="J78" s="34">
        <v>12263176</v>
      </c>
      <c r="K78" s="34">
        <v>13258696</v>
      </c>
      <c r="L78" s="34">
        <v>9466578</v>
      </c>
      <c r="M78" s="50">
        <f t="shared" si="7"/>
        <v>0.71399012391565508</v>
      </c>
      <c r="N78" s="13"/>
      <c r="O78" s="13"/>
    </row>
    <row r="79" spans="1:15" x14ac:dyDescent="0.25">
      <c r="A79" s="45"/>
      <c r="B79" s="53" t="s">
        <v>135</v>
      </c>
      <c r="C79" s="39"/>
      <c r="D79" s="39"/>
      <c r="E79" s="39"/>
      <c r="F79" s="23"/>
      <c r="G79" s="24"/>
      <c r="H79" s="48"/>
      <c r="I79" s="52" t="s">
        <v>136</v>
      </c>
      <c r="J79" s="34">
        <f>J77+J78</f>
        <v>12563176</v>
      </c>
      <c r="K79" s="34">
        <f>K77+K78</f>
        <v>13258696</v>
      </c>
      <c r="L79" s="34">
        <f>L77+L78</f>
        <v>9466578</v>
      </c>
      <c r="M79" s="50">
        <f t="shared" si="7"/>
        <v>0.71399012391565508</v>
      </c>
      <c r="N79" s="13"/>
      <c r="O79" s="13"/>
    </row>
    <row r="80" spans="1:15" ht="30" x14ac:dyDescent="0.25">
      <c r="A80" s="45"/>
      <c r="B80" s="53" t="s">
        <v>137</v>
      </c>
      <c r="C80" s="39"/>
      <c r="D80" s="39"/>
      <c r="E80" s="39"/>
      <c r="F80" s="23"/>
      <c r="G80" s="24"/>
      <c r="H80" s="48"/>
      <c r="I80" s="52"/>
      <c r="J80" s="34"/>
      <c r="K80" s="34"/>
      <c r="L80" s="34"/>
      <c r="M80" s="50"/>
      <c r="N80" s="13"/>
      <c r="O80" s="13"/>
    </row>
    <row r="81" spans="1:17" x14ac:dyDescent="0.25">
      <c r="A81" s="45"/>
      <c r="B81" s="53" t="s">
        <v>138</v>
      </c>
      <c r="C81" s="22">
        <v>0</v>
      </c>
      <c r="D81" s="22">
        <v>4338370</v>
      </c>
      <c r="E81" s="22">
        <v>4339929</v>
      </c>
      <c r="F81" s="23">
        <f t="shared" si="9"/>
        <v>1.0003593515536942</v>
      </c>
      <c r="G81" s="24"/>
      <c r="H81" s="48"/>
      <c r="I81" s="48" t="s">
        <v>139</v>
      </c>
      <c r="J81" s="34">
        <v>28949671</v>
      </c>
      <c r="K81" s="34">
        <v>27030954</v>
      </c>
      <c r="L81" s="34">
        <v>25634186</v>
      </c>
      <c r="M81" s="50">
        <f t="shared" si="7"/>
        <v>0.94832709197019094</v>
      </c>
      <c r="N81" s="13"/>
      <c r="O81" s="13"/>
    </row>
    <row r="82" spans="1:17" x14ac:dyDescent="0.25">
      <c r="A82" s="45"/>
      <c r="B82" s="53" t="s">
        <v>140</v>
      </c>
      <c r="C82" s="40"/>
      <c r="D82" s="40"/>
      <c r="E82" s="40"/>
      <c r="F82" s="23"/>
      <c r="G82" s="24"/>
      <c r="H82" s="48"/>
      <c r="I82" s="48" t="s">
        <v>141</v>
      </c>
      <c r="J82" s="34">
        <v>734356</v>
      </c>
      <c r="K82" s="34">
        <v>1144356</v>
      </c>
      <c r="L82" s="34">
        <v>973000</v>
      </c>
      <c r="M82" s="50">
        <f t="shared" si="7"/>
        <v>0.85025988416192166</v>
      </c>
      <c r="N82" s="13"/>
      <c r="O82" s="13"/>
    </row>
    <row r="83" spans="1:17" x14ac:dyDescent="0.25">
      <c r="A83" s="45"/>
      <c r="B83" s="53" t="s">
        <v>142</v>
      </c>
      <c r="C83" s="40">
        <f>SUM(C84:C86)</f>
        <v>0</v>
      </c>
      <c r="D83" s="22">
        <f>SUM(D84:D86)</f>
        <v>0</v>
      </c>
      <c r="E83" s="22">
        <f>SUM(E84:E86)</f>
        <v>57545</v>
      </c>
      <c r="F83" s="23"/>
      <c r="G83" s="24"/>
      <c r="H83" s="48"/>
      <c r="I83" s="48" t="s">
        <v>143</v>
      </c>
      <c r="J83" s="34"/>
      <c r="K83" s="34">
        <v>0</v>
      </c>
      <c r="L83" s="34"/>
      <c r="M83" s="50"/>
      <c r="N83" s="13"/>
      <c r="O83" s="13"/>
    </row>
    <row r="84" spans="1:17" x14ac:dyDescent="0.25">
      <c r="A84" s="45"/>
      <c r="B84" s="40" t="s">
        <v>144</v>
      </c>
      <c r="C84" s="40"/>
      <c r="D84" s="40"/>
      <c r="E84" s="22"/>
      <c r="F84" s="23"/>
      <c r="G84" s="24"/>
      <c r="H84" s="48"/>
      <c r="I84" s="48" t="s">
        <v>145</v>
      </c>
      <c r="J84" s="34"/>
      <c r="K84" s="34">
        <v>0</v>
      </c>
      <c r="L84" s="34"/>
      <c r="M84" s="50"/>
      <c r="N84" s="13"/>
      <c r="O84" s="13"/>
    </row>
    <row r="85" spans="1:17" ht="30" x14ac:dyDescent="0.25">
      <c r="A85" s="45"/>
      <c r="B85" s="40" t="s">
        <v>146</v>
      </c>
      <c r="C85" s="40"/>
      <c r="D85" s="22"/>
      <c r="E85" s="22"/>
      <c r="F85" s="23"/>
      <c r="G85" s="24"/>
      <c r="H85" s="48"/>
      <c r="I85" s="51" t="s">
        <v>147</v>
      </c>
      <c r="J85" s="34">
        <f>SUM(J86:J87)</f>
        <v>2872000</v>
      </c>
      <c r="K85" s="34">
        <f>SUM(K86:K87)</f>
        <v>3511683</v>
      </c>
      <c r="L85" s="34">
        <f>SUM(L86:L87)</f>
        <v>3508029</v>
      </c>
      <c r="M85" s="50">
        <f t="shared" si="7"/>
        <v>0.99895947327819734</v>
      </c>
      <c r="N85" s="13">
        <f>+L85+L82+L81+L78+L65+L64+L63+L62+L61+L56+L53+L44+L35+L31</f>
        <v>141060610</v>
      </c>
      <c r="O85" s="13"/>
    </row>
    <row r="86" spans="1:17" x14ac:dyDescent="0.25">
      <c r="A86" s="45"/>
      <c r="B86" s="40" t="s">
        <v>148</v>
      </c>
      <c r="C86" s="42"/>
      <c r="D86" s="42"/>
      <c r="E86" s="22">
        <v>57545</v>
      </c>
      <c r="F86" s="23"/>
      <c r="G86" s="24"/>
      <c r="H86" s="48"/>
      <c r="I86" s="48" t="s">
        <v>149</v>
      </c>
      <c r="J86" s="34">
        <v>372000</v>
      </c>
      <c r="K86" s="34">
        <v>402000</v>
      </c>
      <c r="L86" s="34">
        <v>191253</v>
      </c>
      <c r="M86" s="50">
        <f t="shared" si="7"/>
        <v>0.47575373134328358</v>
      </c>
      <c r="N86" s="13">
        <v>141060610</v>
      </c>
      <c r="O86" s="13"/>
    </row>
    <row r="87" spans="1:17" x14ac:dyDescent="0.25">
      <c r="A87" s="45"/>
      <c r="B87" s="40"/>
      <c r="C87" s="42"/>
      <c r="D87" s="42"/>
      <c r="E87" s="22"/>
      <c r="F87" s="23"/>
      <c r="G87" s="24"/>
      <c r="H87" s="48"/>
      <c r="I87" s="48" t="s">
        <v>150</v>
      </c>
      <c r="J87" s="34">
        <v>2500000</v>
      </c>
      <c r="K87" s="34">
        <v>3109683</v>
      </c>
      <c r="L87" s="34">
        <v>3316776</v>
      </c>
      <c r="M87" s="50">
        <f t="shared" si="7"/>
        <v>1.0665961771666115</v>
      </c>
      <c r="N87" s="13">
        <f>+N86-N85</f>
        <v>0</v>
      </c>
      <c r="O87" s="13"/>
    </row>
    <row r="88" spans="1:17" x14ac:dyDescent="0.25">
      <c r="A88" s="45"/>
      <c r="B88" s="40"/>
      <c r="C88" s="42"/>
      <c r="D88" s="42"/>
      <c r="E88" s="22"/>
      <c r="F88" s="57"/>
      <c r="G88" s="58"/>
      <c r="H88" s="48"/>
      <c r="I88" s="52" t="s">
        <v>151</v>
      </c>
      <c r="J88" s="62">
        <f>J81+J82+J83+J84+J85</f>
        <v>32556027</v>
      </c>
      <c r="K88" s="62">
        <f>K81+K82+K83+K84+K85</f>
        <v>31686993</v>
      </c>
      <c r="L88" s="34">
        <f>L81+L82+L83+L84+L85</f>
        <v>30115215</v>
      </c>
      <c r="M88" s="50">
        <f t="shared" si="7"/>
        <v>0.95039674480945546</v>
      </c>
      <c r="N88" s="13"/>
      <c r="O88" s="13"/>
    </row>
    <row r="89" spans="1:17" x14ac:dyDescent="0.25">
      <c r="A89" s="45"/>
      <c r="C89" s="42"/>
      <c r="D89" s="42"/>
      <c r="E89" s="42"/>
      <c r="F89" s="57"/>
      <c r="G89" s="58"/>
      <c r="H89" s="14" t="s">
        <v>152</v>
      </c>
      <c r="I89" s="15" t="s">
        <v>153</v>
      </c>
      <c r="J89" s="19">
        <f>SUM(J90:J95)</f>
        <v>3840000</v>
      </c>
      <c r="K89" s="19">
        <f>SUM(K90:K95)</f>
        <v>4350000</v>
      </c>
      <c r="L89" s="19">
        <f>SUM(L90:L95)</f>
        <v>4055113</v>
      </c>
      <c r="M89" s="17">
        <f t="shared" si="7"/>
        <v>0.93220988505747127</v>
      </c>
      <c r="N89" s="13"/>
      <c r="O89" s="13"/>
    </row>
    <row r="90" spans="1:17" x14ac:dyDescent="0.2">
      <c r="A90" s="45"/>
      <c r="B90" s="53"/>
      <c r="C90" s="22"/>
      <c r="D90" s="22"/>
      <c r="E90" s="22"/>
      <c r="F90" s="23"/>
      <c r="G90" s="24"/>
      <c r="H90" s="48"/>
      <c r="I90" s="41" t="s">
        <v>154</v>
      </c>
      <c r="J90" s="34">
        <v>790000</v>
      </c>
      <c r="K90" s="34">
        <v>0</v>
      </c>
      <c r="L90" s="34"/>
      <c r="M90" s="50"/>
      <c r="N90" s="13"/>
      <c r="O90" s="13"/>
      <c r="P90" s="63"/>
      <c r="Q90" s="64"/>
    </row>
    <row r="91" spans="1:17" x14ac:dyDescent="0.2">
      <c r="A91" s="40"/>
      <c r="B91" s="53"/>
      <c r="C91" s="39"/>
      <c r="D91" s="39"/>
      <c r="E91" s="39"/>
      <c r="F91" s="65"/>
      <c r="G91" s="66"/>
      <c r="H91" s="48"/>
      <c r="I91" s="67" t="s">
        <v>155</v>
      </c>
      <c r="J91" s="34"/>
      <c r="K91" s="34"/>
      <c r="L91" s="34"/>
      <c r="M91" s="50"/>
      <c r="N91" s="13"/>
      <c r="O91" s="13"/>
      <c r="P91" s="63"/>
      <c r="Q91" s="64"/>
    </row>
    <row r="92" spans="1:17" x14ac:dyDescent="0.2">
      <c r="A92" s="40"/>
      <c r="B92" s="53"/>
      <c r="C92" s="40"/>
      <c r="D92" s="40"/>
      <c r="E92" s="40"/>
      <c r="F92" s="57"/>
      <c r="G92" s="58"/>
      <c r="H92" s="48"/>
      <c r="I92" s="41" t="s">
        <v>156</v>
      </c>
      <c r="J92" s="34"/>
      <c r="K92" s="34"/>
      <c r="L92" s="34"/>
      <c r="M92" s="50"/>
      <c r="N92" s="13"/>
      <c r="O92" s="13"/>
      <c r="P92" s="63"/>
      <c r="Q92" s="64"/>
    </row>
    <row r="93" spans="1:17" x14ac:dyDescent="0.2">
      <c r="A93" s="40"/>
      <c r="B93" s="53"/>
      <c r="C93" s="40"/>
      <c r="D93" s="40"/>
      <c r="E93" s="40"/>
      <c r="F93" s="57"/>
      <c r="G93" s="58"/>
      <c r="H93" s="48"/>
      <c r="I93" s="41" t="s">
        <v>157</v>
      </c>
      <c r="J93" s="34"/>
      <c r="K93" s="34"/>
      <c r="L93" s="34"/>
      <c r="M93" s="50"/>
      <c r="N93" s="13"/>
      <c r="O93" s="13"/>
      <c r="P93" s="63"/>
      <c r="Q93" s="64"/>
    </row>
    <row r="94" spans="1:17" x14ac:dyDescent="0.2">
      <c r="A94" s="40"/>
      <c r="B94" s="53"/>
      <c r="C94" s="40"/>
      <c r="D94" s="40"/>
      <c r="E94" s="40"/>
      <c r="F94" s="57"/>
      <c r="G94" s="58"/>
      <c r="H94" s="48"/>
      <c r="I94" s="41" t="s">
        <v>158</v>
      </c>
      <c r="J94" s="34"/>
      <c r="K94" s="34"/>
      <c r="L94" s="34"/>
      <c r="M94" s="50"/>
      <c r="N94" s="13"/>
      <c r="O94" s="13"/>
      <c r="P94" s="63"/>
      <c r="Q94" s="64"/>
    </row>
    <row r="95" spans="1:17" x14ac:dyDescent="0.2">
      <c r="A95" s="40"/>
      <c r="B95" s="40"/>
      <c r="C95" s="40"/>
      <c r="D95" s="40"/>
      <c r="E95" s="40"/>
      <c r="F95" s="57"/>
      <c r="G95" s="58"/>
      <c r="H95" s="48"/>
      <c r="I95" s="41" t="s">
        <v>159</v>
      </c>
      <c r="J95" s="34">
        <v>3050000</v>
      </c>
      <c r="K95" s="34">
        <v>4350000</v>
      </c>
      <c r="L95" s="34">
        <v>4055113</v>
      </c>
      <c r="M95" s="50">
        <f t="shared" ref="M95:M158" si="10">+L95/K95</f>
        <v>0.93220988505747127</v>
      </c>
      <c r="N95" s="13"/>
      <c r="O95" s="13"/>
      <c r="P95" s="63"/>
      <c r="Q95" s="64"/>
    </row>
    <row r="96" spans="1:17" x14ac:dyDescent="0.2">
      <c r="A96" s="40"/>
      <c r="B96" s="40"/>
      <c r="C96" s="40"/>
      <c r="D96" s="40"/>
      <c r="E96" s="40"/>
      <c r="F96" s="57"/>
      <c r="G96" s="58"/>
      <c r="H96" s="14" t="s">
        <v>160</v>
      </c>
      <c r="I96" s="15" t="s">
        <v>161</v>
      </c>
      <c r="J96" s="19">
        <f>J98+J99+J105+J106+J111</f>
        <v>39821746</v>
      </c>
      <c r="K96" s="19">
        <f>K97+K98+K99+K105+K106+K111</f>
        <v>36906001</v>
      </c>
      <c r="L96" s="19">
        <f>L97+L98+L99+L105+L106+L111</f>
        <v>28713388</v>
      </c>
      <c r="M96" s="17">
        <f t="shared" si="10"/>
        <v>0.77801406876892465</v>
      </c>
      <c r="N96" s="13">
        <f>72000+320850+8419338+2394600+145000+3401600+14100000</f>
        <v>28853388</v>
      </c>
      <c r="O96" s="13"/>
      <c r="P96" s="63"/>
      <c r="Q96" s="64"/>
    </row>
    <row r="97" spans="1:17" x14ac:dyDescent="0.2">
      <c r="A97" s="45"/>
      <c r="B97" s="40"/>
      <c r="C97" s="42"/>
      <c r="D97" s="42"/>
      <c r="E97" s="42"/>
      <c r="F97" s="57"/>
      <c r="G97" s="58"/>
      <c r="H97" s="48"/>
      <c r="I97" s="48" t="s">
        <v>162</v>
      </c>
      <c r="J97" s="62" t="s">
        <v>24</v>
      </c>
      <c r="K97" s="62">
        <v>72000</v>
      </c>
      <c r="L97" s="62">
        <v>72000</v>
      </c>
      <c r="M97" s="50">
        <f t="shared" si="10"/>
        <v>1</v>
      </c>
      <c r="N97" s="13">
        <f>+N96-L96</f>
        <v>140000</v>
      </c>
      <c r="O97" s="13"/>
      <c r="P97" s="63"/>
      <c r="Q97" s="64"/>
    </row>
    <row r="98" spans="1:17" x14ac:dyDescent="0.2">
      <c r="A98" s="45"/>
      <c r="B98" s="68"/>
      <c r="C98" s="69"/>
      <c r="D98" s="69"/>
      <c r="E98" s="69"/>
      <c r="F98" s="70"/>
      <c r="G98" s="71"/>
      <c r="H98" s="48"/>
      <c r="I98" s="48" t="s">
        <v>163</v>
      </c>
      <c r="J98" s="72"/>
      <c r="K98" s="72"/>
      <c r="L98" s="72"/>
      <c r="M98" s="50"/>
      <c r="N98" s="13">
        <f>6350000+2000000+550000+550000+800000+750000+3100000</f>
        <v>14100000</v>
      </c>
      <c r="O98" s="13"/>
      <c r="P98" s="63"/>
      <c r="Q98" s="64"/>
    </row>
    <row r="99" spans="1:17" x14ac:dyDescent="0.2">
      <c r="A99" s="14" t="s">
        <v>152</v>
      </c>
      <c r="B99" s="15" t="s">
        <v>164</v>
      </c>
      <c r="C99" s="16">
        <f>SUM(C100:C102)</f>
        <v>0</v>
      </c>
      <c r="D99" s="16">
        <f>SUM(D100:D102)</f>
        <v>172686</v>
      </c>
      <c r="E99" s="16">
        <f>SUM(E100:E102)</f>
        <v>133876</v>
      </c>
      <c r="F99" s="17">
        <f>+E99/D99</f>
        <v>0.7752568245254392</v>
      </c>
      <c r="G99" s="18"/>
      <c r="H99" s="48"/>
      <c r="I99" s="48" t="s">
        <v>165</v>
      </c>
      <c r="J99" s="62">
        <f>SUM(J100:J104)</f>
        <v>17521746</v>
      </c>
      <c r="K99" s="62">
        <f>SUM(K100:K104)</f>
        <v>17449746</v>
      </c>
      <c r="L99" s="62">
        <f>SUM(L100:L104)</f>
        <v>11439788</v>
      </c>
      <c r="M99" s="50">
        <f t="shared" si="10"/>
        <v>0.65558478616250349</v>
      </c>
      <c r="N99" s="13"/>
      <c r="O99" s="13"/>
      <c r="P99" s="63"/>
      <c r="Q99" s="64"/>
    </row>
    <row r="100" spans="1:17" ht="30" x14ac:dyDescent="0.25">
      <c r="A100" s="45"/>
      <c r="B100" s="53" t="s">
        <v>166</v>
      </c>
      <c r="C100" s="69"/>
      <c r="D100" s="69"/>
      <c r="E100" s="69"/>
      <c r="F100" s="70"/>
      <c r="G100" s="71"/>
      <c r="H100" s="48"/>
      <c r="I100" s="73" t="s">
        <v>167</v>
      </c>
      <c r="J100" s="62">
        <v>0</v>
      </c>
      <c r="K100" s="62">
        <v>160000</v>
      </c>
      <c r="L100" s="62">
        <v>160000</v>
      </c>
      <c r="M100" s="50">
        <f t="shared" si="10"/>
        <v>1</v>
      </c>
      <c r="N100" s="13"/>
      <c r="O100" s="13"/>
    </row>
    <row r="101" spans="1:17" ht="30" x14ac:dyDescent="0.25">
      <c r="A101" s="45"/>
      <c r="B101" s="28" t="s">
        <v>168</v>
      </c>
      <c r="C101" s="69"/>
      <c r="D101" s="69"/>
      <c r="E101" s="69"/>
      <c r="F101" s="70"/>
      <c r="G101" s="71"/>
      <c r="H101" s="48"/>
      <c r="I101" s="48" t="s">
        <v>169</v>
      </c>
      <c r="J101" s="62">
        <v>320850</v>
      </c>
      <c r="K101" s="62">
        <v>320850</v>
      </c>
      <c r="L101" s="62">
        <v>320850</v>
      </c>
      <c r="M101" s="50">
        <f t="shared" si="10"/>
        <v>1</v>
      </c>
      <c r="N101" s="13"/>
      <c r="O101" s="13"/>
    </row>
    <row r="102" spans="1:17" x14ac:dyDescent="0.25">
      <c r="A102" s="45"/>
      <c r="B102" s="53" t="s">
        <v>170</v>
      </c>
      <c r="C102" s="74">
        <v>0</v>
      </c>
      <c r="D102" s="74">
        <v>172686</v>
      </c>
      <c r="E102" s="74">
        <v>133876</v>
      </c>
      <c r="F102" s="43">
        <f>+E102/D102</f>
        <v>0.7752568245254392</v>
      </c>
      <c r="G102" s="74"/>
      <c r="H102" s="48"/>
      <c r="I102" s="48" t="s">
        <v>171</v>
      </c>
      <c r="J102" s="62">
        <v>15095600</v>
      </c>
      <c r="K102" s="62">
        <v>14574296</v>
      </c>
      <c r="L102" s="62">
        <v>8419338</v>
      </c>
      <c r="M102" s="50">
        <f t="shared" si="10"/>
        <v>0.57768402672760322</v>
      </c>
      <c r="N102" s="13"/>
      <c r="O102" s="13"/>
    </row>
    <row r="103" spans="1:17" x14ac:dyDescent="0.25">
      <c r="A103" s="45"/>
      <c r="B103" s="68"/>
      <c r="C103" s="69"/>
      <c r="D103" s="69"/>
      <c r="E103" s="69"/>
      <c r="F103" s="70"/>
      <c r="G103" s="71"/>
      <c r="H103" s="48"/>
      <c r="I103" s="48" t="s">
        <v>172</v>
      </c>
      <c r="J103" s="62">
        <f>486324*4</f>
        <v>1945296</v>
      </c>
      <c r="K103" s="62">
        <v>2394600</v>
      </c>
      <c r="L103" s="62">
        <v>2394600</v>
      </c>
      <c r="M103" s="50">
        <f t="shared" si="10"/>
        <v>1</v>
      </c>
      <c r="N103" s="13"/>
      <c r="O103" s="13"/>
    </row>
    <row r="104" spans="1:17" x14ac:dyDescent="0.25">
      <c r="A104" s="45"/>
      <c r="B104" s="68"/>
      <c r="C104" s="69"/>
      <c r="D104" s="69"/>
      <c r="E104" s="69"/>
      <c r="F104" s="70"/>
      <c r="G104" s="71"/>
      <c r="H104" s="48"/>
      <c r="I104" s="48" t="s">
        <v>173</v>
      </c>
      <c r="J104" s="62">
        <v>160000</v>
      </c>
      <c r="K104" s="62">
        <v>0</v>
      </c>
      <c r="L104" s="62">
        <v>145000</v>
      </c>
      <c r="M104" s="50"/>
      <c r="N104" s="13"/>
      <c r="O104" s="13"/>
    </row>
    <row r="105" spans="1:17" x14ac:dyDescent="0.25">
      <c r="A105" s="45"/>
      <c r="B105" s="53"/>
      <c r="C105" s="42"/>
      <c r="D105" s="42"/>
      <c r="E105" s="42"/>
      <c r="F105" s="57"/>
      <c r="G105" s="58"/>
      <c r="H105" s="48"/>
      <c r="I105" s="48" t="s">
        <v>174</v>
      </c>
      <c r="J105" s="72"/>
      <c r="K105" s="72"/>
      <c r="L105" s="72"/>
      <c r="M105" s="50"/>
      <c r="N105" s="13"/>
      <c r="O105" s="13"/>
    </row>
    <row r="106" spans="1:17" x14ac:dyDescent="0.25">
      <c r="A106" s="45"/>
      <c r="B106" s="28"/>
      <c r="C106" s="42"/>
      <c r="D106" s="42"/>
      <c r="E106" s="42"/>
      <c r="F106" s="57"/>
      <c r="G106" s="58"/>
      <c r="H106" s="48"/>
      <c r="I106" s="48" t="s">
        <v>175</v>
      </c>
      <c r="J106" s="62">
        <f>SUM(J107:J110)</f>
        <v>13800000</v>
      </c>
      <c r="K106" s="62">
        <f>SUM(K107:K110)</f>
        <v>18001600</v>
      </c>
      <c r="L106" s="62">
        <f>SUM(L107:L110)</f>
        <v>17201600</v>
      </c>
      <c r="M106" s="50">
        <f t="shared" si="10"/>
        <v>0.95555950582170479</v>
      </c>
      <c r="N106" s="13"/>
      <c r="O106" s="13"/>
    </row>
    <row r="107" spans="1:17" x14ac:dyDescent="0.25">
      <c r="A107" s="45"/>
      <c r="B107" s="28"/>
      <c r="C107" s="42"/>
      <c r="D107" s="42"/>
      <c r="E107" s="42"/>
      <c r="F107" s="57"/>
      <c r="G107" s="58"/>
      <c r="H107" s="48"/>
      <c r="I107" s="48" t="s">
        <v>176</v>
      </c>
      <c r="J107" s="62">
        <f>250000*12</f>
        <v>3000000</v>
      </c>
      <c r="K107" s="62">
        <v>3000000</v>
      </c>
      <c r="L107" s="62">
        <v>3000000</v>
      </c>
      <c r="M107" s="50">
        <f t="shared" si="10"/>
        <v>1</v>
      </c>
      <c r="N107" s="13"/>
      <c r="O107" s="13"/>
    </row>
    <row r="108" spans="1:17" x14ac:dyDescent="0.25">
      <c r="A108" s="45"/>
      <c r="B108" s="28"/>
      <c r="C108" s="42"/>
      <c r="D108" s="42"/>
      <c r="E108" s="42"/>
      <c r="F108" s="57"/>
      <c r="G108" s="58"/>
      <c r="H108" s="48"/>
      <c r="I108" s="48" t="s">
        <v>177</v>
      </c>
      <c r="J108" s="62">
        <v>300000</v>
      </c>
      <c r="K108" s="62">
        <v>300000</v>
      </c>
      <c r="L108" s="62">
        <v>0</v>
      </c>
      <c r="M108" s="50">
        <f t="shared" si="10"/>
        <v>0</v>
      </c>
      <c r="N108" s="13"/>
      <c r="O108" s="13"/>
    </row>
    <row r="109" spans="1:17" x14ac:dyDescent="0.25">
      <c r="A109" s="45"/>
      <c r="B109" s="28"/>
      <c r="C109" s="42"/>
      <c r="D109" s="42"/>
      <c r="E109" s="42"/>
      <c r="F109" s="57"/>
      <c r="G109" s="58"/>
      <c r="H109" s="48"/>
      <c r="I109" s="48" t="s">
        <v>178</v>
      </c>
      <c r="J109" s="62">
        <f>9000000+1500000</f>
        <v>10500000</v>
      </c>
      <c r="K109" s="62">
        <v>11300000</v>
      </c>
      <c r="L109" s="62">
        <v>10800000</v>
      </c>
      <c r="M109" s="50">
        <f t="shared" si="10"/>
        <v>0.95575221238938057</v>
      </c>
      <c r="N109" s="13"/>
      <c r="O109" s="13"/>
    </row>
    <row r="110" spans="1:17" x14ac:dyDescent="0.25">
      <c r="A110" s="45"/>
      <c r="B110" s="28"/>
      <c r="C110" s="42"/>
      <c r="D110" s="42"/>
      <c r="E110" s="42"/>
      <c r="F110" s="57"/>
      <c r="G110" s="58"/>
      <c r="H110" s="48"/>
      <c r="I110" s="75" t="s">
        <v>179</v>
      </c>
      <c r="J110" s="62">
        <v>0</v>
      </c>
      <c r="K110" s="34">
        <v>3401600</v>
      </c>
      <c r="L110" s="62">
        <v>3401600</v>
      </c>
      <c r="M110" s="50">
        <f t="shared" si="10"/>
        <v>1</v>
      </c>
      <c r="N110" s="13"/>
      <c r="O110" s="13"/>
    </row>
    <row r="111" spans="1:17" x14ac:dyDescent="0.25">
      <c r="A111" s="45"/>
      <c r="B111" s="53"/>
      <c r="C111" s="76"/>
      <c r="D111" s="76"/>
      <c r="E111" s="76"/>
      <c r="F111" s="77"/>
      <c r="G111" s="78"/>
      <c r="H111" s="48"/>
      <c r="I111" s="48" t="s">
        <v>180</v>
      </c>
      <c r="J111" s="34">
        <f>J112</f>
        <v>8500000</v>
      </c>
      <c r="K111" s="34">
        <f t="shared" ref="K111:L111" si="11">K112</f>
        <v>1382655</v>
      </c>
      <c r="L111" s="34">
        <f t="shared" si="11"/>
        <v>0</v>
      </c>
      <c r="M111" s="50">
        <f>+L111/K111</f>
        <v>0</v>
      </c>
      <c r="N111" s="13"/>
      <c r="O111" s="13"/>
    </row>
    <row r="112" spans="1:17" x14ac:dyDescent="0.25">
      <c r="A112" s="45"/>
      <c r="B112" s="53"/>
      <c r="C112" s="76"/>
      <c r="D112" s="76"/>
      <c r="E112" s="76"/>
      <c r="F112" s="77"/>
      <c r="G112" s="78"/>
      <c r="H112" s="48"/>
      <c r="I112" s="30" t="s">
        <v>181</v>
      </c>
      <c r="J112" s="34">
        <f>10000000-1500000</f>
        <v>8500000</v>
      </c>
      <c r="K112" s="34">
        <v>1382655</v>
      </c>
      <c r="L112" s="34">
        <v>0</v>
      </c>
      <c r="M112" s="50">
        <f t="shared" si="10"/>
        <v>0</v>
      </c>
      <c r="N112" s="13"/>
      <c r="O112" s="13"/>
    </row>
    <row r="113" spans="1:16" x14ac:dyDescent="0.25">
      <c r="A113" s="7"/>
      <c r="B113" s="8" t="s">
        <v>182</v>
      </c>
      <c r="C113" s="9">
        <f>C114+C130+C140</f>
        <v>184168157</v>
      </c>
      <c r="D113" s="9">
        <f>D114+D130+D140</f>
        <v>248070075</v>
      </c>
      <c r="E113" s="9">
        <f>E114+E130+E140</f>
        <v>198000473</v>
      </c>
      <c r="F113" s="10">
        <f>+E113/D113</f>
        <v>0.79816347457467407</v>
      </c>
      <c r="G113" s="11"/>
      <c r="H113" s="7"/>
      <c r="I113" s="8" t="s">
        <v>183</v>
      </c>
      <c r="J113" s="12">
        <f>J114+J132+J141+1</f>
        <v>984034234.77952754</v>
      </c>
      <c r="K113" s="12">
        <f>K114+K132+K141</f>
        <v>1101398309</v>
      </c>
      <c r="L113" s="12">
        <f>L114+L132+L141</f>
        <v>237739243</v>
      </c>
      <c r="M113" s="79">
        <f t="shared" si="10"/>
        <v>0.21585219539319267</v>
      </c>
      <c r="N113" s="13"/>
      <c r="O113" s="13"/>
    </row>
    <row r="114" spans="1:16" x14ac:dyDescent="0.25">
      <c r="A114" s="14" t="s">
        <v>160</v>
      </c>
      <c r="B114" s="15" t="s">
        <v>184</v>
      </c>
      <c r="C114" s="16">
        <f>C115+C119</f>
        <v>184168157</v>
      </c>
      <c r="D114" s="16">
        <f>D115+D119</f>
        <v>248060075</v>
      </c>
      <c r="E114" s="16">
        <f>E115+E119</f>
        <v>197990473</v>
      </c>
      <c r="F114" s="17">
        <f>+E114/D114</f>
        <v>0.79815533797609306</v>
      </c>
      <c r="G114" s="18"/>
      <c r="H114" s="14" t="s">
        <v>185</v>
      </c>
      <c r="I114" s="15" t="s">
        <v>186</v>
      </c>
      <c r="J114" s="19">
        <f>J115+J116+J124+J125+J129+J130+J131-1</f>
        <v>708631660.77952754</v>
      </c>
      <c r="K114" s="19">
        <f>K115+K116+K124+K125+K129+K130+K131</f>
        <v>424179640</v>
      </c>
      <c r="L114" s="19">
        <f>L115+L116+L124+L125+L129+L130+L131</f>
        <v>92652120</v>
      </c>
      <c r="M114" s="17">
        <f t="shared" si="10"/>
        <v>0.21842660812291698</v>
      </c>
      <c r="N114" s="13"/>
      <c r="O114" s="13"/>
    </row>
    <row r="115" spans="1:16" ht="30" x14ac:dyDescent="0.25">
      <c r="A115" s="45"/>
      <c r="B115" s="80" t="s">
        <v>187</v>
      </c>
      <c r="C115" s="42"/>
      <c r="D115" s="42">
        <v>20779000</v>
      </c>
      <c r="E115" s="42">
        <v>20779000</v>
      </c>
      <c r="F115" s="23">
        <f>+E115/D115</f>
        <v>1</v>
      </c>
      <c r="G115" s="24"/>
      <c r="H115" s="45"/>
      <c r="I115" s="81" t="s">
        <v>188</v>
      </c>
      <c r="J115" s="34">
        <f>6450000-1200000-900000-350000+80000+3390000</f>
        <v>7470000</v>
      </c>
      <c r="K115" s="34">
        <v>16596820</v>
      </c>
      <c r="L115" s="34">
        <v>13099995</v>
      </c>
      <c r="M115" s="50">
        <f t="shared" si="10"/>
        <v>0.78930752999671017</v>
      </c>
      <c r="N115" s="13"/>
      <c r="O115" s="13"/>
    </row>
    <row r="116" spans="1:16" ht="30" x14ac:dyDescent="0.25">
      <c r="A116" s="45"/>
      <c r="B116" s="80" t="s">
        <v>189</v>
      </c>
      <c r="C116" s="42"/>
      <c r="D116" s="42"/>
      <c r="E116" s="42"/>
      <c r="F116" s="57"/>
      <c r="G116" s="58"/>
      <c r="H116" s="45"/>
      <c r="I116" s="82" t="s">
        <v>190</v>
      </c>
      <c r="J116" s="27">
        <f>SUM(J117:J123)-1</f>
        <v>551809260.77952754</v>
      </c>
      <c r="K116" s="27">
        <f t="shared" ref="K116:L116" si="12">SUM(K117:K123)</f>
        <v>321487085</v>
      </c>
      <c r="L116" s="27">
        <f t="shared" si="12"/>
        <v>69665409</v>
      </c>
      <c r="M116" s="50">
        <f t="shared" si="10"/>
        <v>0.21669737992740828</v>
      </c>
      <c r="N116" s="13"/>
      <c r="O116" s="13"/>
    </row>
    <row r="117" spans="1:16" ht="30" x14ac:dyDescent="0.25">
      <c r="A117" s="45"/>
      <c r="B117" s="80" t="s">
        <v>191</v>
      </c>
      <c r="C117" s="42"/>
      <c r="D117" s="42"/>
      <c r="E117" s="42"/>
      <c r="F117" s="57"/>
      <c r="G117" s="58"/>
      <c r="H117" s="45"/>
      <c r="I117" s="82" t="s">
        <v>192</v>
      </c>
      <c r="J117" s="27">
        <v>16000000</v>
      </c>
      <c r="K117" s="34">
        <v>27520794</v>
      </c>
      <c r="L117" s="34">
        <v>27516153</v>
      </c>
      <c r="M117" s="50">
        <f t="shared" si="10"/>
        <v>0.99983136387707416</v>
      </c>
      <c r="N117" s="13"/>
      <c r="O117" s="13"/>
      <c r="P117" s="13"/>
    </row>
    <row r="118" spans="1:16" ht="30" x14ac:dyDescent="0.25">
      <c r="A118" s="45"/>
      <c r="B118" s="80" t="s">
        <v>193</v>
      </c>
      <c r="C118" s="42"/>
      <c r="D118" s="42"/>
      <c r="E118" s="42"/>
      <c r="F118" s="57"/>
      <c r="G118" s="58"/>
      <c r="H118" s="45"/>
      <c r="I118" s="82" t="s">
        <v>194</v>
      </c>
      <c r="J118" s="27">
        <f>+(197365280+1968500)/127%+3400000/127%</f>
        <v>159632897.63779527</v>
      </c>
      <c r="K118" s="34">
        <v>243284293</v>
      </c>
      <c r="L118" s="34"/>
      <c r="M118" s="50">
        <f t="shared" si="10"/>
        <v>0</v>
      </c>
      <c r="N118" s="13"/>
      <c r="O118" s="13"/>
    </row>
    <row r="119" spans="1:16" ht="30" x14ac:dyDescent="0.25">
      <c r="A119" s="45"/>
      <c r="B119" s="61" t="s">
        <v>195</v>
      </c>
      <c r="C119" s="42">
        <f>C120+C121+C122+C123</f>
        <v>184168157</v>
      </c>
      <c r="D119" s="42">
        <f t="shared" ref="D119:E119" si="13">D120+D121+D122+D123</f>
        <v>227281075</v>
      </c>
      <c r="E119" s="42">
        <f t="shared" si="13"/>
        <v>177211473</v>
      </c>
      <c r="F119" s="23">
        <f>+E119/D119</f>
        <v>0.77970184275131571</v>
      </c>
      <c r="G119" s="24"/>
      <c r="H119" s="45"/>
      <c r="I119" s="82" t="s">
        <v>196</v>
      </c>
      <c r="J119" s="27">
        <f>1500000/1.27-2</f>
        <v>1181100.3622047245</v>
      </c>
      <c r="K119" s="34">
        <v>4000000</v>
      </c>
      <c r="L119" s="34">
        <v>4350000</v>
      </c>
      <c r="M119" s="50">
        <f t="shared" si="10"/>
        <v>1.0874999999999999</v>
      </c>
      <c r="N119" s="13">
        <f>L115+L117+L119+L120+L121+L122+L123+L126+L127</f>
        <v>85959968</v>
      </c>
      <c r="O119" s="13"/>
    </row>
    <row r="120" spans="1:16" x14ac:dyDescent="0.25">
      <c r="A120" s="45"/>
      <c r="B120" s="38" t="s">
        <v>197</v>
      </c>
      <c r="C120" s="54">
        <v>38432725</v>
      </c>
      <c r="D120" s="42">
        <v>66182283</v>
      </c>
      <c r="E120" s="42">
        <v>29669099</v>
      </c>
      <c r="F120" s="23">
        <f>+E120/D120</f>
        <v>0.44829367702531508</v>
      </c>
      <c r="G120" s="24"/>
      <c r="H120" s="45"/>
      <c r="I120" s="82" t="s">
        <v>198</v>
      </c>
      <c r="J120" s="27">
        <f>(31623527+317500)/127%</f>
        <v>25150414.960629921</v>
      </c>
      <c r="K120" s="34">
        <v>25150415</v>
      </c>
      <c r="L120" s="34">
        <v>23904913</v>
      </c>
      <c r="M120" s="50">
        <f t="shared" si="10"/>
        <v>0.95047787481836776</v>
      </c>
      <c r="N120" s="13"/>
      <c r="O120" s="13"/>
    </row>
    <row r="121" spans="1:16" x14ac:dyDescent="0.25">
      <c r="A121" s="45"/>
      <c r="B121" s="38" t="s">
        <v>199</v>
      </c>
      <c r="C121" s="54">
        <v>130563444</v>
      </c>
      <c r="D121" s="42">
        <v>145926804</v>
      </c>
      <c r="E121" s="42">
        <v>80359861</v>
      </c>
      <c r="F121" s="23">
        <f>+E121/D121</f>
        <v>0.55068608917111628</v>
      </c>
      <c r="G121" s="24"/>
      <c r="H121" s="45"/>
      <c r="I121" s="83" t="s">
        <v>200</v>
      </c>
      <c r="J121" s="27">
        <f>(8509000+8255000)/127%</f>
        <v>13200000</v>
      </c>
      <c r="K121" s="34">
        <v>8939740</v>
      </c>
      <c r="L121" s="34">
        <v>1302500</v>
      </c>
      <c r="M121" s="50">
        <f t="shared" si="10"/>
        <v>0.14569774959898163</v>
      </c>
      <c r="N121" s="13"/>
      <c r="O121" s="13"/>
    </row>
    <row r="122" spans="1:16" x14ac:dyDescent="0.25">
      <c r="A122" s="45"/>
      <c r="B122" s="38" t="s">
        <v>201</v>
      </c>
      <c r="C122" s="54">
        <f>(30042351+301625)/2</f>
        <v>15171988</v>
      </c>
      <c r="D122" s="42">
        <v>15171988</v>
      </c>
      <c r="E122" s="42">
        <v>16003870</v>
      </c>
      <c r="F122" s="23">
        <f>+E122/D122</f>
        <v>1.0548301250963288</v>
      </c>
      <c r="G122" s="24"/>
      <c r="H122" s="45"/>
      <c r="I122" s="83" t="s">
        <v>202</v>
      </c>
      <c r="J122" s="27">
        <f>(410618940+11975018+4445000)/127%</f>
        <v>336251148.03149605</v>
      </c>
      <c r="K122" s="34">
        <v>7850000</v>
      </c>
      <c r="L122" s="34">
        <v>7850000</v>
      </c>
      <c r="M122" s="50">
        <f t="shared" si="10"/>
        <v>1</v>
      </c>
      <c r="N122" s="13"/>
      <c r="O122" s="13"/>
    </row>
    <row r="123" spans="1:16" x14ac:dyDescent="0.25">
      <c r="A123" s="45"/>
      <c r="B123" s="36" t="s">
        <v>203</v>
      </c>
      <c r="C123" s="42"/>
      <c r="D123" s="42"/>
      <c r="E123" s="42">
        <v>51178643</v>
      </c>
      <c r="F123" s="23"/>
      <c r="G123" s="24"/>
      <c r="H123" s="45"/>
      <c r="I123" s="83" t="s">
        <v>204</v>
      </c>
      <c r="J123" s="27">
        <f>500000/127%</f>
        <v>393700.78740157478</v>
      </c>
      <c r="K123" s="34">
        <v>4741843</v>
      </c>
      <c r="L123" s="34">
        <v>4741843</v>
      </c>
      <c r="M123" s="50">
        <f t="shared" si="10"/>
        <v>1</v>
      </c>
      <c r="N123" s="13"/>
      <c r="O123" s="13"/>
    </row>
    <row r="124" spans="1:16" x14ac:dyDescent="0.25">
      <c r="A124" s="45"/>
      <c r="B124" s="36"/>
      <c r="C124" s="42"/>
      <c r="D124" s="42"/>
      <c r="E124" s="42"/>
      <c r="F124" s="23"/>
      <c r="G124" s="24"/>
      <c r="H124" s="48"/>
      <c r="I124" s="48" t="s">
        <v>205</v>
      </c>
      <c r="J124" s="84"/>
      <c r="K124" s="39">
        <v>239600</v>
      </c>
      <c r="L124" s="39">
        <v>239600</v>
      </c>
      <c r="M124" s="50">
        <f t="shared" si="10"/>
        <v>1</v>
      </c>
      <c r="N124" s="13"/>
      <c r="O124" s="13"/>
    </row>
    <row r="125" spans="1:16" x14ac:dyDescent="0.25">
      <c r="A125" s="45"/>
      <c r="B125" s="36"/>
      <c r="C125" s="42"/>
      <c r="D125" s="42"/>
      <c r="E125" s="42"/>
      <c r="F125" s="57"/>
      <c r="G125" s="58"/>
      <c r="H125" s="48"/>
      <c r="I125" s="48" t="s">
        <v>206</v>
      </c>
      <c r="J125" s="84">
        <f>SUM(J126:J128)</f>
        <v>2100000</v>
      </c>
      <c r="K125" s="84">
        <f>SUM(K126:K128)</f>
        <v>3195000</v>
      </c>
      <c r="L125" s="84">
        <f>SUM(L126:L128)</f>
        <v>3194564</v>
      </c>
      <c r="M125" s="50">
        <f t="shared" si="10"/>
        <v>0.99986353677621287</v>
      </c>
      <c r="N125" s="13"/>
      <c r="O125" s="13"/>
    </row>
    <row r="126" spans="1:16" x14ac:dyDescent="0.25">
      <c r="A126" s="45"/>
      <c r="B126" s="28"/>
      <c r="C126" s="42"/>
      <c r="D126" s="42"/>
      <c r="E126" s="42"/>
      <c r="F126" s="57"/>
      <c r="G126" s="58"/>
      <c r="H126" s="48"/>
      <c r="I126" s="48" t="s">
        <v>207</v>
      </c>
      <c r="J126" s="84">
        <v>2100000</v>
      </c>
      <c r="K126" s="39">
        <v>2410000</v>
      </c>
      <c r="L126" s="84">
        <v>2409819</v>
      </c>
      <c r="M126" s="50">
        <f t="shared" si="10"/>
        <v>0.99992489626556014</v>
      </c>
      <c r="N126" s="13"/>
      <c r="O126" s="13"/>
    </row>
    <row r="127" spans="1:16" x14ac:dyDescent="0.25">
      <c r="A127" s="45"/>
      <c r="B127" s="28"/>
      <c r="C127" s="42"/>
      <c r="D127" s="42"/>
      <c r="E127" s="42"/>
      <c r="F127" s="57"/>
      <c r="G127" s="58"/>
      <c r="H127" s="48"/>
      <c r="I127" s="48" t="s">
        <v>208</v>
      </c>
      <c r="J127" s="84"/>
      <c r="K127" s="39">
        <v>785000</v>
      </c>
      <c r="L127" s="84">
        <f>181409+603336</f>
        <v>784745</v>
      </c>
      <c r="M127" s="50">
        <f t="shared" si="10"/>
        <v>0.99967515923566874</v>
      </c>
      <c r="N127" s="13"/>
      <c r="O127" s="13"/>
    </row>
    <row r="128" spans="1:16" x14ac:dyDescent="0.25">
      <c r="A128" s="45"/>
      <c r="B128" s="28"/>
      <c r="C128" s="42"/>
      <c r="D128" s="42"/>
      <c r="E128" s="42"/>
      <c r="F128" s="57"/>
      <c r="G128" s="58"/>
      <c r="H128" s="48"/>
      <c r="I128" s="48" t="s">
        <v>209</v>
      </c>
      <c r="J128" s="85"/>
      <c r="K128" s="39"/>
      <c r="L128" s="39"/>
      <c r="M128" s="50"/>
      <c r="N128" s="13"/>
      <c r="O128" s="13"/>
    </row>
    <row r="129" spans="1:15" x14ac:dyDescent="0.25">
      <c r="A129" s="45"/>
      <c r="B129" s="28"/>
      <c r="C129" s="42"/>
      <c r="D129" s="42"/>
      <c r="E129" s="42"/>
      <c r="F129" s="57"/>
      <c r="G129" s="58"/>
      <c r="H129" s="48"/>
      <c r="I129" s="48" t="s">
        <v>210</v>
      </c>
      <c r="J129" s="84"/>
      <c r="K129" s="84"/>
      <c r="L129" s="84"/>
      <c r="M129" s="50"/>
      <c r="N129" s="13"/>
      <c r="O129" s="13"/>
    </row>
    <row r="130" spans="1:15" x14ac:dyDescent="0.25">
      <c r="A130" s="14" t="s">
        <v>185</v>
      </c>
      <c r="B130" s="15" t="s">
        <v>211</v>
      </c>
      <c r="C130" s="16">
        <f>SUM(C131:C139)</f>
        <v>0</v>
      </c>
      <c r="D130" s="16">
        <f>SUM(D131:D139)</f>
        <v>10000</v>
      </c>
      <c r="E130" s="16">
        <f>SUM(E131:E139)</f>
        <v>10000</v>
      </c>
      <c r="F130" s="17">
        <f>+E130/D130</f>
        <v>1</v>
      </c>
      <c r="G130" s="18"/>
      <c r="H130" s="48"/>
      <c r="I130" s="48" t="s">
        <v>212</v>
      </c>
      <c r="J130" s="84"/>
      <c r="K130" s="84"/>
      <c r="L130" s="84"/>
      <c r="M130" s="50"/>
      <c r="N130" s="13"/>
      <c r="O130" s="13"/>
    </row>
    <row r="131" spans="1:15" x14ac:dyDescent="0.25">
      <c r="A131" s="45"/>
      <c r="B131" s="53" t="s">
        <v>213</v>
      </c>
      <c r="C131" s="42"/>
      <c r="D131" s="42"/>
      <c r="E131" s="42"/>
      <c r="F131" s="57"/>
      <c r="G131" s="58"/>
      <c r="H131" s="48"/>
      <c r="I131" s="48" t="s">
        <v>214</v>
      </c>
      <c r="J131" s="84">
        <v>147252401</v>
      </c>
      <c r="K131" s="39">
        <v>82661135</v>
      </c>
      <c r="L131" s="84">
        <v>6452552</v>
      </c>
      <c r="M131" s="50">
        <f t="shared" si="10"/>
        <v>7.8060287945477647E-2</v>
      </c>
      <c r="N131" s="13"/>
      <c r="O131" s="13"/>
    </row>
    <row r="132" spans="1:15" x14ac:dyDescent="0.25">
      <c r="A132" s="45"/>
      <c r="B132" s="53" t="s">
        <v>215</v>
      </c>
      <c r="C132" s="42">
        <v>0</v>
      </c>
      <c r="D132" s="42">
        <v>10000</v>
      </c>
      <c r="E132" s="42">
        <v>10000</v>
      </c>
      <c r="F132" s="23">
        <f>+E132/D132</f>
        <v>1</v>
      </c>
      <c r="G132" s="24"/>
      <c r="H132" s="14" t="s">
        <v>216</v>
      </c>
      <c r="I132" s="86" t="s">
        <v>217</v>
      </c>
      <c r="J132" s="19">
        <f>J133+J138+J139+J140</f>
        <v>275402573</v>
      </c>
      <c r="K132" s="19">
        <f>K133+K138+K139+K140</f>
        <v>295358540</v>
      </c>
      <c r="L132" s="19">
        <f>L133+L138+L139+L140</f>
        <v>144398235</v>
      </c>
      <c r="M132" s="17">
        <f t="shared" si="10"/>
        <v>0.48889134879932711</v>
      </c>
      <c r="N132" s="13"/>
      <c r="O132" s="13"/>
    </row>
    <row r="133" spans="1:15" x14ac:dyDescent="0.25">
      <c r="A133" s="45"/>
      <c r="B133" s="53" t="s">
        <v>218</v>
      </c>
      <c r="C133" s="42"/>
      <c r="D133" s="42"/>
      <c r="E133" s="42"/>
      <c r="F133" s="57"/>
      <c r="G133" s="58"/>
      <c r="H133" s="48"/>
      <c r="I133" s="48" t="s">
        <v>219</v>
      </c>
      <c r="J133" s="84">
        <f>SUM(J134:J137)</f>
        <v>272367583.57480317</v>
      </c>
      <c r="K133" s="84">
        <f>SUM(K134:K137)</f>
        <v>288080944</v>
      </c>
      <c r="L133" s="84">
        <f>SUM(L134:L137)</f>
        <v>140250128</v>
      </c>
      <c r="M133" s="50">
        <f t="shared" si="10"/>
        <v>0.4868427812427607</v>
      </c>
      <c r="N133" s="13"/>
      <c r="O133" s="13"/>
    </row>
    <row r="134" spans="1:15" x14ac:dyDescent="0.25">
      <c r="A134" s="45"/>
      <c r="B134" s="53"/>
      <c r="C134" s="42"/>
      <c r="D134" s="42"/>
      <c r="E134" s="42"/>
      <c r="F134" s="57"/>
      <c r="G134" s="58"/>
      <c r="H134" s="48"/>
      <c r="I134" s="48" t="s">
        <v>220</v>
      </c>
      <c r="J134" s="84">
        <f>+(11954356+2321335)/127%</f>
        <v>11240701.574803149</v>
      </c>
      <c r="K134" s="39">
        <v>11590702</v>
      </c>
      <c r="L134" s="84"/>
      <c r="M134" s="50">
        <f t="shared" si="10"/>
        <v>0</v>
      </c>
      <c r="N134" s="13"/>
      <c r="O134" s="13"/>
    </row>
    <row r="135" spans="1:15" x14ac:dyDescent="0.25">
      <c r="A135" s="45"/>
      <c r="B135" s="53"/>
      <c r="C135" s="42"/>
      <c r="D135" s="42"/>
      <c r="E135" s="42"/>
      <c r="F135" s="57"/>
      <c r="G135" s="58"/>
      <c r="H135" s="48"/>
      <c r="I135" s="82" t="s">
        <v>221</v>
      </c>
      <c r="J135" s="87"/>
      <c r="K135" s="27"/>
      <c r="L135" s="27"/>
      <c r="M135" s="50"/>
      <c r="N135" s="13"/>
      <c r="O135" s="13"/>
    </row>
    <row r="136" spans="1:15" x14ac:dyDescent="0.25">
      <c r="A136" s="45"/>
      <c r="B136" s="53"/>
      <c r="C136" s="42"/>
      <c r="D136" s="42"/>
      <c r="E136" s="42"/>
      <c r="F136" s="57"/>
      <c r="G136" s="58"/>
      <c r="H136" s="48"/>
      <c r="I136" s="82" t="s">
        <v>222</v>
      </c>
      <c r="J136" s="27">
        <f>130563444+130563438</f>
        <v>261126882</v>
      </c>
      <c r="K136" s="27">
        <v>276490242</v>
      </c>
      <c r="L136" s="27">
        <v>140250128</v>
      </c>
      <c r="M136" s="50">
        <f t="shared" si="10"/>
        <v>0.5072516374737015</v>
      </c>
      <c r="N136" s="13"/>
      <c r="O136" s="13"/>
    </row>
    <row r="137" spans="1:15" x14ac:dyDescent="0.25">
      <c r="A137" s="45"/>
      <c r="B137" s="53"/>
      <c r="C137" s="42"/>
      <c r="D137" s="42"/>
      <c r="E137" s="42"/>
      <c r="F137" s="57"/>
      <c r="G137" s="58"/>
      <c r="H137" s="48"/>
      <c r="I137" s="41" t="s">
        <v>223</v>
      </c>
      <c r="J137" s="27"/>
      <c r="K137" s="34"/>
      <c r="L137" s="27"/>
      <c r="M137" s="50"/>
      <c r="N137" s="13"/>
      <c r="O137" s="13"/>
    </row>
    <row r="138" spans="1:15" x14ac:dyDescent="0.25">
      <c r="A138" s="45"/>
      <c r="B138" s="53" t="s">
        <v>224</v>
      </c>
      <c r="C138" s="42"/>
      <c r="D138" s="42"/>
      <c r="E138" s="42"/>
      <c r="F138" s="57"/>
      <c r="G138" s="58"/>
      <c r="H138" s="48"/>
      <c r="I138" s="48" t="s">
        <v>225</v>
      </c>
      <c r="J138" s="84"/>
      <c r="K138" s="39"/>
      <c r="L138" s="84"/>
      <c r="M138" s="50"/>
      <c r="N138" s="13"/>
      <c r="O138" s="13"/>
    </row>
    <row r="139" spans="1:15" x14ac:dyDescent="0.25">
      <c r="A139" s="45"/>
      <c r="B139" s="53" t="s">
        <v>226</v>
      </c>
      <c r="C139" s="42"/>
      <c r="D139" s="42"/>
      <c r="E139" s="42"/>
      <c r="F139" s="57"/>
      <c r="G139" s="58"/>
      <c r="H139" s="48"/>
      <c r="I139" s="48" t="s">
        <v>227</v>
      </c>
      <c r="J139" s="39"/>
      <c r="K139" s="39"/>
      <c r="L139" s="39"/>
      <c r="M139" s="50"/>
      <c r="N139" s="13"/>
      <c r="O139" s="13"/>
    </row>
    <row r="140" spans="1:15" x14ac:dyDescent="0.25">
      <c r="A140" s="14" t="s">
        <v>216</v>
      </c>
      <c r="B140" s="15" t="s">
        <v>228</v>
      </c>
      <c r="C140" s="16">
        <f>C141+C142+C143</f>
        <v>0</v>
      </c>
      <c r="D140" s="16">
        <f>D141+D142+D143</f>
        <v>0</v>
      </c>
      <c r="E140" s="16">
        <f>E141+E142+E143</f>
        <v>0</v>
      </c>
      <c r="F140" s="17"/>
      <c r="G140" s="18"/>
      <c r="H140" s="48"/>
      <c r="I140" s="48" t="s">
        <v>229</v>
      </c>
      <c r="J140" s="39">
        <f>J134*0.27</f>
        <v>3034989.4251968507</v>
      </c>
      <c r="K140" s="39">
        <v>7277596</v>
      </c>
      <c r="L140" s="39">
        <v>4148107</v>
      </c>
      <c r="M140" s="50">
        <f t="shared" si="10"/>
        <v>0.56998313728874206</v>
      </c>
      <c r="N140" s="13"/>
      <c r="O140" s="13"/>
    </row>
    <row r="141" spans="1:15" ht="30" x14ac:dyDescent="0.25">
      <c r="A141" s="45"/>
      <c r="B141" s="53" t="s">
        <v>230</v>
      </c>
      <c r="C141" s="42"/>
      <c r="D141" s="42"/>
      <c r="E141" s="42"/>
      <c r="F141" s="57"/>
      <c r="G141" s="58"/>
      <c r="H141" s="14" t="s">
        <v>231</v>
      </c>
      <c r="I141" s="15" t="s">
        <v>232</v>
      </c>
      <c r="J141" s="19">
        <f>J142+J143+J144</f>
        <v>0</v>
      </c>
      <c r="K141" s="19">
        <f t="shared" ref="K141:L141" si="14">K142+K143+K144</f>
        <v>381860129</v>
      </c>
      <c r="L141" s="19">
        <f t="shared" si="14"/>
        <v>688888</v>
      </c>
      <c r="M141" s="17">
        <f t="shared" si="10"/>
        <v>1.8040322821972336E-3</v>
      </c>
      <c r="N141" s="13"/>
      <c r="O141" s="13"/>
    </row>
    <row r="142" spans="1:15" x14ac:dyDescent="0.25">
      <c r="A142" s="45"/>
      <c r="B142" s="53" t="s">
        <v>233</v>
      </c>
      <c r="C142" s="42"/>
      <c r="D142" s="42"/>
      <c r="E142" s="42"/>
      <c r="F142" s="23"/>
      <c r="G142" s="24"/>
      <c r="H142" s="48"/>
      <c r="I142" s="48" t="s">
        <v>234</v>
      </c>
      <c r="J142" s="88"/>
      <c r="K142" s="84">
        <v>688888</v>
      </c>
      <c r="L142" s="84">
        <v>688888</v>
      </c>
      <c r="M142" s="50">
        <f t="shared" si="10"/>
        <v>1</v>
      </c>
      <c r="N142" s="13"/>
      <c r="O142" s="13"/>
    </row>
    <row r="143" spans="1:15" x14ac:dyDescent="0.25">
      <c r="A143" s="45"/>
      <c r="B143" s="53"/>
      <c r="C143" s="42"/>
      <c r="D143" s="42"/>
      <c r="E143" s="42"/>
      <c r="F143" s="57"/>
      <c r="G143" s="58"/>
      <c r="H143" s="48"/>
      <c r="I143" s="48" t="s">
        <v>235</v>
      </c>
      <c r="J143" s="85"/>
      <c r="K143" s="39">
        <v>0</v>
      </c>
      <c r="L143" s="39"/>
      <c r="M143" s="50"/>
      <c r="N143" s="13"/>
      <c r="O143" s="13"/>
    </row>
    <row r="144" spans="1:15" x14ac:dyDescent="0.25">
      <c r="A144" s="45"/>
      <c r="B144" s="53"/>
      <c r="C144" s="42"/>
      <c r="D144" s="42"/>
      <c r="E144" s="42"/>
      <c r="F144" s="57"/>
      <c r="G144" s="58"/>
      <c r="H144" s="48"/>
      <c r="I144" s="48" t="s">
        <v>236</v>
      </c>
      <c r="J144" s="39">
        <f>J145+J146+J147</f>
        <v>0</v>
      </c>
      <c r="K144" s="39">
        <f t="shared" ref="K144:L144" si="15">K145+K146+K147</f>
        <v>381171241</v>
      </c>
      <c r="L144" s="39">
        <f t="shared" si="15"/>
        <v>0</v>
      </c>
      <c r="M144" s="50">
        <f t="shared" si="10"/>
        <v>0</v>
      </c>
      <c r="N144" s="13"/>
      <c r="O144" s="13"/>
    </row>
    <row r="145" spans="1:15" x14ac:dyDescent="0.25">
      <c r="A145" s="45"/>
      <c r="B145" s="53"/>
      <c r="C145" s="42"/>
      <c r="D145" s="42"/>
      <c r="E145" s="42"/>
      <c r="F145" s="57"/>
      <c r="G145" s="58"/>
      <c r="H145" s="48"/>
      <c r="I145" s="30" t="s">
        <v>237</v>
      </c>
      <c r="J145" s="39">
        <v>0</v>
      </c>
      <c r="K145" s="39">
        <v>359371241</v>
      </c>
      <c r="L145" s="39"/>
      <c r="M145" s="50">
        <f t="shared" si="10"/>
        <v>0</v>
      </c>
      <c r="N145" s="13"/>
      <c r="O145" s="13"/>
    </row>
    <row r="146" spans="1:15" x14ac:dyDescent="0.25">
      <c r="A146" s="45"/>
      <c r="B146" s="53"/>
      <c r="C146" s="42"/>
      <c r="D146" s="42"/>
      <c r="E146" s="42"/>
      <c r="F146" s="57"/>
      <c r="G146" s="58"/>
      <c r="H146" s="48"/>
      <c r="I146" s="30" t="s">
        <v>238</v>
      </c>
      <c r="J146" s="39"/>
      <c r="K146" s="39">
        <v>20000000</v>
      </c>
      <c r="L146" s="39"/>
      <c r="M146" s="50">
        <f t="shared" si="10"/>
        <v>0</v>
      </c>
      <c r="N146" s="13"/>
      <c r="O146" s="13"/>
    </row>
    <row r="147" spans="1:15" x14ac:dyDescent="0.25">
      <c r="A147" s="45"/>
      <c r="B147" s="53"/>
      <c r="C147" s="42"/>
      <c r="D147" s="42"/>
      <c r="E147" s="42"/>
      <c r="F147" s="57"/>
      <c r="G147" s="58"/>
      <c r="H147" s="48"/>
      <c r="I147" s="30" t="s">
        <v>239</v>
      </c>
      <c r="J147" s="39"/>
      <c r="K147" s="39">
        <v>1800000</v>
      </c>
      <c r="L147" s="39"/>
      <c r="M147" s="50">
        <f t="shared" si="10"/>
        <v>0</v>
      </c>
      <c r="N147" s="13"/>
      <c r="O147" s="13"/>
    </row>
    <row r="148" spans="1:15" x14ac:dyDescent="0.25">
      <c r="A148" s="7"/>
      <c r="B148" s="8" t="s">
        <v>240</v>
      </c>
      <c r="C148" s="9">
        <f>C160+C171</f>
        <v>850815431</v>
      </c>
      <c r="D148" s="9">
        <f>D160+D171</f>
        <v>831387927</v>
      </c>
      <c r="E148" s="9">
        <f>E160+E171</f>
        <v>674263993</v>
      </c>
      <c r="F148" s="10">
        <f>+E148/D148</f>
        <v>0.81101008458594082</v>
      </c>
      <c r="G148" s="11"/>
      <c r="H148" s="7"/>
      <c r="I148" s="8" t="s">
        <v>241</v>
      </c>
      <c r="J148" s="12">
        <f>J158+J170</f>
        <v>353072183</v>
      </c>
      <c r="K148" s="12">
        <f>K158+K170</f>
        <v>357529646</v>
      </c>
      <c r="L148" s="12">
        <f>L158+L170</f>
        <v>336069169</v>
      </c>
      <c r="M148" s="79">
        <f t="shared" si="10"/>
        <v>0.93997567127622195</v>
      </c>
      <c r="N148" s="13"/>
      <c r="O148" s="13"/>
    </row>
    <row r="149" spans="1:15" ht="30" x14ac:dyDescent="0.25">
      <c r="A149" s="89"/>
      <c r="B149" s="37" t="s">
        <v>242</v>
      </c>
      <c r="C149" s="42"/>
      <c r="D149" s="42"/>
      <c r="E149" s="42"/>
      <c r="F149" s="57"/>
      <c r="G149" s="58"/>
      <c r="H149" s="89"/>
      <c r="I149" s="37" t="s">
        <v>243</v>
      </c>
      <c r="J149" s="54"/>
      <c r="K149" s="54"/>
      <c r="L149" s="54"/>
      <c r="M149" s="50"/>
      <c r="N149" s="13"/>
      <c r="O149" s="13"/>
    </row>
    <row r="150" spans="1:15" ht="30" x14ac:dyDescent="0.25">
      <c r="A150" s="89"/>
      <c r="B150" s="37" t="s">
        <v>244</v>
      </c>
      <c r="C150" s="42"/>
      <c r="D150" s="42"/>
      <c r="E150" s="42"/>
      <c r="F150" s="57"/>
      <c r="G150" s="58"/>
      <c r="H150" s="89"/>
      <c r="I150" s="37" t="s">
        <v>245</v>
      </c>
      <c r="J150" s="54"/>
      <c r="K150" s="54"/>
      <c r="L150" s="54"/>
      <c r="M150" s="50"/>
      <c r="N150" s="13"/>
      <c r="O150" s="13"/>
    </row>
    <row r="151" spans="1:15" ht="30" x14ac:dyDescent="0.25">
      <c r="A151" s="89"/>
      <c r="B151" s="37" t="s">
        <v>246</v>
      </c>
      <c r="C151" s="42"/>
      <c r="D151" s="42"/>
      <c r="E151" s="42"/>
      <c r="F151" s="57"/>
      <c r="G151" s="58"/>
      <c r="H151" s="89"/>
      <c r="I151" s="37" t="s">
        <v>247</v>
      </c>
      <c r="J151" s="54"/>
      <c r="K151" s="54"/>
      <c r="L151" s="54"/>
      <c r="M151" s="50"/>
      <c r="N151" s="13"/>
      <c r="O151" s="13"/>
    </row>
    <row r="152" spans="1:15" ht="30" x14ac:dyDescent="0.25">
      <c r="A152" s="89"/>
      <c r="B152" s="90" t="s">
        <v>248</v>
      </c>
      <c r="C152" s="42">
        <f>C149+C150+C151</f>
        <v>0</v>
      </c>
      <c r="D152" s="42">
        <f>D149+D150+D151</f>
        <v>0</v>
      </c>
      <c r="E152" s="42">
        <f>E149+E150+E151</f>
        <v>0</v>
      </c>
      <c r="F152" s="57"/>
      <c r="G152" s="58"/>
      <c r="H152" s="89"/>
      <c r="I152" s="90" t="s">
        <v>249</v>
      </c>
      <c r="J152" s="54">
        <f>J149+J150+J151</f>
        <v>0</v>
      </c>
      <c r="K152" s="54">
        <f>K149+K150+K151</f>
        <v>0</v>
      </c>
      <c r="L152" s="54">
        <f>L149+L150+L151</f>
        <v>0</v>
      </c>
      <c r="M152" s="50"/>
      <c r="N152" s="13"/>
      <c r="O152" s="13"/>
    </row>
    <row r="153" spans="1:15" ht="30" x14ac:dyDescent="0.25">
      <c r="A153" s="89"/>
      <c r="B153" s="26" t="s">
        <v>250</v>
      </c>
      <c r="C153" s="42">
        <v>8548945</v>
      </c>
      <c r="D153" s="42">
        <v>8548945</v>
      </c>
      <c r="E153" s="42">
        <v>0</v>
      </c>
      <c r="F153" s="57"/>
      <c r="G153" s="58"/>
      <c r="H153" s="89"/>
      <c r="I153" s="37" t="s">
        <v>251</v>
      </c>
      <c r="J153" s="54"/>
      <c r="K153" s="54"/>
      <c r="L153" s="54"/>
      <c r="M153" s="50"/>
      <c r="N153" s="13"/>
      <c r="O153" s="13"/>
    </row>
    <row r="154" spans="1:15" ht="30" x14ac:dyDescent="0.25">
      <c r="A154" s="89"/>
      <c r="B154" s="26" t="s">
        <v>252</v>
      </c>
      <c r="C154" s="42"/>
      <c r="D154" s="42"/>
      <c r="E154" s="42"/>
      <c r="F154" s="57"/>
      <c r="G154" s="58"/>
      <c r="H154" s="89"/>
      <c r="I154" s="37" t="s">
        <v>253</v>
      </c>
      <c r="J154" s="54"/>
      <c r="K154" s="54"/>
      <c r="L154" s="54"/>
      <c r="M154" s="50"/>
      <c r="N154" s="13"/>
      <c r="O154" s="13"/>
    </row>
    <row r="155" spans="1:15" x14ac:dyDescent="0.25">
      <c r="A155" s="89"/>
      <c r="B155" s="20" t="s">
        <v>254</v>
      </c>
      <c r="C155" s="42">
        <f>SUM(C153:C154)</f>
        <v>8548945</v>
      </c>
      <c r="D155" s="42">
        <f t="shared" ref="D155:E155" si="16">SUM(D153:D154)</f>
        <v>8548945</v>
      </c>
      <c r="E155" s="42">
        <f t="shared" si="16"/>
        <v>0</v>
      </c>
      <c r="F155" s="57">
        <f t="shared" ref="F155:F160" si="17">+E155/D155</f>
        <v>0</v>
      </c>
      <c r="G155" s="58"/>
      <c r="H155" s="89"/>
      <c r="I155" s="90" t="s">
        <v>255</v>
      </c>
      <c r="J155" s="54">
        <f>J153+J154</f>
        <v>0</v>
      </c>
      <c r="K155" s="54">
        <f>K153+K154</f>
        <v>0</v>
      </c>
      <c r="L155" s="54">
        <f>L153+L154</f>
        <v>0</v>
      </c>
      <c r="M155" s="50"/>
      <c r="N155" s="13"/>
      <c r="O155" s="13"/>
    </row>
    <row r="156" spans="1:15" ht="30" x14ac:dyDescent="0.25">
      <c r="A156" s="89"/>
      <c r="B156" s="20" t="s">
        <v>256</v>
      </c>
      <c r="C156" s="39">
        <v>32909682</v>
      </c>
      <c r="D156" s="39">
        <v>32909682</v>
      </c>
      <c r="E156" s="39">
        <v>32909682</v>
      </c>
      <c r="F156" s="57">
        <f t="shared" si="17"/>
        <v>1</v>
      </c>
      <c r="G156" s="58"/>
      <c r="H156" s="89"/>
      <c r="I156" s="90" t="s">
        <v>257</v>
      </c>
      <c r="J156" s="54">
        <v>4200448</v>
      </c>
      <c r="K156" s="54">
        <v>10376457</v>
      </c>
      <c r="L156" s="54">
        <v>10326457</v>
      </c>
      <c r="M156" s="50">
        <f t="shared" si="10"/>
        <v>0.99518139958561969</v>
      </c>
      <c r="N156" s="13"/>
      <c r="O156" s="13"/>
    </row>
    <row r="157" spans="1:15" x14ac:dyDescent="0.25">
      <c r="A157" s="89"/>
      <c r="B157" s="20" t="s">
        <v>258</v>
      </c>
      <c r="C157" s="39"/>
      <c r="D157" s="39">
        <v>2273665</v>
      </c>
      <c r="E157" s="39">
        <v>14599731</v>
      </c>
      <c r="F157" s="57"/>
      <c r="G157" s="58"/>
      <c r="H157" s="89"/>
      <c r="I157" s="90" t="s">
        <v>259</v>
      </c>
      <c r="J157" s="39">
        <v>339381009</v>
      </c>
      <c r="K157" s="39">
        <v>335444283</v>
      </c>
      <c r="L157" s="39">
        <v>314033806</v>
      </c>
      <c r="M157" s="50">
        <f t="shared" si="10"/>
        <v>0.9361727771643078</v>
      </c>
      <c r="N157" s="13">
        <f>+L157+L169</f>
        <v>325742712</v>
      </c>
      <c r="O157" s="13"/>
    </row>
    <row r="158" spans="1:15" x14ac:dyDescent="0.25">
      <c r="A158" s="89"/>
      <c r="B158" s="20" t="s">
        <v>260</v>
      </c>
      <c r="C158" s="42"/>
      <c r="D158" s="42"/>
      <c r="E158" s="42"/>
      <c r="F158" s="57"/>
      <c r="G158" s="58"/>
      <c r="H158" s="89"/>
      <c r="I158" s="89" t="s">
        <v>261</v>
      </c>
      <c r="J158" s="91">
        <f>J152+J155+J157+J156</f>
        <v>343581457</v>
      </c>
      <c r="K158" s="91">
        <f>K152+K155+K157+K156</f>
        <v>345820740</v>
      </c>
      <c r="L158" s="91">
        <f>L152+L155+L157+L156</f>
        <v>324360263</v>
      </c>
      <c r="M158" s="50">
        <f t="shared" si="10"/>
        <v>0.93794334891539477</v>
      </c>
      <c r="N158" s="13"/>
      <c r="O158" s="13"/>
    </row>
    <row r="159" spans="1:15" x14ac:dyDescent="0.25">
      <c r="A159" s="89"/>
      <c r="B159" s="20" t="s">
        <v>262</v>
      </c>
      <c r="C159" s="54"/>
      <c r="D159" s="54"/>
      <c r="E159" s="54"/>
      <c r="F159" s="57"/>
      <c r="G159" s="58"/>
      <c r="H159" s="89"/>
      <c r="I159" s="89"/>
      <c r="J159" s="91"/>
      <c r="K159" s="91"/>
      <c r="L159" s="91"/>
      <c r="M159" s="50"/>
      <c r="N159" s="13"/>
      <c r="O159" s="13"/>
    </row>
    <row r="160" spans="1:15" ht="28.5" x14ac:dyDescent="0.25">
      <c r="A160" s="89"/>
      <c r="B160" s="25" t="s">
        <v>263</v>
      </c>
      <c r="C160" s="69">
        <f>C152+C155+C157+C158+C159+C156</f>
        <v>41458627</v>
      </c>
      <c r="D160" s="69">
        <f>D152+D155+D157+D158+D159+D156</f>
        <v>43732292</v>
      </c>
      <c r="E160" s="69">
        <f>E152+E155+E157+E158+E159+E156</f>
        <v>47509413</v>
      </c>
      <c r="F160" s="70">
        <f t="shared" si="17"/>
        <v>1.0863691525703707</v>
      </c>
      <c r="G160" s="71"/>
      <c r="H160" s="89"/>
      <c r="I160" s="90"/>
      <c r="J160" s="54"/>
      <c r="K160" s="54"/>
      <c r="L160" s="54"/>
      <c r="M160" s="50"/>
      <c r="N160" s="13"/>
      <c r="O160" s="13"/>
    </row>
    <row r="161" spans="1:15" x14ac:dyDescent="0.25">
      <c r="A161" s="92"/>
      <c r="B161" s="93"/>
      <c r="C161" s="94"/>
      <c r="D161" s="94"/>
      <c r="E161" s="94"/>
      <c r="F161" s="95"/>
      <c r="G161" s="96"/>
      <c r="H161" s="92"/>
      <c r="I161" s="92"/>
      <c r="J161" s="97"/>
      <c r="K161" s="97"/>
      <c r="L161" s="97"/>
      <c r="M161" s="97"/>
      <c r="N161" s="13"/>
      <c r="O161" s="13"/>
    </row>
    <row r="162" spans="1:15" x14ac:dyDescent="0.25">
      <c r="A162" s="89"/>
      <c r="B162" s="37" t="s">
        <v>264</v>
      </c>
      <c r="C162" s="42"/>
      <c r="D162" s="42"/>
      <c r="E162" s="42"/>
      <c r="F162" s="57"/>
      <c r="G162" s="58"/>
      <c r="H162" s="89"/>
      <c r="I162" s="37" t="s">
        <v>243</v>
      </c>
      <c r="J162" s="54"/>
      <c r="K162" s="54"/>
      <c r="L162" s="54"/>
      <c r="M162" s="50"/>
      <c r="N162" s="13"/>
      <c r="O162" s="13"/>
    </row>
    <row r="163" spans="1:15" ht="30" x14ac:dyDescent="0.25">
      <c r="A163" s="89"/>
      <c r="B163" s="37" t="s">
        <v>244</v>
      </c>
      <c r="C163" s="42"/>
      <c r="D163" s="42"/>
      <c r="E163" s="42"/>
      <c r="F163" s="57"/>
      <c r="G163" s="58"/>
      <c r="H163" s="89"/>
      <c r="I163" s="37" t="s">
        <v>245</v>
      </c>
      <c r="J163" s="54"/>
      <c r="K163" s="54"/>
      <c r="L163" s="54"/>
      <c r="M163" s="50"/>
      <c r="N163" s="13"/>
      <c r="O163" s="13"/>
    </row>
    <row r="164" spans="1:15" x14ac:dyDescent="0.25">
      <c r="A164" s="89"/>
      <c r="B164" s="37" t="s">
        <v>265</v>
      </c>
      <c r="C164" s="42"/>
      <c r="D164" s="42"/>
      <c r="E164" s="42"/>
      <c r="F164" s="57"/>
      <c r="G164" s="58"/>
      <c r="H164" s="89"/>
      <c r="I164" s="37" t="s">
        <v>247</v>
      </c>
      <c r="J164" s="54"/>
      <c r="K164" s="54"/>
      <c r="L164" s="54"/>
      <c r="M164" s="50"/>
      <c r="N164" s="13"/>
      <c r="O164" s="13"/>
    </row>
    <row r="165" spans="1:15" ht="30" x14ac:dyDescent="0.25">
      <c r="A165" s="89"/>
      <c r="B165" s="90" t="s">
        <v>248</v>
      </c>
      <c r="C165" s="42">
        <f>C162+C163+C164</f>
        <v>0</v>
      </c>
      <c r="D165" s="42">
        <f>D162+D163+D164</f>
        <v>0</v>
      </c>
      <c r="E165" s="42">
        <f>E162+E163+E164</f>
        <v>0</v>
      </c>
      <c r="F165" s="57">
        <f>F162+F163+F164</f>
        <v>0</v>
      </c>
      <c r="G165" s="58"/>
      <c r="H165" s="89"/>
      <c r="I165" s="90" t="s">
        <v>249</v>
      </c>
      <c r="J165" s="54">
        <f>J162+J163+J164</f>
        <v>0</v>
      </c>
      <c r="K165" s="54">
        <f>K162+K163+K164</f>
        <v>0</v>
      </c>
      <c r="L165" s="54">
        <f>L162+L163+L164</f>
        <v>0</v>
      </c>
      <c r="M165" s="50"/>
      <c r="N165" s="13"/>
      <c r="O165" s="13"/>
    </row>
    <row r="166" spans="1:15" ht="30" x14ac:dyDescent="0.25">
      <c r="A166" s="89"/>
      <c r="B166" s="26" t="s">
        <v>250</v>
      </c>
      <c r="C166" s="42">
        <v>160901055</v>
      </c>
      <c r="D166" s="42">
        <v>160901055</v>
      </c>
      <c r="E166" s="42">
        <v>0</v>
      </c>
      <c r="F166" s="57"/>
      <c r="G166" s="58"/>
      <c r="H166" s="89"/>
      <c r="I166" s="37" t="s">
        <v>251</v>
      </c>
      <c r="J166" s="54"/>
      <c r="K166" s="54"/>
      <c r="L166" s="54"/>
      <c r="M166" s="50"/>
      <c r="N166" s="13"/>
      <c r="O166" s="13"/>
    </row>
    <row r="167" spans="1:15" x14ac:dyDescent="0.25">
      <c r="A167" s="89"/>
      <c r="B167" s="26" t="s">
        <v>266</v>
      </c>
      <c r="C167" s="42"/>
      <c r="D167" s="42"/>
      <c r="E167" s="42"/>
      <c r="F167" s="57"/>
      <c r="G167" s="58"/>
      <c r="H167" s="89"/>
      <c r="I167" s="37" t="s">
        <v>253</v>
      </c>
      <c r="J167" s="54"/>
      <c r="K167" s="54"/>
      <c r="L167" s="54"/>
      <c r="M167" s="50"/>
      <c r="N167" s="13"/>
      <c r="O167" s="13"/>
    </row>
    <row r="168" spans="1:15" x14ac:dyDescent="0.25">
      <c r="A168" s="89"/>
      <c r="B168" s="20" t="s">
        <v>254</v>
      </c>
      <c r="C168" s="42">
        <f>C166+C167</f>
        <v>160901055</v>
      </c>
      <c r="D168" s="42">
        <f t="shared" ref="D168:E168" si="18">D166+D167</f>
        <v>160901055</v>
      </c>
      <c r="E168" s="42">
        <f t="shared" si="18"/>
        <v>0</v>
      </c>
      <c r="F168" s="57">
        <f>F166+F167</f>
        <v>0</v>
      </c>
      <c r="G168" s="58"/>
      <c r="H168" s="89"/>
      <c r="I168" s="90" t="s">
        <v>255</v>
      </c>
      <c r="J168" s="54">
        <f>J166+J167</f>
        <v>0</v>
      </c>
      <c r="K168" s="54">
        <f>K166+K167</f>
        <v>0</v>
      </c>
      <c r="L168" s="54">
        <f>L166+L167</f>
        <v>0</v>
      </c>
      <c r="M168" s="50"/>
      <c r="N168" s="13"/>
      <c r="O168" s="13"/>
    </row>
    <row r="169" spans="1:15" ht="30" x14ac:dyDescent="0.25">
      <c r="A169" s="89"/>
      <c r="B169" s="20" t="s">
        <v>267</v>
      </c>
      <c r="C169" s="39">
        <v>648455749</v>
      </c>
      <c r="D169" s="39">
        <v>626754580</v>
      </c>
      <c r="E169" s="39">
        <v>626754580</v>
      </c>
      <c r="F169" s="65">
        <f>+E169/D169</f>
        <v>1</v>
      </c>
      <c r="G169" s="66"/>
      <c r="H169" s="89"/>
      <c r="I169" s="90" t="s">
        <v>268</v>
      </c>
      <c r="J169" s="39">
        <v>9490726</v>
      </c>
      <c r="K169" s="39">
        <v>11708906</v>
      </c>
      <c r="L169" s="39">
        <v>11708906</v>
      </c>
      <c r="M169" s="50">
        <f t="shared" ref="M169:M172" si="19">+L169/K169</f>
        <v>1</v>
      </c>
      <c r="N169" s="13"/>
      <c r="O169" s="13"/>
    </row>
    <row r="170" spans="1:15" x14ac:dyDescent="0.25">
      <c r="A170" s="89"/>
      <c r="B170" s="20" t="s">
        <v>260</v>
      </c>
      <c r="C170" s="42"/>
      <c r="D170" s="42"/>
      <c r="E170" s="42"/>
      <c r="F170" s="57"/>
      <c r="G170" s="58"/>
      <c r="H170" s="89"/>
      <c r="I170" s="89" t="s">
        <v>269</v>
      </c>
      <c r="J170" s="91">
        <f>J165+J168+J169</f>
        <v>9490726</v>
      </c>
      <c r="K170" s="91">
        <f>K165+K168+K169</f>
        <v>11708906</v>
      </c>
      <c r="L170" s="91">
        <f>L165+L168+L169</f>
        <v>11708906</v>
      </c>
      <c r="M170" s="50">
        <f t="shared" si="19"/>
        <v>1</v>
      </c>
      <c r="N170" s="13"/>
      <c r="O170" s="13"/>
    </row>
    <row r="171" spans="1:15" ht="28.5" x14ac:dyDescent="0.25">
      <c r="A171" s="98"/>
      <c r="B171" s="25" t="s">
        <v>270</v>
      </c>
      <c r="C171" s="69">
        <f>C165+C168+C169+C170</f>
        <v>809356804</v>
      </c>
      <c r="D171" s="69">
        <f>D165+D168+D169+D170</f>
        <v>787655635</v>
      </c>
      <c r="E171" s="69">
        <f>E165+E168+E169+E170</f>
        <v>626754580</v>
      </c>
      <c r="F171" s="70">
        <f>+E171/D171</f>
        <v>0.79572157190242154</v>
      </c>
      <c r="G171" s="99"/>
      <c r="H171" s="98"/>
      <c r="I171" s="90"/>
      <c r="J171" s="54"/>
      <c r="K171" s="54"/>
      <c r="L171" s="54"/>
      <c r="M171" s="50"/>
      <c r="N171" s="13"/>
      <c r="O171" s="13"/>
    </row>
    <row r="172" spans="1:15" x14ac:dyDescent="0.25">
      <c r="A172" s="100" t="s">
        <v>271</v>
      </c>
      <c r="B172" s="101"/>
      <c r="C172" s="102">
        <f>C2+C113+C148</f>
        <v>1594890326</v>
      </c>
      <c r="D172" s="102">
        <f>D2+D113+D148</f>
        <v>1706713430</v>
      </c>
      <c r="E172" s="102">
        <f>E2+E113+E148</f>
        <v>1421183699</v>
      </c>
      <c r="F172" s="103">
        <f>+E172/D172</f>
        <v>0.83270200727253896</v>
      </c>
      <c r="G172" s="104"/>
      <c r="H172" s="100" t="s">
        <v>272</v>
      </c>
      <c r="I172" s="101"/>
      <c r="J172" s="102">
        <f>J2+J113+J148</f>
        <v>1594890325.8267717</v>
      </c>
      <c r="K172" s="102">
        <f>K2+K113+K148</f>
        <v>1706713430</v>
      </c>
      <c r="L172" s="102">
        <f>L2+L113+L148</f>
        <v>776809023</v>
      </c>
      <c r="M172" s="105">
        <f t="shared" si="19"/>
        <v>0.45514906565187102</v>
      </c>
      <c r="N172" s="13"/>
      <c r="O172" s="13"/>
    </row>
    <row r="173" spans="1:15" x14ac:dyDescent="0.25">
      <c r="J173" s="67"/>
      <c r="K173" s="67"/>
      <c r="L173" s="67"/>
      <c r="M173" s="108"/>
      <c r="N173" s="13"/>
      <c r="O173" s="13"/>
    </row>
    <row r="174" spans="1:15" x14ac:dyDescent="0.25">
      <c r="E174" s="109">
        <f>+E169+E156</f>
        <v>659664262</v>
      </c>
      <c r="J174" s="110"/>
      <c r="K174" s="110"/>
      <c r="L174" s="110"/>
    </row>
    <row r="175" spans="1:15" x14ac:dyDescent="0.25">
      <c r="J175" s="110">
        <f>C172-J172</f>
        <v>0.17322826385498047</v>
      </c>
      <c r="K175" s="110">
        <f>D172-K172</f>
        <v>0</v>
      </c>
      <c r="L175" s="110">
        <f>E172-L172</f>
        <v>644374676</v>
      </c>
      <c r="M175" s="111">
        <f>F172-M172</f>
        <v>0.37755294162066794</v>
      </c>
    </row>
    <row r="176" spans="1:15" x14ac:dyDescent="0.25">
      <c r="E176" s="109"/>
      <c r="J176" s="112">
        <f>+E153-K153+K154-E154</f>
        <v>0</v>
      </c>
      <c r="K176" s="112"/>
      <c r="L176" s="112"/>
    </row>
    <row r="177" spans="3:13" x14ac:dyDescent="0.25">
      <c r="J177" s="113"/>
      <c r="K177" s="113"/>
      <c r="L177" s="113"/>
    </row>
    <row r="178" spans="3:13" x14ac:dyDescent="0.25">
      <c r="J178" s="113"/>
      <c r="K178" s="113">
        <f>140000000+199450000</f>
        <v>339450000</v>
      </c>
      <c r="L178" s="113"/>
    </row>
    <row r="179" spans="3:13" x14ac:dyDescent="0.25">
      <c r="C179" s="109"/>
      <c r="D179" s="109"/>
      <c r="E179" s="109"/>
    </row>
    <row r="181" spans="3:13" x14ac:dyDescent="0.25">
      <c r="J181" s="115"/>
      <c r="K181" s="115"/>
      <c r="L181" s="115"/>
      <c r="M181" s="116"/>
    </row>
    <row r="182" spans="3:13" x14ac:dyDescent="0.25">
      <c r="C182" s="109"/>
      <c r="D182" s="109"/>
      <c r="E182" s="109"/>
      <c r="J182" s="115"/>
      <c r="K182" s="115"/>
      <c r="L182" s="115"/>
      <c r="M182" s="116"/>
    </row>
    <row r="183" spans="3:13" x14ac:dyDescent="0.25">
      <c r="J183" s="115"/>
      <c r="K183" s="115"/>
      <c r="L183" s="115"/>
      <c r="M183" s="116"/>
    </row>
  </sheetData>
  <mergeCells count="2">
    <mergeCell ref="A172:B172"/>
    <mergeCell ref="H172:I17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2.a_bevételek_kiadások részl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Ötvös Adrienn</dc:creator>
  <cp:lastModifiedBy>Ötvös Adrienn</cp:lastModifiedBy>
  <dcterms:created xsi:type="dcterms:W3CDTF">2021-06-08T09:24:39Z</dcterms:created>
  <dcterms:modified xsi:type="dcterms:W3CDTF">2021-06-08T09:26:13Z</dcterms:modified>
</cp:coreProperties>
</file>