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épviselő-testület\Adrienn munkaanyagok\Rendeletek LocLex munkához\"/>
    </mc:Choice>
  </mc:AlternateContent>
  <bookViews>
    <workbookView xWindow="0" yWindow="0" windowWidth="28800" windowHeight="12435" tabRatio="821" firstSheet="2" activeTab="2"/>
  </bookViews>
  <sheets>
    <sheet name="bev-kiad." sheetId="1" state="hidden" r:id="rId1"/>
    <sheet name="2014." sheetId="2" state="hidden" r:id="rId2"/>
    <sheet name="1. 2018. mindösszesen" sheetId="28" r:id="rId3"/>
    <sheet name="2. 2018. önkormányzat" sheetId="15" r:id="rId4"/>
    <sheet name="2.a önkormányzat részletes" sheetId="22" r:id="rId5"/>
    <sheet name="3. 2018. hivatal" sheetId="16" r:id="rId6"/>
    <sheet name="3.a hivatal részletes" sheetId="23" r:id="rId7"/>
    <sheet name="4. 2018. műv.ház" sheetId="17" r:id="rId8"/>
    <sheet name="4.a műv.ház részletes" sheetId="25" r:id="rId9"/>
    <sheet name="5. 2018. forrás" sheetId="18" r:id="rId10"/>
    <sheet name="5.a forrás részletes" sheetId="26" r:id="rId11"/>
    <sheet name="6. 2018. szociális" sheetId="19" r:id="rId12"/>
    <sheet name="6.a szociális részletes" sheetId="27" r:id="rId13"/>
    <sheet name="7. 2018. bölcsőde" sheetId="43" r:id="rId14"/>
    <sheet name="7.a bölcsőde részletes " sheetId="42" r:id="rId15"/>
    <sheet name="8. központi finanszírozás" sheetId="33" r:id="rId16"/>
    <sheet name="9. beruházások" sheetId="30" r:id="rId17"/>
    <sheet name="10. felújítások" sheetId="29" r:id="rId18"/>
    <sheet name="11. uniós projektek" sheetId="31" r:id="rId19"/>
    <sheet name="12. létszám" sheetId="32" r:id="rId20"/>
    <sheet name="13. mérleg" sheetId="34" r:id="rId21"/>
    <sheet name="14. közvetett támogatások" sheetId="44" r:id="rId22"/>
    <sheet name="15. hitelállomány" sheetId="53" r:id="rId23"/>
    <sheet name="16. részesedések" sheetId="46" r:id="rId24"/>
    <sheet name="17. pénzforgalmi egyeztetés" sheetId="47" r:id="rId25"/>
    <sheet name="18. vagyonkimutatás" sheetId="48" r:id="rId26"/>
    <sheet name="19. vagyonkimutatás II." sheetId="49" r:id="rId27"/>
    <sheet name="20. egyszerűsített mérleg" sheetId="50" r:id="rId28"/>
    <sheet name="21. eredménykimutatás" sheetId="51" r:id="rId29"/>
    <sheet name="22. maradvány" sheetId="52" r:id="rId30"/>
  </sheets>
  <definedNames>
    <definedName name="_xlnm._FilterDatabase" localSheetId="4" hidden="1">'2.a önkormányzat részletes'!$A$1:$AT$144</definedName>
    <definedName name="_xlnm._FilterDatabase" localSheetId="11" hidden="1">'6. 2018. szociális'!$A$2:$L$2</definedName>
    <definedName name="_xlnm._FilterDatabase" localSheetId="12" hidden="1">'6.a szociális részletes'!$A$1:$L$109</definedName>
    <definedName name="_xlnm._FilterDatabase" localSheetId="13" hidden="1">'7. 2018. bölcsőde'!$A$2:$L$2</definedName>
    <definedName name="_xlnm._FilterDatabase" localSheetId="14" hidden="1">'7.a bölcsőde részletes '!$A$1:$M$105</definedName>
    <definedName name="_xlnm.Print_Titles" localSheetId="2">'1. 2018. mindösszesen'!$1:$1</definedName>
    <definedName name="_xlnm.Print_Titles" localSheetId="19">'12. létszám'!$4:$7</definedName>
    <definedName name="_xlnm.Print_Titles" localSheetId="25">'18. vagyonkimutatás'!$1:$4</definedName>
    <definedName name="_xlnm.Print_Titles" localSheetId="3">'2. 2018. önkormányzat'!$1:$1</definedName>
    <definedName name="_xlnm.Print_Titles" localSheetId="4">'2.a önkormányzat részletes'!$1:$1</definedName>
    <definedName name="_xlnm.Print_Titles" localSheetId="27">'20. egyszerűsített mérleg'!$1:$2</definedName>
    <definedName name="_xlnm.Print_Titles" localSheetId="5">'3. 2018. hivatal'!$1:$1</definedName>
    <definedName name="_xlnm.Print_Titles" localSheetId="6">'3.a hivatal részletes'!$1:$1</definedName>
    <definedName name="_xlnm.Print_Titles" localSheetId="7">'4. 2018. műv.ház'!$1:$1</definedName>
    <definedName name="_xlnm.Print_Titles" localSheetId="8">'4.a műv.ház részletes'!$1:$1</definedName>
    <definedName name="_xlnm.Print_Titles" localSheetId="9">'5. 2018. forrás'!$1:$1</definedName>
    <definedName name="_xlnm.Print_Titles" localSheetId="10">'5.a forrás részletes'!$1:$1</definedName>
    <definedName name="_xlnm.Print_Titles" localSheetId="11">'6. 2018. szociális'!$1:$1</definedName>
    <definedName name="_xlnm.Print_Titles" localSheetId="12">'6.a szociális részletes'!$1:$1</definedName>
    <definedName name="_xlnm.Print_Titles" localSheetId="13">'7. 2018. bölcsőde'!$1:$1</definedName>
    <definedName name="_xlnm.Print_Titles" localSheetId="14">'7.a bölcsőde részletes '!$1:$1</definedName>
    <definedName name="_xlnm.Print_Titles" localSheetId="15">'8. központi finanszírozás'!$1:$1</definedName>
    <definedName name="_xlnm.Print_Area" localSheetId="2">'1. 2018. mindösszesen'!$A$1:$L$89</definedName>
    <definedName name="_xlnm.Print_Area" localSheetId="17">'10. felújítások'!$A$1:$F$37</definedName>
    <definedName name="_xlnm.Print_Area" localSheetId="18">'11. uniós projektek'!$A$1:$F$9</definedName>
    <definedName name="_xlnm.Print_Area" localSheetId="19">'12. létszám'!$A$4:$D$57</definedName>
    <definedName name="_xlnm.Print_Area" localSheetId="20">'13. mérleg'!$A$4:$M$40</definedName>
    <definedName name="_xlnm.Print_Area" localSheetId="3">'2. 2018. önkormányzat'!$A$1:$L$85</definedName>
    <definedName name="_xlnm.Print_Area" localSheetId="4">'2.a önkormányzat részletes'!$A$1:$L$163</definedName>
    <definedName name="_xlnm.Print_Area" localSheetId="1">'2014.'!$A$1:$F$72</definedName>
    <definedName name="_xlnm.Print_Area" localSheetId="5">'3. 2018. hivatal'!$A$1:$L$88</definedName>
    <definedName name="_xlnm.Print_Area" localSheetId="6">'3.a hivatal részletes'!$A$1:$L$121</definedName>
    <definedName name="_xlnm.Print_Area" localSheetId="7">'4. 2018. műv.ház'!$A$1:$L$89</definedName>
    <definedName name="_xlnm.Print_Area" localSheetId="8">'4.a műv.ház részletes'!$A$1:$L$119</definedName>
    <definedName name="_xlnm.Print_Area" localSheetId="9">'5. 2018. forrás'!$A$1:$L$82</definedName>
    <definedName name="_xlnm.Print_Area" localSheetId="10">'5.a forrás részletes'!$A$1:$X$137</definedName>
    <definedName name="_xlnm.Print_Area" localSheetId="11">'6. 2018. szociális'!$A$1:$L$90</definedName>
    <definedName name="_xlnm.Print_Area" localSheetId="12">'6.a szociális részletes'!$A$1:$L$121</definedName>
    <definedName name="_xlnm.Print_Area" localSheetId="13">'7. 2018. bölcsőde'!$A$1:$L$89</definedName>
    <definedName name="_xlnm.Print_Area" localSheetId="14">'7.a bölcsőde részletes '!$A$1:$L$119</definedName>
    <definedName name="_xlnm.Print_Area" localSheetId="15">'8. központi finanszírozás'!$A$1:$F$160</definedName>
    <definedName name="_xlnm.Print_Area" localSheetId="16">'9. beruházások'!$A$1:$F$61</definedName>
  </definedNames>
  <calcPr calcId="162913"/>
</workbook>
</file>

<file path=xl/calcChain.xml><?xml version="1.0" encoding="utf-8"?>
<calcChain xmlns="http://schemas.openxmlformats.org/spreadsheetml/2006/main">
  <c r="G16" i="29" l="1"/>
  <c r="J168" i="22" l="1"/>
  <c r="I166" i="22" l="1"/>
  <c r="J145" i="22"/>
  <c r="F95" i="33" l="1"/>
  <c r="D93" i="48" l="1"/>
  <c r="D90" i="48"/>
  <c r="D87" i="48"/>
  <c r="D81" i="48"/>
  <c r="D80" i="48"/>
  <c r="D78" i="48"/>
  <c r="D77" i="48"/>
  <c r="D71" i="48"/>
  <c r="D69" i="48"/>
  <c r="D70" i="48"/>
  <c r="D68" i="48"/>
  <c r="D56" i="48"/>
  <c r="D47" i="48" l="1"/>
  <c r="C47" i="48"/>
  <c r="C41" i="48" l="1"/>
  <c r="D31" i="48"/>
  <c r="D29" i="48"/>
  <c r="C29" i="48"/>
  <c r="D10" i="48" l="1"/>
  <c r="C10" i="48"/>
  <c r="C23" i="48" l="1"/>
  <c r="C11" i="48"/>
  <c r="C19" i="48" l="1"/>
  <c r="D19" i="48" s="1"/>
  <c r="C14" i="50" l="1"/>
  <c r="E97" i="50"/>
  <c r="E61" i="50"/>
  <c r="C45" i="50"/>
  <c r="E41" i="50"/>
  <c r="E27" i="50"/>
  <c r="E14" i="50"/>
  <c r="E10" i="50"/>
  <c r="C91" i="50"/>
  <c r="C92" i="50" s="1"/>
  <c r="C87" i="50"/>
  <c r="C86" i="50"/>
  <c r="C81" i="50"/>
  <c r="C76" i="50"/>
  <c r="C98" i="50" s="1"/>
  <c r="C73" i="50"/>
  <c r="C68" i="50"/>
  <c r="C64" i="50"/>
  <c r="C61" i="50"/>
  <c r="C58" i="50"/>
  <c r="C65" i="50" s="1"/>
  <c r="C50" i="50"/>
  <c r="C55" i="50" s="1"/>
  <c r="C49" i="50"/>
  <c r="C47" i="50"/>
  <c r="C28" i="50"/>
  <c r="C26" i="50"/>
  <c r="C24" i="50"/>
  <c r="C20" i="50"/>
  <c r="C22" i="50" s="1"/>
  <c r="C17" i="50"/>
  <c r="C16" i="50"/>
  <c r="C9" i="50"/>
  <c r="C5" i="50"/>
  <c r="C30" i="50" l="1"/>
  <c r="C56" i="50"/>
  <c r="C18" i="50"/>
  <c r="C16" i="44"/>
  <c r="C69" i="50" l="1"/>
  <c r="C99" i="50" s="1"/>
  <c r="F6" i="31"/>
  <c r="D6" i="29" l="1"/>
  <c r="E16" i="29"/>
  <c r="F16" i="29" s="1"/>
  <c r="H16" i="29" s="1"/>
  <c r="E12" i="29"/>
  <c r="F12" i="29" s="1"/>
  <c r="F13" i="29"/>
  <c r="E9" i="30"/>
  <c r="F9" i="30" s="1"/>
  <c r="E8" i="30"/>
  <c r="F8" i="30" s="1"/>
  <c r="D6" i="30"/>
  <c r="G13" i="29" l="1"/>
  <c r="H13" i="29" s="1"/>
  <c r="F7" i="31"/>
  <c r="H12" i="29"/>
  <c r="G12" i="29"/>
  <c r="E20" i="30"/>
  <c r="F20" i="30" s="1"/>
  <c r="L144" i="22"/>
  <c r="L133" i="22"/>
  <c r="L119" i="22"/>
  <c r="L113" i="22"/>
  <c r="F144" i="22"/>
  <c r="F94" i="22"/>
  <c r="F72" i="22"/>
  <c r="F73" i="22"/>
  <c r="F77" i="22"/>
  <c r="F78" i="22"/>
  <c r="F40" i="22"/>
  <c r="C8" i="53" l="1"/>
  <c r="B8" i="53"/>
  <c r="J66" i="22" l="1"/>
  <c r="J60" i="22"/>
  <c r="J64" i="22"/>
  <c r="J122" i="22"/>
  <c r="H14" i="47" l="1"/>
  <c r="B10" i="47"/>
  <c r="B9" i="47"/>
  <c r="J108" i="22"/>
  <c r="J34" i="22"/>
  <c r="J87" i="22"/>
  <c r="J79" i="22"/>
  <c r="J73" i="22"/>
  <c r="J57" i="22"/>
  <c r="J56" i="22"/>
  <c r="J52" i="22"/>
  <c r="J38" i="22"/>
  <c r="D10" i="47"/>
  <c r="D9" i="47"/>
  <c r="D33" i="15"/>
  <c r="D34" i="15"/>
  <c r="D59" i="22"/>
  <c r="F91" i="33"/>
  <c r="F160" i="33"/>
  <c r="F142" i="33" l="1"/>
  <c r="F6" i="33"/>
  <c r="F24" i="33" s="1"/>
  <c r="F37" i="33"/>
  <c r="F38" i="33"/>
  <c r="F39" i="33"/>
  <c r="F40" i="33"/>
  <c r="F90" i="33"/>
  <c r="F93" i="33"/>
  <c r="F112" i="33"/>
  <c r="F137" i="33" s="1"/>
  <c r="F157" i="33" s="1"/>
  <c r="F145" i="33"/>
  <c r="F153" i="33"/>
  <c r="F155" i="33"/>
  <c r="F156" i="33"/>
  <c r="F34" i="33" l="1"/>
  <c r="F154" i="33" s="1"/>
  <c r="F31" i="33"/>
  <c r="F152" i="33" s="1"/>
  <c r="F158" i="33" s="1"/>
  <c r="F100" i="33" l="1"/>
  <c r="F147" i="33" s="1"/>
  <c r="F159" i="33" s="1"/>
  <c r="F136" i="22"/>
  <c r="F123" i="22"/>
  <c r="F111" i="22"/>
  <c r="F112" i="22"/>
  <c r="F113" i="22"/>
  <c r="F114" i="22"/>
  <c r="D60" i="15" l="1"/>
  <c r="D10" i="15"/>
  <c r="J33" i="22"/>
  <c r="J125" i="22" l="1"/>
  <c r="J116" i="22"/>
  <c r="J117" i="22"/>
  <c r="J118" i="22"/>
  <c r="J111" i="22"/>
  <c r="F47" i="22"/>
  <c r="D41" i="22"/>
  <c r="D34" i="22"/>
  <c r="D31" i="22"/>
  <c r="J106" i="22"/>
  <c r="J130" i="22"/>
  <c r="J112" i="22"/>
  <c r="J110" i="22"/>
  <c r="L33" i="22"/>
  <c r="J115" i="22" l="1"/>
  <c r="J131" i="22"/>
  <c r="J107" i="22"/>
  <c r="L21" i="22"/>
  <c r="D110" i="22" l="1"/>
  <c r="E110" i="22"/>
  <c r="D67" i="15"/>
  <c r="D70" i="28" s="1"/>
  <c r="E67" i="15"/>
  <c r="E33" i="15"/>
  <c r="B20" i="52"/>
  <c r="E70" i="28" l="1"/>
  <c r="F70" i="28" s="1"/>
  <c r="F67" i="15"/>
  <c r="K128" i="22"/>
  <c r="K124" i="22" s="1"/>
  <c r="K115" i="22"/>
  <c r="K112" i="22"/>
  <c r="K107" i="22" s="1"/>
  <c r="K46" i="22"/>
  <c r="K37" i="22"/>
  <c r="K34" i="22"/>
  <c r="E62" i="22"/>
  <c r="E63" i="22"/>
  <c r="E61" i="22"/>
  <c r="E45" i="22"/>
  <c r="E41" i="22" s="1"/>
  <c r="E31" i="22"/>
  <c r="D105" i="22"/>
  <c r="E106" i="22"/>
  <c r="E105" i="22" s="1"/>
  <c r="F10" i="22"/>
  <c r="E26" i="30"/>
  <c r="F26" i="30" s="1"/>
  <c r="E32" i="16"/>
  <c r="L86" i="23"/>
  <c r="L22" i="23"/>
  <c r="E108" i="23"/>
  <c r="E33" i="30"/>
  <c r="F33" i="30" s="1"/>
  <c r="K62" i="25" l="1"/>
  <c r="J33" i="25"/>
  <c r="J18" i="25"/>
  <c r="X5" i="26" l="1"/>
  <c r="X6" i="26"/>
  <c r="X21" i="26"/>
  <c r="X76" i="26"/>
  <c r="X102" i="26"/>
  <c r="AA5" i="26"/>
  <c r="AB5" i="26"/>
  <c r="AA6" i="26"/>
  <c r="AB6" i="26"/>
  <c r="AA7" i="26"/>
  <c r="AB7" i="26"/>
  <c r="AA8" i="26"/>
  <c r="AB8" i="26"/>
  <c r="AA9" i="26"/>
  <c r="AB9" i="26"/>
  <c r="AA10" i="26"/>
  <c r="AB10" i="26"/>
  <c r="AA11" i="26"/>
  <c r="AB11" i="26"/>
  <c r="AA12" i="26"/>
  <c r="AB12" i="26"/>
  <c r="AA13" i="26"/>
  <c r="AB13" i="26"/>
  <c r="AA14" i="26"/>
  <c r="AB14" i="26"/>
  <c r="AA15" i="26"/>
  <c r="AB15" i="26"/>
  <c r="AA16" i="26"/>
  <c r="AB16" i="26"/>
  <c r="AA17" i="26"/>
  <c r="AB17" i="26"/>
  <c r="AA18" i="26"/>
  <c r="AB18" i="26"/>
  <c r="AA19" i="26"/>
  <c r="AB19" i="26"/>
  <c r="AA20" i="26"/>
  <c r="AB20" i="26"/>
  <c r="AA21" i="26"/>
  <c r="AB21" i="26"/>
  <c r="AA22" i="26"/>
  <c r="AB22" i="26"/>
  <c r="AA24" i="26"/>
  <c r="AB24" i="26"/>
  <c r="AA26" i="26"/>
  <c r="AB26" i="26"/>
  <c r="AA28" i="26"/>
  <c r="AB28" i="26"/>
  <c r="AB29" i="26"/>
  <c r="AA30" i="26"/>
  <c r="AA31" i="26"/>
  <c r="AA32" i="26"/>
  <c r="AA33" i="26"/>
  <c r="AB33" i="26"/>
  <c r="AA34" i="26"/>
  <c r="AB34" i="26"/>
  <c r="AA35" i="26"/>
  <c r="AB35" i="26"/>
  <c r="AA36" i="26"/>
  <c r="AB36" i="26"/>
  <c r="AA37" i="26"/>
  <c r="AB37" i="26"/>
  <c r="AA38" i="26"/>
  <c r="AB38" i="26"/>
  <c r="AA39" i="26"/>
  <c r="AB39" i="26"/>
  <c r="AA40" i="26"/>
  <c r="AB40" i="26"/>
  <c r="AA41" i="26"/>
  <c r="AB41" i="26"/>
  <c r="AA42" i="26"/>
  <c r="AB42" i="26"/>
  <c r="AA44" i="26"/>
  <c r="AB44" i="26"/>
  <c r="AA45" i="26"/>
  <c r="AB45" i="26"/>
  <c r="AA46" i="26"/>
  <c r="AB46" i="26"/>
  <c r="AA47" i="26"/>
  <c r="AB47" i="26"/>
  <c r="AA48" i="26"/>
  <c r="AB48" i="26"/>
  <c r="AA49" i="26"/>
  <c r="AB49" i="26"/>
  <c r="AA50" i="26"/>
  <c r="AB50" i="26"/>
  <c r="AA51" i="26"/>
  <c r="AB51" i="26"/>
  <c r="AA52" i="26"/>
  <c r="AB52" i="26"/>
  <c r="AA54" i="26"/>
  <c r="AB54" i="26"/>
  <c r="AA55" i="26"/>
  <c r="AB55" i="26"/>
  <c r="AA56" i="26"/>
  <c r="AB56" i="26"/>
  <c r="AA57" i="26"/>
  <c r="AB57" i="26"/>
  <c r="AA58" i="26"/>
  <c r="AB58" i="26"/>
  <c r="AA59" i="26"/>
  <c r="AB59" i="26"/>
  <c r="AA60" i="26"/>
  <c r="AB60" i="26"/>
  <c r="AA61" i="26"/>
  <c r="AB61" i="26"/>
  <c r="AA62" i="26"/>
  <c r="AB62" i="26"/>
  <c r="AA63" i="26"/>
  <c r="AB63" i="26"/>
  <c r="AA64" i="26"/>
  <c r="AB64" i="26"/>
  <c r="AA65" i="26"/>
  <c r="AB65" i="26"/>
  <c r="AA66" i="26"/>
  <c r="AB66" i="26"/>
  <c r="AA67" i="26"/>
  <c r="AB67" i="26"/>
  <c r="AA68" i="26"/>
  <c r="AB68" i="26"/>
  <c r="AA69" i="26"/>
  <c r="AB69" i="26"/>
  <c r="AA70" i="26"/>
  <c r="AB70" i="26"/>
  <c r="AA71" i="26"/>
  <c r="AB71" i="26"/>
  <c r="AA72" i="26"/>
  <c r="AB72" i="26"/>
  <c r="AA73" i="26"/>
  <c r="AB73" i="26"/>
  <c r="AA74" i="26"/>
  <c r="AB74" i="26"/>
  <c r="AA75" i="26"/>
  <c r="AB75" i="26"/>
  <c r="AA76" i="26"/>
  <c r="AB76" i="26"/>
  <c r="AA78" i="26"/>
  <c r="AB78" i="26"/>
  <c r="AA79" i="26"/>
  <c r="AB79" i="26"/>
  <c r="AA80" i="26"/>
  <c r="AB80" i="26"/>
  <c r="AA81" i="26"/>
  <c r="AB81" i="26"/>
  <c r="AA82" i="26"/>
  <c r="AB82" i="26"/>
  <c r="AA83" i="26"/>
  <c r="AB83" i="26"/>
  <c r="AA84" i="26"/>
  <c r="AB84" i="26"/>
  <c r="AA85" i="26"/>
  <c r="AB85" i="26"/>
  <c r="AA86" i="26"/>
  <c r="AB86" i="26"/>
  <c r="AA87" i="26"/>
  <c r="AB87" i="26"/>
  <c r="AA88" i="26"/>
  <c r="AB88" i="26"/>
  <c r="AA89" i="26"/>
  <c r="AB89" i="26"/>
  <c r="AA90" i="26"/>
  <c r="AB90" i="26"/>
  <c r="AA91" i="26"/>
  <c r="AB91" i="26"/>
  <c r="AA92" i="26"/>
  <c r="AB92" i="26"/>
  <c r="AA93" i="26"/>
  <c r="AB93" i="26"/>
  <c r="AA94" i="26"/>
  <c r="AB94" i="26"/>
  <c r="AA95" i="26"/>
  <c r="AB95" i="26"/>
  <c r="AA96" i="26"/>
  <c r="AB96" i="26"/>
  <c r="AA97" i="26"/>
  <c r="AB97" i="26"/>
  <c r="AA100" i="26"/>
  <c r="AB100" i="26"/>
  <c r="AA101" i="26"/>
  <c r="AB101" i="26"/>
  <c r="AA102" i="26"/>
  <c r="AB102" i="26"/>
  <c r="AA103" i="26"/>
  <c r="AB103" i="26"/>
  <c r="AA104" i="26"/>
  <c r="AB104" i="26"/>
  <c r="AA106" i="26"/>
  <c r="AB106" i="26"/>
  <c r="AA107" i="26"/>
  <c r="AB107" i="26"/>
  <c r="AA108" i="26"/>
  <c r="AB108" i="26"/>
  <c r="AA109" i="26"/>
  <c r="AB109" i="26"/>
  <c r="AA110" i="26"/>
  <c r="AB110" i="26"/>
  <c r="AA112" i="26"/>
  <c r="AB112" i="26"/>
  <c r="AA113" i="26"/>
  <c r="AB113" i="26"/>
  <c r="AA114" i="26"/>
  <c r="AB114" i="26"/>
  <c r="AA116" i="26"/>
  <c r="AB116" i="26"/>
  <c r="AA117" i="26"/>
  <c r="AB117" i="26"/>
  <c r="AA118" i="26"/>
  <c r="AB118" i="26"/>
  <c r="AA120" i="26"/>
  <c r="AB120" i="26"/>
  <c r="AA121" i="26"/>
  <c r="AB121" i="26"/>
  <c r="AA123" i="26"/>
  <c r="AB123" i="26"/>
  <c r="AA124" i="26"/>
  <c r="AB124" i="26"/>
  <c r="AA126" i="26"/>
  <c r="AB126" i="26"/>
  <c r="AA127" i="26"/>
  <c r="AB127" i="26"/>
  <c r="AA128" i="26"/>
  <c r="AB128" i="26"/>
  <c r="AA129" i="26"/>
  <c r="AB129" i="26"/>
  <c r="AA131" i="26"/>
  <c r="AB131" i="26"/>
  <c r="AA132" i="26"/>
  <c r="AB132" i="26"/>
  <c r="AA134" i="26"/>
  <c r="AB134" i="26"/>
  <c r="AB135" i="26"/>
  <c r="Y108" i="26"/>
  <c r="Z108" i="26"/>
  <c r="Y109" i="26"/>
  <c r="Z109" i="26"/>
  <c r="Y110" i="26"/>
  <c r="Z110" i="26"/>
  <c r="Y111" i="26"/>
  <c r="Z111" i="26"/>
  <c r="Y113" i="26"/>
  <c r="Z113" i="26"/>
  <c r="Y114" i="26"/>
  <c r="Z114" i="26"/>
  <c r="Y116" i="26"/>
  <c r="Z116" i="26"/>
  <c r="Y117" i="26"/>
  <c r="Z117" i="26"/>
  <c r="Y118" i="26"/>
  <c r="Z118" i="26"/>
  <c r="Y120" i="26"/>
  <c r="Z120" i="26"/>
  <c r="Y121" i="26"/>
  <c r="Z121" i="26"/>
  <c r="Y123" i="26"/>
  <c r="Z123" i="26"/>
  <c r="Y125" i="26"/>
  <c r="Z125" i="26"/>
  <c r="Y126" i="26"/>
  <c r="Z126" i="26"/>
  <c r="Y127" i="26"/>
  <c r="Z127" i="26"/>
  <c r="Y128" i="26"/>
  <c r="Z128" i="26"/>
  <c r="Y129" i="26"/>
  <c r="Z129" i="26"/>
  <c r="Y131" i="26"/>
  <c r="Z131" i="26"/>
  <c r="Y132" i="26"/>
  <c r="Z132" i="26"/>
  <c r="Y134" i="26"/>
  <c r="Z134" i="26"/>
  <c r="Y136" i="26"/>
  <c r="Z136" i="26"/>
  <c r="Y106" i="26"/>
  <c r="Y105" i="26"/>
  <c r="Y104" i="26"/>
  <c r="Y102" i="26"/>
  <c r="Y101" i="26"/>
  <c r="Y100" i="26"/>
  <c r="Y97" i="26"/>
  <c r="Y96" i="26"/>
  <c r="Y95" i="26"/>
  <c r="Y94" i="26"/>
  <c r="Y93" i="26"/>
  <c r="Y92" i="26"/>
  <c r="Y90" i="26"/>
  <c r="Y89" i="26"/>
  <c r="Y88" i="26"/>
  <c r="Y87" i="26"/>
  <c r="Y86" i="26"/>
  <c r="Y85" i="26"/>
  <c r="Y82" i="26"/>
  <c r="Y81" i="26"/>
  <c r="Y80" i="26"/>
  <c r="Y79" i="26"/>
  <c r="Y78" i="26"/>
  <c r="Y76" i="26"/>
  <c r="Y73" i="26"/>
  <c r="Y72" i="26"/>
  <c r="Y71" i="26"/>
  <c r="Y70" i="26"/>
  <c r="Y69" i="26"/>
  <c r="Y68" i="26"/>
  <c r="Y63" i="26"/>
  <c r="Y61" i="26"/>
  <c r="Y60" i="26"/>
  <c r="Y59" i="26"/>
  <c r="Y57" i="26"/>
  <c r="Y54" i="26"/>
  <c r="Y52" i="26"/>
  <c r="Y46" i="26"/>
  <c r="Y43" i="26"/>
  <c r="Y42" i="26"/>
  <c r="Y41" i="26"/>
  <c r="Y40" i="26"/>
  <c r="Y36" i="26"/>
  <c r="Y35" i="26"/>
  <c r="Y34" i="26"/>
  <c r="Y31" i="26"/>
  <c r="Y30" i="26"/>
  <c r="Y29" i="26"/>
  <c r="Y27" i="26"/>
  <c r="Y26" i="26"/>
  <c r="Y25" i="26"/>
  <c r="Y22" i="26"/>
  <c r="Y21" i="26"/>
  <c r="Y20" i="26"/>
  <c r="Y19" i="26"/>
  <c r="Y16" i="26"/>
  <c r="Y15" i="26"/>
  <c r="Y14" i="26"/>
  <c r="Y12" i="26"/>
  <c r="Y11" i="26"/>
  <c r="Y10" i="26"/>
  <c r="Y9" i="26"/>
  <c r="Y8" i="26"/>
  <c r="Y7" i="26"/>
  <c r="Y6" i="26"/>
  <c r="Y5" i="26"/>
  <c r="Y4" i="26"/>
  <c r="W106" i="26"/>
  <c r="W53" i="26"/>
  <c r="W35" i="26"/>
  <c r="W36" i="26"/>
  <c r="W13" i="26" l="1"/>
  <c r="K106" i="26" l="1"/>
  <c r="K66" i="26"/>
  <c r="J51" i="26"/>
  <c r="Y51" i="26" s="1"/>
  <c r="J49" i="26"/>
  <c r="Y49" i="26" s="1"/>
  <c r="J50" i="26"/>
  <c r="Y50" i="26" s="1"/>
  <c r="K28" i="26"/>
  <c r="L20" i="26" l="1"/>
  <c r="L21" i="26"/>
  <c r="L26" i="26"/>
  <c r="L24" i="26" s="1"/>
  <c r="E31" i="26"/>
  <c r="AB31" i="26" s="1"/>
  <c r="E30" i="26"/>
  <c r="AB30" i="26" s="1"/>
  <c r="E32" i="26"/>
  <c r="AB32" i="26" s="1"/>
  <c r="F51" i="30" l="1"/>
  <c r="K46" i="27" l="1"/>
  <c r="L45" i="27"/>
  <c r="L20" i="27"/>
  <c r="L19" i="27"/>
  <c r="L18" i="27"/>
  <c r="E108" i="27"/>
  <c r="D56" i="30"/>
  <c r="E60" i="30"/>
  <c r="F60" i="30" s="1"/>
  <c r="E34" i="42" l="1"/>
  <c r="H23" i="52"/>
  <c r="H22" i="52"/>
  <c r="G17" i="52"/>
  <c r="F17" i="52"/>
  <c r="E17" i="52"/>
  <c r="D17" i="52"/>
  <c r="C17" i="52"/>
  <c r="B17" i="52"/>
  <c r="H16" i="52"/>
  <c r="H15" i="52"/>
  <c r="G14" i="52"/>
  <c r="G18" i="52" s="1"/>
  <c r="F14" i="52"/>
  <c r="F18" i="52" s="1"/>
  <c r="E14" i="52"/>
  <c r="E18" i="52" s="1"/>
  <c r="D14" i="52"/>
  <c r="D18" i="52" s="1"/>
  <c r="C14" i="52"/>
  <c r="B14" i="52"/>
  <c r="B18" i="52" s="1"/>
  <c r="H13" i="52"/>
  <c r="H12" i="52"/>
  <c r="G10" i="52"/>
  <c r="F10" i="52"/>
  <c r="E10" i="52"/>
  <c r="D10" i="52"/>
  <c r="C10" i="52"/>
  <c r="B10" i="52"/>
  <c r="H9" i="52"/>
  <c r="H8" i="52"/>
  <c r="G7" i="52"/>
  <c r="G11" i="52" s="1"/>
  <c r="G19" i="52" s="1"/>
  <c r="F7" i="52"/>
  <c r="F11" i="52" s="1"/>
  <c r="F19" i="52" s="1"/>
  <c r="E7" i="52"/>
  <c r="E11" i="52" s="1"/>
  <c r="E19" i="52" s="1"/>
  <c r="D7" i="52"/>
  <c r="D11" i="52" s="1"/>
  <c r="D19" i="52" s="1"/>
  <c r="C7" i="52"/>
  <c r="C11" i="52" s="1"/>
  <c r="B7" i="52"/>
  <c r="H6" i="52"/>
  <c r="H5" i="52"/>
  <c r="C37" i="51"/>
  <c r="C32" i="51"/>
  <c r="C24" i="51"/>
  <c r="C20" i="51"/>
  <c r="C15" i="51"/>
  <c r="C10" i="51"/>
  <c r="C7" i="51"/>
  <c r="D98" i="50"/>
  <c r="E91" i="50"/>
  <c r="E87" i="50"/>
  <c r="E86" i="50"/>
  <c r="E81" i="50"/>
  <c r="D76" i="50"/>
  <c r="E73" i="50"/>
  <c r="E68" i="50"/>
  <c r="E64" i="50"/>
  <c r="E58" i="50"/>
  <c r="E50" i="50"/>
  <c r="E55" i="50" s="1"/>
  <c r="E49" i="50"/>
  <c r="E47" i="50"/>
  <c r="E45" i="50"/>
  <c r="E28" i="50"/>
  <c r="E26" i="50"/>
  <c r="E24" i="50"/>
  <c r="E20" i="50"/>
  <c r="E22" i="50" s="1"/>
  <c r="E17" i="50"/>
  <c r="D17" i="50"/>
  <c r="D18" i="50" s="1"/>
  <c r="D69" i="50" s="1"/>
  <c r="E16" i="50"/>
  <c r="E9" i="50"/>
  <c r="D9" i="50"/>
  <c r="E5" i="50"/>
  <c r="D49" i="49"/>
  <c r="C49" i="49"/>
  <c r="D45" i="49"/>
  <c r="D55" i="49" s="1"/>
  <c r="C45" i="49"/>
  <c r="C55" i="49" s="1"/>
  <c r="D37" i="49"/>
  <c r="C37" i="49"/>
  <c r="C20" i="49"/>
  <c r="C14" i="49"/>
  <c r="C11" i="49"/>
  <c r="C7" i="49"/>
  <c r="D94" i="48"/>
  <c r="D84" i="48"/>
  <c r="D65" i="48"/>
  <c r="D64" i="48"/>
  <c r="D62" i="48"/>
  <c r="C61" i="48"/>
  <c r="D61" i="48"/>
  <c r="D52" i="48"/>
  <c r="C48" i="48"/>
  <c r="C52" i="48" s="1"/>
  <c r="C43" i="48"/>
  <c r="D42" i="48"/>
  <c r="D41" i="48"/>
  <c r="D40" i="48"/>
  <c r="D39" i="48"/>
  <c r="C38" i="48"/>
  <c r="D37" i="48"/>
  <c r="D36" i="48"/>
  <c r="D30" i="48"/>
  <c r="C30" i="48"/>
  <c r="D28" i="48"/>
  <c r="D26" i="48" s="1"/>
  <c r="D33" i="48" s="1"/>
  <c r="C28" i="48"/>
  <c r="C26" i="48" s="1"/>
  <c r="D23" i="48"/>
  <c r="D20" i="48" s="1"/>
  <c r="C20" i="48"/>
  <c r="D17" i="48"/>
  <c r="C17" i="48"/>
  <c r="D15" i="48"/>
  <c r="D13" i="48" s="1"/>
  <c r="C13" i="48"/>
  <c r="D11" i="48"/>
  <c r="D9" i="48" s="1"/>
  <c r="C9" i="48"/>
  <c r="D7" i="48"/>
  <c r="C7" i="48"/>
  <c r="H13" i="47"/>
  <c r="G11" i="47"/>
  <c r="F11" i="47"/>
  <c r="E11" i="47"/>
  <c r="D11" i="47"/>
  <c r="C11" i="47"/>
  <c r="H10" i="47"/>
  <c r="H9" i="47"/>
  <c r="H8" i="47"/>
  <c r="H7" i="47"/>
  <c r="H6" i="47"/>
  <c r="E8" i="46"/>
  <c r="D8" i="46"/>
  <c r="C8" i="46"/>
  <c r="F7" i="46"/>
  <c r="F6" i="46"/>
  <c r="F5" i="46"/>
  <c r="C8" i="44"/>
  <c r="C18" i="44" s="1"/>
  <c r="A7" i="44"/>
  <c r="A8" i="44" s="1"/>
  <c r="A16" i="44" s="1"/>
  <c r="A17" i="44" s="1"/>
  <c r="F8" i="46" l="1"/>
  <c r="D96" i="48"/>
  <c r="E21" i="52"/>
  <c r="E20" i="52"/>
  <c r="D20" i="52"/>
  <c r="D21" i="52" s="1"/>
  <c r="F21" i="52"/>
  <c r="F20" i="52"/>
  <c r="H17" i="52"/>
  <c r="D16" i="48"/>
  <c r="G21" i="52"/>
  <c r="G20" i="52"/>
  <c r="H14" i="52"/>
  <c r="C10" i="49"/>
  <c r="C23" i="49"/>
  <c r="C8" i="48"/>
  <c r="C16" i="48"/>
  <c r="C63" i="48"/>
  <c r="D63" i="48"/>
  <c r="D43" i="48"/>
  <c r="D38" i="48"/>
  <c r="C33" i="48"/>
  <c r="D8" i="48"/>
  <c r="D25" i="48" s="1"/>
  <c r="D35" i="48" s="1"/>
  <c r="E92" i="50"/>
  <c r="E65" i="50"/>
  <c r="E56" i="50"/>
  <c r="E30" i="50"/>
  <c r="E18" i="50"/>
  <c r="C38" i="51"/>
  <c r="C27" i="51"/>
  <c r="B11" i="52"/>
  <c r="H10" i="52"/>
  <c r="H11" i="52"/>
  <c r="B19" i="52"/>
  <c r="H7" i="52"/>
  <c r="C18" i="52"/>
  <c r="H18" i="52" s="1"/>
  <c r="B11" i="47"/>
  <c r="C19" i="52" l="1"/>
  <c r="C25" i="48"/>
  <c r="C35" i="48" s="1"/>
  <c r="C66" i="48" s="1"/>
  <c r="D66" i="48"/>
  <c r="E69" i="50"/>
  <c r="C39" i="51"/>
  <c r="E75" i="50" s="1"/>
  <c r="B21" i="52"/>
  <c r="H19" i="52"/>
  <c r="H11" i="47"/>
  <c r="D73" i="48" l="1"/>
  <c r="D74" i="48" s="1"/>
  <c r="D99" i="48" s="1"/>
  <c r="D101" i="48" s="1"/>
  <c r="E76" i="50"/>
  <c r="E98" i="50" s="1"/>
  <c r="E99" i="50" s="1"/>
  <c r="C21" i="52"/>
  <c r="H21" i="52" s="1"/>
  <c r="C20" i="52"/>
  <c r="H20" i="52" s="1"/>
  <c r="W83" i="26"/>
  <c r="Z53" i="26"/>
  <c r="E26" i="25" l="1"/>
  <c r="L137" i="22" l="1"/>
  <c r="E75" i="22" l="1"/>
  <c r="E33" i="27"/>
  <c r="E27" i="18"/>
  <c r="E27" i="26"/>
  <c r="D10" i="28"/>
  <c r="K84" i="28"/>
  <c r="J83" i="28"/>
  <c r="J82" i="28"/>
  <c r="J84" i="28" s="1"/>
  <c r="J80" i="28"/>
  <c r="J79" i="28"/>
  <c r="K68" i="28"/>
  <c r="J68" i="28"/>
  <c r="E84" i="28"/>
  <c r="D84" i="28"/>
  <c r="E81" i="28"/>
  <c r="D81" i="28"/>
  <c r="E68" i="28"/>
  <c r="D68" i="28"/>
  <c r="E50" i="28"/>
  <c r="D50" i="28"/>
  <c r="E49" i="28"/>
  <c r="D49" i="28"/>
  <c r="E48" i="28"/>
  <c r="D48" i="28"/>
  <c r="K37" i="15"/>
  <c r="K37" i="28" s="1"/>
  <c r="J37" i="15"/>
  <c r="J37" i="28" s="1"/>
  <c r="E60" i="15"/>
  <c r="E26" i="15"/>
  <c r="D9" i="15"/>
  <c r="D9" i="28" s="1"/>
  <c r="E50" i="15"/>
  <c r="D50" i="15"/>
  <c r="D51" i="28" s="1"/>
  <c r="E10" i="15"/>
  <c r="E9" i="15"/>
  <c r="E9" i="28" s="1"/>
  <c r="F65" i="15"/>
  <c r="F53" i="15"/>
  <c r="F54" i="28" s="1"/>
  <c r="F39" i="15"/>
  <c r="F39" i="28" s="1"/>
  <c r="F36" i="28" s="1"/>
  <c r="E83" i="15"/>
  <c r="D83" i="15"/>
  <c r="E82" i="15"/>
  <c r="D82" i="15"/>
  <c r="E81" i="15"/>
  <c r="D81" i="15"/>
  <c r="E78" i="15"/>
  <c r="E84" i="15" s="1"/>
  <c r="D78" i="15"/>
  <c r="E72" i="15"/>
  <c r="E75" i="28" s="1"/>
  <c r="D72" i="15"/>
  <c r="D75" i="28" s="1"/>
  <c r="E70" i="15"/>
  <c r="D70" i="15"/>
  <c r="D73" i="28" s="1"/>
  <c r="E69" i="15"/>
  <c r="D69" i="15"/>
  <c r="E66" i="15"/>
  <c r="D66" i="15"/>
  <c r="E65" i="15"/>
  <c r="D65" i="15"/>
  <c r="E57" i="15"/>
  <c r="D57" i="15"/>
  <c r="E55" i="15"/>
  <c r="E56" i="28" s="1"/>
  <c r="D55" i="15"/>
  <c r="D56" i="28" s="1"/>
  <c r="E53" i="15"/>
  <c r="D53" i="15"/>
  <c r="D54" i="28" s="1"/>
  <c r="E46" i="15"/>
  <c r="E45" i="15" s="1"/>
  <c r="D46" i="15"/>
  <c r="D47" i="28" s="1"/>
  <c r="E39" i="15"/>
  <c r="E39" i="28" s="1"/>
  <c r="D39" i="15"/>
  <c r="D39" i="28" s="1"/>
  <c r="E34" i="15"/>
  <c r="E34" i="28" s="1"/>
  <c r="D34" i="28"/>
  <c r="E32" i="15"/>
  <c r="D32" i="15"/>
  <c r="E31" i="15"/>
  <c r="D31" i="15"/>
  <c r="E30" i="15"/>
  <c r="D30" i="15"/>
  <c r="E29" i="15"/>
  <c r="E29" i="28" s="1"/>
  <c r="D29" i="15"/>
  <c r="D29" i="28" s="1"/>
  <c r="E28" i="15"/>
  <c r="D28" i="15"/>
  <c r="D22" i="15"/>
  <c r="D22" i="28" s="1"/>
  <c r="E21" i="15"/>
  <c r="D21" i="15"/>
  <c r="E8" i="15"/>
  <c r="D8" i="15"/>
  <c r="E7" i="15"/>
  <c r="D7" i="15"/>
  <c r="E6" i="15"/>
  <c r="E6" i="28" s="1"/>
  <c r="D6" i="15"/>
  <c r="D6" i="28" s="1"/>
  <c r="E5" i="15"/>
  <c r="D5" i="15"/>
  <c r="K81" i="15"/>
  <c r="J81" i="15"/>
  <c r="K75" i="15"/>
  <c r="K78" i="15" s="1"/>
  <c r="J75" i="15"/>
  <c r="J78" i="15" s="1"/>
  <c r="K69" i="15"/>
  <c r="J69" i="15"/>
  <c r="J72" i="28" s="1"/>
  <c r="L33" i="34" s="1"/>
  <c r="K67" i="15"/>
  <c r="J67" i="15"/>
  <c r="J70" i="28" s="1"/>
  <c r="K66" i="15"/>
  <c r="K69" i="28" s="1"/>
  <c r="J66" i="15"/>
  <c r="J69" i="28" s="1"/>
  <c r="K65" i="15"/>
  <c r="J65" i="15"/>
  <c r="K57" i="15"/>
  <c r="J57" i="15"/>
  <c r="K56" i="15"/>
  <c r="J56" i="15"/>
  <c r="K55" i="15"/>
  <c r="J55" i="15"/>
  <c r="K52" i="15"/>
  <c r="J52" i="15"/>
  <c r="K51" i="15"/>
  <c r="K52" i="28" s="1"/>
  <c r="J51" i="15"/>
  <c r="J52" i="28" s="1"/>
  <c r="K50" i="15"/>
  <c r="J50" i="15"/>
  <c r="K49" i="15"/>
  <c r="K48" i="15"/>
  <c r="J48" i="15"/>
  <c r="K46" i="15"/>
  <c r="J46" i="15"/>
  <c r="K42" i="15"/>
  <c r="J42" i="15"/>
  <c r="J42" i="28" s="1"/>
  <c r="L15" i="34" s="1"/>
  <c r="K31" i="15"/>
  <c r="J31" i="15"/>
  <c r="J31" i="28" s="1"/>
  <c r="K30" i="15"/>
  <c r="K30" i="28" s="1"/>
  <c r="J30" i="15"/>
  <c r="J30" i="28" s="1"/>
  <c r="K29" i="15"/>
  <c r="K29" i="28" s="1"/>
  <c r="J29" i="15"/>
  <c r="J29" i="28" s="1"/>
  <c r="K28" i="15"/>
  <c r="K28" i="28" s="1"/>
  <c r="J28" i="15"/>
  <c r="J28" i="28" s="1"/>
  <c r="K27" i="15"/>
  <c r="K27" i="28" s="1"/>
  <c r="J27" i="15"/>
  <c r="J27" i="28" s="1"/>
  <c r="K26" i="15"/>
  <c r="K26" i="28" s="1"/>
  <c r="J26" i="15"/>
  <c r="L146" i="22"/>
  <c r="L143" i="22"/>
  <c r="L134" i="22"/>
  <c r="L131" i="22"/>
  <c r="L128" i="22"/>
  <c r="L127" i="22"/>
  <c r="L125" i="22"/>
  <c r="L122" i="22"/>
  <c r="L112" i="22"/>
  <c r="L111" i="22"/>
  <c r="L109" i="22"/>
  <c r="L108" i="22"/>
  <c r="L106" i="22"/>
  <c r="L101" i="22"/>
  <c r="L100" i="22"/>
  <c r="L96" i="22"/>
  <c r="L95" i="22"/>
  <c r="L93" i="22"/>
  <c r="L92" i="22"/>
  <c r="L89" i="22"/>
  <c r="L87" i="22"/>
  <c r="L82" i="22"/>
  <c r="L79" i="22"/>
  <c r="L78" i="22"/>
  <c r="L75" i="22"/>
  <c r="L74" i="22"/>
  <c r="L73" i="22"/>
  <c r="L70" i="22"/>
  <c r="L69" i="22"/>
  <c r="L66" i="22"/>
  <c r="L65" i="22"/>
  <c r="L64" i="22"/>
  <c r="L63" i="22"/>
  <c r="L62" i="22"/>
  <c r="L61" i="22"/>
  <c r="L60" i="22"/>
  <c r="L59" i="22"/>
  <c r="L57" i="22"/>
  <c r="L56" i="22"/>
  <c r="L55" i="22"/>
  <c r="L54" i="22"/>
  <c r="L52" i="22"/>
  <c r="L51" i="22"/>
  <c r="L50" i="22"/>
  <c r="L47" i="22"/>
  <c r="L44" i="22"/>
  <c r="L43" i="22"/>
  <c r="L42" i="22"/>
  <c r="L41" i="22"/>
  <c r="L40" i="22"/>
  <c r="L39" i="22"/>
  <c r="L38" i="22"/>
  <c r="L34" i="22"/>
  <c r="L32" i="22"/>
  <c r="L30" i="22"/>
  <c r="L26" i="22"/>
  <c r="L20" i="22"/>
  <c r="L19" i="22"/>
  <c r="L18" i="22"/>
  <c r="L15" i="22"/>
  <c r="L14" i="22"/>
  <c r="L13" i="22"/>
  <c r="L11" i="22"/>
  <c r="L8" i="22"/>
  <c r="L4" i="22"/>
  <c r="F159" i="22"/>
  <c r="F146" i="22"/>
  <c r="F147" i="22"/>
  <c r="F143" i="22"/>
  <c r="F110" i="22"/>
  <c r="F106" i="22"/>
  <c r="F70" i="22"/>
  <c r="F66" i="22"/>
  <c r="F65" i="22"/>
  <c r="F63" i="22"/>
  <c r="F62" i="22"/>
  <c r="F61" i="22"/>
  <c r="F60" i="22"/>
  <c r="F46" i="22"/>
  <c r="F45" i="22"/>
  <c r="F44" i="22"/>
  <c r="F36" i="22"/>
  <c r="F32" i="22"/>
  <c r="F31" i="22"/>
  <c r="F28" i="22"/>
  <c r="F27" i="22"/>
  <c r="F25" i="22"/>
  <c r="F20" i="22"/>
  <c r="F17" i="22"/>
  <c r="F5" i="22"/>
  <c r="F7" i="22"/>
  <c r="F8" i="22"/>
  <c r="F9" i="22"/>
  <c r="K145" i="22"/>
  <c r="K98" i="22"/>
  <c r="K28" i="22"/>
  <c r="K17" i="22"/>
  <c r="K7" i="15" s="1"/>
  <c r="E145" i="22"/>
  <c r="D4" i="22"/>
  <c r="E4" i="22"/>
  <c r="C4" i="22"/>
  <c r="D4" i="15" l="1"/>
  <c r="E36" i="28"/>
  <c r="F13" i="34"/>
  <c r="E73" i="28"/>
  <c r="F73" i="28" s="1"/>
  <c r="F70" i="15"/>
  <c r="L56" i="15"/>
  <c r="K70" i="28"/>
  <c r="L67" i="15"/>
  <c r="E61" i="28"/>
  <c r="E58" i="28" s="1"/>
  <c r="F25" i="34" s="1"/>
  <c r="F60" i="15"/>
  <c r="F57" i="15" s="1"/>
  <c r="E10" i="28"/>
  <c r="F10" i="28" s="1"/>
  <c r="F10" i="15"/>
  <c r="F69" i="15"/>
  <c r="E68" i="15"/>
  <c r="E69" i="28"/>
  <c r="E71" i="28" s="1"/>
  <c r="K72" i="28"/>
  <c r="M33" i="34" s="1"/>
  <c r="L69" i="15"/>
  <c r="D36" i="28"/>
  <c r="E13" i="34"/>
  <c r="D68" i="15"/>
  <c r="D73" i="15" s="1"/>
  <c r="D69" i="28"/>
  <c r="D71" i="28" s="1"/>
  <c r="E35" i="15"/>
  <c r="E51" i="15"/>
  <c r="E44" i="15" s="1"/>
  <c r="K41" i="15"/>
  <c r="K41" i="28" s="1"/>
  <c r="L31" i="15"/>
  <c r="L46" i="15"/>
  <c r="L52" i="15"/>
  <c r="L57" i="15"/>
  <c r="F28" i="15"/>
  <c r="F82" i="15"/>
  <c r="J71" i="28"/>
  <c r="L35" i="34" s="1"/>
  <c r="L36" i="34" s="1"/>
  <c r="F33" i="15"/>
  <c r="F50" i="15"/>
  <c r="L37" i="28"/>
  <c r="K71" i="28"/>
  <c r="L69" i="28"/>
  <c r="F52" i="28"/>
  <c r="D52" i="28"/>
  <c r="E24" i="34" s="1"/>
  <c r="F29" i="28"/>
  <c r="F31" i="15"/>
  <c r="L37" i="15"/>
  <c r="D46" i="28"/>
  <c r="J25" i="15"/>
  <c r="F66" i="15"/>
  <c r="E54" i="28"/>
  <c r="E52" i="28" s="1"/>
  <c r="F24" i="34" s="1"/>
  <c r="K42" i="28"/>
  <c r="J78" i="28"/>
  <c r="J81" i="28" s="1"/>
  <c r="K25" i="15"/>
  <c r="L26" i="15"/>
  <c r="L66" i="15"/>
  <c r="D21" i="28"/>
  <c r="K31" i="28"/>
  <c r="D61" i="28"/>
  <c r="D58" i="28" s="1"/>
  <c r="E25" i="34" s="1"/>
  <c r="J26" i="28"/>
  <c r="L26" i="28" s="1"/>
  <c r="F29" i="15"/>
  <c r="E21" i="28"/>
  <c r="F21" i="15"/>
  <c r="E51" i="28"/>
  <c r="F51" i="28" s="1"/>
  <c r="E47" i="28"/>
  <c r="F47" i="28" s="1"/>
  <c r="F46" i="15"/>
  <c r="F9" i="28"/>
  <c r="F9" i="15"/>
  <c r="E4" i="15"/>
  <c r="F8" i="15"/>
  <c r="F7" i="15"/>
  <c r="F4" i="22"/>
  <c r="F5" i="15"/>
  <c r="E24" i="15"/>
  <c r="F51" i="15"/>
  <c r="D84" i="15"/>
  <c r="F84" i="15" s="1"/>
  <c r="D45" i="15"/>
  <c r="F45" i="15" s="1"/>
  <c r="J68" i="15"/>
  <c r="K68" i="15"/>
  <c r="D51" i="15"/>
  <c r="E73" i="15"/>
  <c r="L72" i="28" l="1"/>
  <c r="L68" i="15"/>
  <c r="F61" i="28"/>
  <c r="F58" i="28" s="1"/>
  <c r="L31" i="28"/>
  <c r="L71" i="28"/>
  <c r="F68" i="15"/>
  <c r="L70" i="28"/>
  <c r="F21" i="28"/>
  <c r="L25" i="15"/>
  <c r="F44" i="15"/>
  <c r="J25" i="28"/>
  <c r="L13" i="34" s="1"/>
  <c r="M35" i="34"/>
  <c r="M36" i="34" s="1"/>
  <c r="E61" i="15"/>
  <c r="F73" i="15"/>
  <c r="F61" i="15" s="1"/>
  <c r="F69" i="28"/>
  <c r="F71" i="28"/>
  <c r="M15" i="34"/>
  <c r="L42" i="28"/>
  <c r="D45" i="28"/>
  <c r="E23" i="34"/>
  <c r="E28" i="34" s="1"/>
  <c r="K25" i="28"/>
  <c r="E24" i="28"/>
  <c r="E46" i="28"/>
  <c r="F4" i="15"/>
  <c r="D61" i="15"/>
  <c r="D44" i="15"/>
  <c r="B17" i="34"/>
  <c r="C17" i="34"/>
  <c r="I17" i="34"/>
  <c r="J17" i="34"/>
  <c r="B28" i="34"/>
  <c r="C28" i="34"/>
  <c r="I28" i="34"/>
  <c r="J28" i="34"/>
  <c r="B36" i="34"/>
  <c r="C36" i="34"/>
  <c r="I36" i="34"/>
  <c r="J36" i="34"/>
  <c r="J40" i="34" l="1"/>
  <c r="C38" i="34"/>
  <c r="C30" i="34"/>
  <c r="C19" i="34"/>
  <c r="C31" i="34"/>
  <c r="C40" i="34"/>
  <c r="M13" i="34"/>
  <c r="L25" i="28"/>
  <c r="F23" i="34"/>
  <c r="F28" i="34" s="1"/>
  <c r="F46" i="28"/>
  <c r="F45" i="28" s="1"/>
  <c r="E45" i="28"/>
  <c r="C46" i="32"/>
  <c r="E57" i="30" l="1"/>
  <c r="E59" i="30"/>
  <c r="E58" i="30"/>
  <c r="D49" i="30"/>
  <c r="E52" i="30"/>
  <c r="E53" i="30"/>
  <c r="F53" i="30" s="1"/>
  <c r="E43" i="30"/>
  <c r="F43" i="30" s="1"/>
  <c r="E44" i="30"/>
  <c r="F44" i="30" s="1"/>
  <c r="E45" i="30"/>
  <c r="F45" i="30" s="1"/>
  <c r="E46" i="30"/>
  <c r="F46" i="30" s="1"/>
  <c r="D38" i="30"/>
  <c r="F35" i="30"/>
  <c r="F52" i="30" l="1"/>
  <c r="F49" i="30" s="1"/>
  <c r="E49" i="30"/>
  <c r="E56" i="30"/>
  <c r="F29" i="30"/>
  <c r="E29" i="30" s="1"/>
  <c r="E8" i="29"/>
  <c r="F11" i="29"/>
  <c r="E14" i="29"/>
  <c r="F14" i="29" s="1"/>
  <c r="H14" i="29" s="1"/>
  <c r="F15" i="29"/>
  <c r="F35" i="29"/>
  <c r="E35" i="29"/>
  <c r="D35" i="29"/>
  <c r="F31" i="29"/>
  <c r="E31" i="29"/>
  <c r="D31" i="29"/>
  <c r="F27" i="29"/>
  <c r="E27" i="29"/>
  <c r="D27" i="29"/>
  <c r="F23" i="29"/>
  <c r="E23" i="29"/>
  <c r="D23" i="29"/>
  <c r="F19" i="29"/>
  <c r="E19" i="29"/>
  <c r="D19" i="29"/>
  <c r="D37" i="29" s="1"/>
  <c r="E7" i="30"/>
  <c r="E17" i="30"/>
  <c r="F17" i="30" s="1"/>
  <c r="E18" i="30"/>
  <c r="F18" i="30" s="1"/>
  <c r="E19" i="30"/>
  <c r="F19" i="30" s="1"/>
  <c r="E15" i="30"/>
  <c r="F15" i="30" s="1"/>
  <c r="E16" i="30"/>
  <c r="F16" i="30" s="1"/>
  <c r="E14" i="30"/>
  <c r="F14" i="30" s="1"/>
  <c r="C52" i="32"/>
  <c r="C39" i="32"/>
  <c r="C25" i="32"/>
  <c r="C19" i="32"/>
  <c r="C12" i="32"/>
  <c r="F59" i="30"/>
  <c r="F58" i="30"/>
  <c r="F57" i="30"/>
  <c r="E41" i="30"/>
  <c r="F41" i="30" s="1"/>
  <c r="E40" i="30"/>
  <c r="F40" i="30" s="1"/>
  <c r="E39" i="30"/>
  <c r="E32" i="30"/>
  <c r="D32" i="30"/>
  <c r="F28" i="30"/>
  <c r="E28" i="30" s="1"/>
  <c r="F27" i="30"/>
  <c r="E27" i="30" s="1"/>
  <c r="F25" i="30"/>
  <c r="E25" i="30" s="1"/>
  <c r="D24" i="30"/>
  <c r="E13" i="30"/>
  <c r="F13" i="30" s="1"/>
  <c r="E12" i="30"/>
  <c r="F12" i="30" s="1"/>
  <c r="F11" i="30"/>
  <c r="F10" i="30"/>
  <c r="C55" i="32" l="1"/>
  <c r="G15" i="29"/>
  <c r="H15" i="29" s="1"/>
  <c r="H11" i="29"/>
  <c r="G11" i="29"/>
  <c r="F8" i="29"/>
  <c r="F6" i="29" s="1"/>
  <c r="E6" i="29"/>
  <c r="E37" i="29" s="1"/>
  <c r="E6" i="30"/>
  <c r="F56" i="30"/>
  <c r="F39" i="30"/>
  <c r="F37" i="29"/>
  <c r="F32" i="30"/>
  <c r="F7" i="30"/>
  <c r="F6" i="30" s="1"/>
  <c r="E24" i="30"/>
  <c r="F24" i="30"/>
  <c r="E42" i="30"/>
  <c r="E38" i="30" s="1"/>
  <c r="D61" i="30"/>
  <c r="E61" i="30" l="1"/>
  <c r="F42" i="30"/>
  <c r="F38" i="30" l="1"/>
  <c r="F61" i="30" s="1"/>
  <c r="D32" i="18" l="1"/>
  <c r="E32" i="18"/>
  <c r="C32" i="18"/>
  <c r="X106" i="26"/>
  <c r="X103" i="26"/>
  <c r="X82" i="26"/>
  <c r="X78" i="26"/>
  <c r="X61" i="26"/>
  <c r="X59" i="26"/>
  <c r="X57" i="26"/>
  <c r="X54" i="26"/>
  <c r="X46" i="26"/>
  <c r="X42" i="26"/>
  <c r="X41" i="26"/>
  <c r="X40" i="26"/>
  <c r="X37" i="26"/>
  <c r="X36" i="26"/>
  <c r="X35" i="26"/>
  <c r="X31" i="26"/>
  <c r="L22" i="26"/>
  <c r="X20" i="26"/>
  <c r="X22" i="26"/>
  <c r="X19" i="26"/>
  <c r="X9" i="26"/>
  <c r="X10" i="26"/>
  <c r="X12" i="26"/>
  <c r="X15" i="26"/>
  <c r="X4" i="26"/>
  <c r="R135" i="26"/>
  <c r="R124" i="26"/>
  <c r="L102" i="26"/>
  <c r="L29" i="26"/>
  <c r="L30" i="26"/>
  <c r="L31" i="26"/>
  <c r="L34" i="26"/>
  <c r="L35" i="26"/>
  <c r="L36" i="26"/>
  <c r="L38" i="26"/>
  <c r="L39" i="26"/>
  <c r="L46" i="26"/>
  <c r="L49" i="26"/>
  <c r="L50" i="26"/>
  <c r="L51" i="26"/>
  <c r="L56" i="26"/>
  <c r="L57" i="26"/>
  <c r="L63" i="26"/>
  <c r="L65" i="26"/>
  <c r="L66" i="26"/>
  <c r="L68" i="26"/>
  <c r="L69" i="26"/>
  <c r="L70" i="26"/>
  <c r="L71" i="26"/>
  <c r="L72" i="26"/>
  <c r="L73" i="26"/>
  <c r="L75" i="26"/>
  <c r="L76" i="26"/>
  <c r="L78" i="26"/>
  <c r="L79" i="26"/>
  <c r="L82" i="26"/>
  <c r="L6" i="26"/>
  <c r="L9" i="26"/>
  <c r="L12" i="26"/>
  <c r="L15" i="26"/>
  <c r="L4" i="26"/>
  <c r="F134" i="26"/>
  <c r="F124" i="26"/>
  <c r="F123" i="26"/>
  <c r="F30" i="26"/>
  <c r="F31" i="26"/>
  <c r="F32" i="26"/>
  <c r="F44" i="26"/>
  <c r="F49" i="26"/>
  <c r="L78" i="18"/>
  <c r="K78" i="18"/>
  <c r="J78" i="18"/>
  <c r="L75" i="18"/>
  <c r="K75" i="18"/>
  <c r="K80" i="18" s="1"/>
  <c r="J75" i="18"/>
  <c r="L67" i="18"/>
  <c r="K67" i="18"/>
  <c r="J67" i="18"/>
  <c r="L64" i="18"/>
  <c r="K64" i="18"/>
  <c r="J64" i="18"/>
  <c r="L52" i="18"/>
  <c r="K52" i="18"/>
  <c r="J52" i="18"/>
  <c r="K51" i="18"/>
  <c r="K48" i="18"/>
  <c r="K47" i="18"/>
  <c r="J47" i="18"/>
  <c r="E80" i="18"/>
  <c r="E79" i="18"/>
  <c r="E85" i="28" s="1"/>
  <c r="D79" i="18"/>
  <c r="D85" i="28" s="1"/>
  <c r="E34" i="34" s="1"/>
  <c r="F78" i="18"/>
  <c r="E78" i="18"/>
  <c r="D78" i="18"/>
  <c r="F75" i="18"/>
  <c r="E75" i="18"/>
  <c r="D75" i="18"/>
  <c r="E69" i="18"/>
  <c r="D69" i="18"/>
  <c r="E68" i="18"/>
  <c r="D68" i="18"/>
  <c r="F67" i="18"/>
  <c r="E67" i="18"/>
  <c r="D67" i="18"/>
  <c r="F64" i="18"/>
  <c r="E64" i="18"/>
  <c r="D64" i="18"/>
  <c r="F56" i="18"/>
  <c r="E56" i="18"/>
  <c r="D56" i="18"/>
  <c r="F50" i="18"/>
  <c r="E50" i="18"/>
  <c r="D50" i="18"/>
  <c r="F44" i="18"/>
  <c r="E44" i="18"/>
  <c r="D44" i="18"/>
  <c r="F35" i="18"/>
  <c r="E35" i="18"/>
  <c r="D35" i="18"/>
  <c r="F31" i="18"/>
  <c r="E31" i="18"/>
  <c r="E32" i="28" s="1"/>
  <c r="D31" i="18"/>
  <c r="D32" i="28" s="1"/>
  <c r="E30" i="18"/>
  <c r="D30" i="18"/>
  <c r="F25" i="18"/>
  <c r="E25" i="18"/>
  <c r="E26" i="28" s="1"/>
  <c r="D25" i="18"/>
  <c r="D26" i="28" s="1"/>
  <c r="F17" i="18"/>
  <c r="E17" i="18"/>
  <c r="D17" i="18"/>
  <c r="F15" i="18"/>
  <c r="E15" i="18"/>
  <c r="D15" i="18"/>
  <c r="F7" i="18"/>
  <c r="E7" i="18"/>
  <c r="D7" i="18"/>
  <c r="F5" i="18"/>
  <c r="E5" i="18"/>
  <c r="D5" i="18"/>
  <c r="Z79" i="26"/>
  <c r="Z80" i="26"/>
  <c r="Z81" i="26"/>
  <c r="Z82" i="26"/>
  <c r="Z85" i="26"/>
  <c r="Z86" i="26"/>
  <c r="Z87" i="26"/>
  <c r="Z88" i="26"/>
  <c r="Z89" i="26"/>
  <c r="Z90" i="26"/>
  <c r="Z92" i="26"/>
  <c r="Z93" i="26"/>
  <c r="Z94" i="26"/>
  <c r="Z95" i="26"/>
  <c r="Z96" i="26"/>
  <c r="Z97" i="26"/>
  <c r="Z100" i="26"/>
  <c r="Z101" i="26"/>
  <c r="Z102" i="26"/>
  <c r="Z103" i="26"/>
  <c r="Z104" i="26"/>
  <c r="Z105" i="26"/>
  <c r="Z106" i="26"/>
  <c r="Z69" i="26"/>
  <c r="Z70" i="26"/>
  <c r="Z71" i="26"/>
  <c r="Z72" i="26"/>
  <c r="Z73" i="26"/>
  <c r="Z75" i="26"/>
  <c r="Z76" i="26"/>
  <c r="Z78" i="26"/>
  <c r="W62" i="26"/>
  <c r="F68" i="18" l="1"/>
  <c r="L80" i="18"/>
  <c r="K69" i="18"/>
  <c r="K60" i="18" s="1"/>
  <c r="D43" i="18"/>
  <c r="J69" i="18"/>
  <c r="E4" i="18"/>
  <c r="E3" i="18" s="1"/>
  <c r="F34" i="34"/>
  <c r="F85" i="28"/>
  <c r="F30" i="18"/>
  <c r="L47" i="18"/>
  <c r="L69" i="18"/>
  <c r="L60" i="18" s="1"/>
  <c r="J80" i="18"/>
  <c r="J60" i="18" s="1"/>
  <c r="F69" i="18"/>
  <c r="F79" i="18"/>
  <c r="E43" i="18"/>
  <c r="F43" i="18"/>
  <c r="D4" i="18"/>
  <c r="D3" i="18" s="1"/>
  <c r="D70" i="18"/>
  <c r="K44" i="18"/>
  <c r="F4" i="18"/>
  <c r="F3" i="18" s="1"/>
  <c r="E70" i="18"/>
  <c r="E81" i="18"/>
  <c r="F70" i="18" l="1"/>
  <c r="K43" i="18"/>
  <c r="E60" i="18"/>
  <c r="W30" i="26"/>
  <c r="W28" i="26" l="1"/>
  <c r="X30" i="26"/>
  <c r="K61" i="26"/>
  <c r="Z21" i="26"/>
  <c r="Z4" i="26"/>
  <c r="Z5" i="26"/>
  <c r="Z6" i="26"/>
  <c r="Z7" i="26"/>
  <c r="Z8" i="26"/>
  <c r="Z9" i="26"/>
  <c r="Z10" i="26"/>
  <c r="Z11" i="26"/>
  <c r="Z12" i="26"/>
  <c r="Z14" i="26"/>
  <c r="Z15" i="26"/>
  <c r="Z16" i="26"/>
  <c r="Z20" i="26"/>
  <c r="Z25" i="26"/>
  <c r="Z26" i="26"/>
  <c r="Z27" i="26"/>
  <c r="Z29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5" i="26"/>
  <c r="Z46" i="26"/>
  <c r="Z49" i="26"/>
  <c r="Z50" i="26"/>
  <c r="Z51" i="26"/>
  <c r="Z52" i="26"/>
  <c r="Z54" i="26"/>
  <c r="Z56" i="26"/>
  <c r="Z57" i="26"/>
  <c r="Z58" i="26"/>
  <c r="Z59" i="26"/>
  <c r="Z60" i="26"/>
  <c r="Z63" i="26"/>
  <c r="Z64" i="26"/>
  <c r="Z65" i="26"/>
  <c r="Z66" i="26"/>
  <c r="Z67" i="26"/>
  <c r="Z68" i="26"/>
  <c r="Z22" i="26"/>
  <c r="Z61" i="26" l="1"/>
  <c r="L61" i="26"/>
  <c r="J55" i="43"/>
  <c r="K55" i="43"/>
  <c r="I55" i="43"/>
  <c r="L85" i="43"/>
  <c r="K85" i="43"/>
  <c r="J85" i="43"/>
  <c r="L82" i="43"/>
  <c r="L87" i="43" s="1"/>
  <c r="K82" i="43"/>
  <c r="J82" i="43"/>
  <c r="L74" i="43"/>
  <c r="K74" i="43"/>
  <c r="J74" i="43"/>
  <c r="L71" i="43"/>
  <c r="K71" i="43"/>
  <c r="K76" i="43" s="1"/>
  <c r="J71" i="43"/>
  <c r="L63" i="43"/>
  <c r="K63" i="43"/>
  <c r="J63" i="43"/>
  <c r="L62" i="43"/>
  <c r="K62" i="43"/>
  <c r="J62" i="43"/>
  <c r="L61" i="43"/>
  <c r="K61" i="43"/>
  <c r="J61" i="43"/>
  <c r="L60" i="43"/>
  <c r="K60" i="43"/>
  <c r="J60" i="43"/>
  <c r="K58" i="43"/>
  <c r="J58" i="43"/>
  <c r="L35" i="43"/>
  <c r="L24" i="43"/>
  <c r="F87" i="43"/>
  <c r="E87" i="43"/>
  <c r="D87" i="43"/>
  <c r="F85" i="43"/>
  <c r="E85" i="43"/>
  <c r="D85" i="43"/>
  <c r="F82" i="43"/>
  <c r="F88" i="43" s="1"/>
  <c r="E82" i="43"/>
  <c r="D82" i="43"/>
  <c r="E76" i="43"/>
  <c r="D76" i="43"/>
  <c r="E75" i="43"/>
  <c r="D75" i="43"/>
  <c r="F74" i="43"/>
  <c r="E74" i="43"/>
  <c r="D74" i="43"/>
  <c r="F71" i="43"/>
  <c r="E71" i="43"/>
  <c r="D71" i="43"/>
  <c r="D77" i="43" s="1"/>
  <c r="F63" i="43"/>
  <c r="E63" i="43"/>
  <c r="D63" i="43"/>
  <c r="F57" i="43"/>
  <c r="E57" i="43"/>
  <c r="D57" i="43"/>
  <c r="F51" i="43"/>
  <c r="E51" i="43"/>
  <c r="D51" i="43"/>
  <c r="F35" i="43"/>
  <c r="E35" i="43"/>
  <c r="D35" i="43"/>
  <c r="F17" i="43"/>
  <c r="E17" i="43"/>
  <c r="D17" i="43"/>
  <c r="F7" i="43"/>
  <c r="F4" i="43" s="1"/>
  <c r="F3" i="43" s="1"/>
  <c r="E7" i="43"/>
  <c r="E4" i="43" s="1"/>
  <c r="E3" i="43" s="1"/>
  <c r="D7" i="43"/>
  <c r="D4" i="43" s="1"/>
  <c r="D3" i="43" s="1"/>
  <c r="F104" i="42"/>
  <c r="F103" i="42"/>
  <c r="L86" i="42"/>
  <c r="L83" i="42"/>
  <c r="L58" i="42"/>
  <c r="L55" i="42"/>
  <c r="L53" i="42"/>
  <c r="L52" i="42"/>
  <c r="L47" i="42"/>
  <c r="L45" i="42"/>
  <c r="L41" i="42"/>
  <c r="L33" i="42"/>
  <c r="L31" i="42"/>
  <c r="L30" i="42"/>
  <c r="L29" i="42"/>
  <c r="L26" i="42"/>
  <c r="L25" i="42"/>
  <c r="L21" i="42"/>
  <c r="L20" i="42"/>
  <c r="L18" i="42"/>
  <c r="L8" i="42"/>
  <c r="L9" i="42"/>
  <c r="L11" i="42"/>
  <c r="L15" i="42"/>
  <c r="L4" i="42"/>
  <c r="K87" i="43" l="1"/>
  <c r="J59" i="43"/>
  <c r="K51" i="43"/>
  <c r="J51" i="43"/>
  <c r="L55" i="43"/>
  <c r="F75" i="43"/>
  <c r="F50" i="43"/>
  <c r="K59" i="43"/>
  <c r="L76" i="43"/>
  <c r="L67" i="43" s="1"/>
  <c r="K67" i="43"/>
  <c r="F76" i="43"/>
  <c r="D50" i="43"/>
  <c r="E50" i="43"/>
  <c r="E88" i="43"/>
  <c r="J76" i="43"/>
  <c r="L51" i="43"/>
  <c r="E77" i="43"/>
  <c r="D88" i="43"/>
  <c r="D67" i="43" s="1"/>
  <c r="L58" i="43"/>
  <c r="L59" i="43"/>
  <c r="J87" i="43"/>
  <c r="E15" i="16"/>
  <c r="D15" i="16"/>
  <c r="L84" i="16"/>
  <c r="K84" i="16"/>
  <c r="J84" i="16"/>
  <c r="L81" i="16"/>
  <c r="K81" i="16"/>
  <c r="J81" i="16"/>
  <c r="J86" i="16" s="1"/>
  <c r="L73" i="16"/>
  <c r="K73" i="16"/>
  <c r="J73" i="16"/>
  <c r="L70" i="16"/>
  <c r="L75" i="16" s="1"/>
  <c r="K70" i="16"/>
  <c r="J70" i="16"/>
  <c r="L58" i="16"/>
  <c r="K58" i="16"/>
  <c r="J58" i="16"/>
  <c r="K57" i="16"/>
  <c r="K54" i="16"/>
  <c r="J54" i="16"/>
  <c r="K53" i="16"/>
  <c r="J53" i="16"/>
  <c r="K52" i="16"/>
  <c r="J52" i="16"/>
  <c r="K51" i="16"/>
  <c r="K47" i="28" s="1"/>
  <c r="J51" i="16"/>
  <c r="J47" i="28" s="1"/>
  <c r="E86" i="16"/>
  <c r="F86" i="16" s="1"/>
  <c r="D86" i="16"/>
  <c r="F84" i="16"/>
  <c r="E84" i="16"/>
  <c r="D84" i="16"/>
  <c r="F81" i="16"/>
  <c r="E81" i="16"/>
  <c r="D81" i="16"/>
  <c r="D87" i="16" s="1"/>
  <c r="E75" i="16"/>
  <c r="D75" i="16"/>
  <c r="E74" i="16"/>
  <c r="D74" i="16"/>
  <c r="F73" i="16"/>
  <c r="E73" i="16"/>
  <c r="D73" i="16"/>
  <c r="F70" i="16"/>
  <c r="E70" i="16"/>
  <c r="D70" i="16"/>
  <c r="F62" i="16"/>
  <c r="E62" i="16"/>
  <c r="D62" i="16"/>
  <c r="F56" i="16"/>
  <c r="E56" i="16"/>
  <c r="D56" i="16"/>
  <c r="F50" i="16"/>
  <c r="E50" i="16"/>
  <c r="D50" i="16"/>
  <c r="F38" i="16"/>
  <c r="F35" i="16" s="1"/>
  <c r="E38" i="16"/>
  <c r="E35" i="16" s="1"/>
  <c r="D38" i="16"/>
  <c r="D35" i="16" s="1"/>
  <c r="E30" i="16"/>
  <c r="E27" i="16"/>
  <c r="D27" i="16"/>
  <c r="F17" i="16"/>
  <c r="E17" i="16"/>
  <c r="D17" i="16"/>
  <c r="F5" i="16"/>
  <c r="F4" i="16" s="1"/>
  <c r="E5" i="16"/>
  <c r="D5" i="16"/>
  <c r="E49" i="16" l="1"/>
  <c r="D4" i="16"/>
  <c r="D3" i="16" s="1"/>
  <c r="D5" i="28"/>
  <c r="L47" i="28"/>
  <c r="E4" i="16"/>
  <c r="E3" i="16" s="1"/>
  <c r="E5" i="28"/>
  <c r="F5" i="28" s="1"/>
  <c r="F75" i="16"/>
  <c r="J67" i="43"/>
  <c r="L54" i="16"/>
  <c r="F74" i="16"/>
  <c r="E67" i="43"/>
  <c r="F67" i="43" s="1"/>
  <c r="F77" i="43"/>
  <c r="D49" i="16"/>
  <c r="K86" i="16"/>
  <c r="F15" i="16"/>
  <c r="F3" i="16" s="1"/>
  <c r="K50" i="16"/>
  <c r="K49" i="16" s="1"/>
  <c r="L53" i="16"/>
  <c r="J75" i="16"/>
  <c r="J66" i="16" s="1"/>
  <c r="K75" i="16"/>
  <c r="L86" i="16"/>
  <c r="L66" i="16" s="1"/>
  <c r="F49" i="16"/>
  <c r="E76" i="16"/>
  <c r="F27" i="16"/>
  <c r="E87" i="16"/>
  <c r="F87" i="16" s="1"/>
  <c r="D76" i="16"/>
  <c r="D66" i="16" s="1"/>
  <c r="F119" i="23"/>
  <c r="F108" i="23"/>
  <c r="F107" i="23"/>
  <c r="F30" i="23"/>
  <c r="F33" i="23"/>
  <c r="F34" i="23"/>
  <c r="L87" i="23"/>
  <c r="L63" i="23"/>
  <c r="L62" i="23"/>
  <c r="L60" i="23"/>
  <c r="L57" i="23"/>
  <c r="L54" i="23"/>
  <c r="L50" i="23"/>
  <c r="L46" i="23"/>
  <c r="L44" i="23"/>
  <c r="L41" i="23"/>
  <c r="L40" i="23"/>
  <c r="L34" i="23"/>
  <c r="L32" i="23"/>
  <c r="L31" i="23"/>
  <c r="L26" i="23"/>
  <c r="L21" i="23"/>
  <c r="L23" i="23"/>
  <c r="L20" i="23"/>
  <c r="L5" i="23"/>
  <c r="L6" i="23"/>
  <c r="L7" i="23"/>
  <c r="L10" i="23"/>
  <c r="L11" i="23"/>
  <c r="L13" i="23"/>
  <c r="L16" i="23"/>
  <c r="L17" i="23"/>
  <c r="L4" i="23"/>
  <c r="J19" i="23"/>
  <c r="J7" i="16" s="1"/>
  <c r="I19" i="23"/>
  <c r="K14" i="23"/>
  <c r="K4" i="16" s="1"/>
  <c r="K66" i="16" l="1"/>
  <c r="E66" i="16"/>
  <c r="F66" i="16" s="1"/>
  <c r="F76" i="16"/>
  <c r="D27" i="17"/>
  <c r="D28" i="28" s="1"/>
  <c r="E27" i="17"/>
  <c r="E28" i="28" s="1"/>
  <c r="F28" i="28" s="1"/>
  <c r="C27" i="17"/>
  <c r="L85" i="17"/>
  <c r="K85" i="17"/>
  <c r="J85" i="17"/>
  <c r="L82" i="17"/>
  <c r="K82" i="17"/>
  <c r="J82" i="17"/>
  <c r="L74" i="17"/>
  <c r="K74" i="17"/>
  <c r="J74" i="17"/>
  <c r="L71" i="17"/>
  <c r="K71" i="17"/>
  <c r="J71" i="17"/>
  <c r="L59" i="17"/>
  <c r="K59" i="17"/>
  <c r="J59" i="17"/>
  <c r="K58" i="17"/>
  <c r="K55" i="17"/>
  <c r="J55" i="17"/>
  <c r="K54" i="17"/>
  <c r="J54" i="17"/>
  <c r="L35" i="17"/>
  <c r="K35" i="17"/>
  <c r="J35" i="17"/>
  <c r="L24" i="17"/>
  <c r="K24" i="17"/>
  <c r="J24" i="17"/>
  <c r="E87" i="17"/>
  <c r="D87" i="17"/>
  <c r="F85" i="17"/>
  <c r="E85" i="17"/>
  <c r="D85" i="17"/>
  <c r="F82" i="17"/>
  <c r="E82" i="17"/>
  <c r="D82" i="17"/>
  <c r="E76" i="17"/>
  <c r="D76" i="17"/>
  <c r="E75" i="17"/>
  <c r="F75" i="17" s="1"/>
  <c r="D75" i="17"/>
  <c r="E74" i="17"/>
  <c r="D74" i="17"/>
  <c r="F71" i="17"/>
  <c r="E71" i="17"/>
  <c r="D71" i="17"/>
  <c r="F63" i="17"/>
  <c r="E63" i="17"/>
  <c r="D63" i="17"/>
  <c r="F57" i="17"/>
  <c r="E57" i="17"/>
  <c r="D57" i="17"/>
  <c r="F51" i="17"/>
  <c r="E51" i="17"/>
  <c r="D51" i="17"/>
  <c r="F35" i="17"/>
  <c r="E35" i="17"/>
  <c r="D35" i="17"/>
  <c r="F30" i="17"/>
  <c r="E30" i="17"/>
  <c r="E31" i="28" s="1"/>
  <c r="D30" i="17"/>
  <c r="E26" i="17"/>
  <c r="F17" i="17"/>
  <c r="E17" i="17"/>
  <c r="D17" i="17"/>
  <c r="F15" i="17"/>
  <c r="E15" i="17"/>
  <c r="D15" i="17"/>
  <c r="F8" i="17"/>
  <c r="F4" i="17" s="1"/>
  <c r="E8" i="17"/>
  <c r="D8" i="17"/>
  <c r="F117" i="25"/>
  <c r="F106" i="25"/>
  <c r="F105" i="25"/>
  <c r="F27" i="25"/>
  <c r="F31" i="25"/>
  <c r="L85" i="25"/>
  <c r="L84" i="25"/>
  <c r="L54" i="17" s="1"/>
  <c r="L60" i="25"/>
  <c r="L63" i="25"/>
  <c r="L58" i="25"/>
  <c r="L56" i="25"/>
  <c r="L55" i="25"/>
  <c r="L53" i="25"/>
  <c r="L52" i="25"/>
  <c r="L51" i="25"/>
  <c r="L48" i="25"/>
  <c r="L45" i="25"/>
  <c r="L44" i="25"/>
  <c r="L42" i="25"/>
  <c r="L41" i="25"/>
  <c r="L37" i="25"/>
  <c r="L36" i="25"/>
  <c r="L33" i="25"/>
  <c r="L29" i="25"/>
  <c r="L25" i="25"/>
  <c r="L24" i="25"/>
  <c r="L19" i="25"/>
  <c r="L20" i="25"/>
  <c r="L18" i="25"/>
  <c r="L8" i="25"/>
  <c r="L9" i="25"/>
  <c r="L14" i="25"/>
  <c r="L15" i="25"/>
  <c r="L4" i="25"/>
  <c r="E4" i="17" l="1"/>
  <c r="E3" i="17" s="1"/>
  <c r="E8" i="28"/>
  <c r="F76" i="17"/>
  <c r="L55" i="17"/>
  <c r="D4" i="17"/>
  <c r="D8" i="28"/>
  <c r="J76" i="17"/>
  <c r="L87" i="17"/>
  <c r="E50" i="17"/>
  <c r="F87" i="17"/>
  <c r="K87" i="17"/>
  <c r="K51" i="17"/>
  <c r="K50" i="17" s="1"/>
  <c r="D3" i="17"/>
  <c r="F50" i="17"/>
  <c r="E77" i="17"/>
  <c r="D88" i="17"/>
  <c r="K76" i="17"/>
  <c r="D77" i="17"/>
  <c r="D67" i="17" s="1"/>
  <c r="E88" i="17"/>
  <c r="L76" i="17"/>
  <c r="L67" i="17" s="1"/>
  <c r="J87" i="17"/>
  <c r="J67" i="17" s="1"/>
  <c r="D50" i="17"/>
  <c r="D32" i="19"/>
  <c r="D33" i="28" s="1"/>
  <c r="E32" i="19"/>
  <c r="E33" i="28" s="1"/>
  <c r="C32" i="19"/>
  <c r="L86" i="19"/>
  <c r="K86" i="19"/>
  <c r="J86" i="19"/>
  <c r="L83" i="19"/>
  <c r="K83" i="19"/>
  <c r="J83" i="19"/>
  <c r="J88" i="19" s="1"/>
  <c r="L75" i="19"/>
  <c r="K75" i="19"/>
  <c r="J75" i="19"/>
  <c r="L72" i="19"/>
  <c r="L77" i="19" s="1"/>
  <c r="K72" i="19"/>
  <c r="J72" i="19"/>
  <c r="L64" i="19"/>
  <c r="K64" i="19"/>
  <c r="K58" i="28" s="1"/>
  <c r="J64" i="19"/>
  <c r="J58" i="28" s="1"/>
  <c r="L63" i="19"/>
  <c r="K63" i="19"/>
  <c r="K57" i="28" s="1"/>
  <c r="J63" i="19"/>
  <c r="J57" i="28" s="1"/>
  <c r="L62" i="19"/>
  <c r="K62" i="19"/>
  <c r="K56" i="28" s="1"/>
  <c r="J62" i="19"/>
  <c r="J56" i="28" s="1"/>
  <c r="L61" i="19"/>
  <c r="K61" i="19"/>
  <c r="J61" i="19"/>
  <c r="K59" i="19"/>
  <c r="K53" i="28" s="1"/>
  <c r="K56" i="19"/>
  <c r="K50" i="28" s="1"/>
  <c r="L55" i="19"/>
  <c r="K55" i="19"/>
  <c r="K49" i="28" s="1"/>
  <c r="J55" i="19"/>
  <c r="J49" i="28" s="1"/>
  <c r="L35" i="19"/>
  <c r="L24" i="19"/>
  <c r="E88" i="19"/>
  <c r="D88" i="19"/>
  <c r="F86" i="19"/>
  <c r="E86" i="19"/>
  <c r="D86" i="19"/>
  <c r="F83" i="19"/>
  <c r="E83" i="19"/>
  <c r="D83" i="19"/>
  <c r="E77" i="19"/>
  <c r="D77" i="19"/>
  <c r="E76" i="19"/>
  <c r="D76" i="19"/>
  <c r="D72" i="28" s="1"/>
  <c r="E33" i="34" s="1"/>
  <c r="E36" i="34" s="1"/>
  <c r="E38" i="34" s="1"/>
  <c r="F75" i="19"/>
  <c r="E75" i="19"/>
  <c r="D75" i="19"/>
  <c r="F72" i="19"/>
  <c r="E72" i="19"/>
  <c r="D72" i="19"/>
  <c r="F64" i="19"/>
  <c r="E64" i="19"/>
  <c r="D64" i="19"/>
  <c r="F58" i="19"/>
  <c r="E58" i="19"/>
  <c r="D58" i="19"/>
  <c r="F52" i="19"/>
  <c r="E52" i="19"/>
  <c r="D52" i="19"/>
  <c r="F35" i="19"/>
  <c r="E35" i="19"/>
  <c r="D35" i="19"/>
  <c r="E29" i="19"/>
  <c r="F17" i="19"/>
  <c r="E17" i="19"/>
  <c r="D17" i="19"/>
  <c r="E15" i="19"/>
  <c r="E7" i="19"/>
  <c r="D7" i="19"/>
  <c r="D7" i="28" s="1"/>
  <c r="D4" i="19"/>
  <c r="F119" i="27"/>
  <c r="F108" i="27"/>
  <c r="F107" i="27"/>
  <c r="F36" i="27"/>
  <c r="F38" i="27"/>
  <c r="L62" i="27"/>
  <c r="L60" i="27"/>
  <c r="L59" i="27"/>
  <c r="L57" i="27"/>
  <c r="L56" i="27"/>
  <c r="L55" i="27"/>
  <c r="L54" i="27"/>
  <c r="L53" i="27"/>
  <c r="L52" i="27"/>
  <c r="L44" i="27"/>
  <c r="L43" i="27"/>
  <c r="L41" i="27"/>
  <c r="L40" i="27"/>
  <c r="L39" i="27"/>
  <c r="L36" i="27"/>
  <c r="L32" i="27"/>
  <c r="L31" i="27"/>
  <c r="L29" i="27"/>
  <c r="L28" i="27"/>
  <c r="L25" i="27"/>
  <c r="L24" i="27"/>
  <c r="L23" i="27"/>
  <c r="L14" i="27"/>
  <c r="L15" i="27"/>
  <c r="L11" i="27"/>
  <c r="L9" i="27"/>
  <c r="L8" i="27"/>
  <c r="L5" i="27"/>
  <c r="L4" i="27"/>
  <c r="D4" i="28" l="1"/>
  <c r="E72" i="28"/>
  <c r="F33" i="34" s="1"/>
  <c r="F36" i="34" s="1"/>
  <c r="F38" i="34" s="1"/>
  <c r="K88" i="19"/>
  <c r="F88" i="17"/>
  <c r="E51" i="19"/>
  <c r="F8" i="28"/>
  <c r="D51" i="19"/>
  <c r="K67" i="17"/>
  <c r="L57" i="28"/>
  <c r="F33" i="28"/>
  <c r="L49" i="28"/>
  <c r="K159" i="22"/>
  <c r="E86" i="28"/>
  <c r="L58" i="28"/>
  <c r="F76" i="19"/>
  <c r="E4" i="19"/>
  <c r="E7" i="28"/>
  <c r="J147" i="22"/>
  <c r="J70" i="15" s="1"/>
  <c r="D74" i="28"/>
  <c r="K52" i="19"/>
  <c r="E74" i="28"/>
  <c r="K147" i="22"/>
  <c r="E3" i="19"/>
  <c r="L60" i="19"/>
  <c r="J60" i="19"/>
  <c r="K60" i="19"/>
  <c r="F51" i="19"/>
  <c r="E78" i="19"/>
  <c r="F77" i="19"/>
  <c r="F88" i="19"/>
  <c r="E24" i="19"/>
  <c r="D78" i="19"/>
  <c r="D89" i="19"/>
  <c r="J77" i="19"/>
  <c r="J68" i="19" s="1"/>
  <c r="E89" i="19"/>
  <c r="F89" i="19" s="1"/>
  <c r="K77" i="19"/>
  <c r="K68" i="19" s="1"/>
  <c r="L88" i="19"/>
  <c r="L68" i="19" s="1"/>
  <c r="F77" i="17"/>
  <c r="E67" i="17"/>
  <c r="F67" i="17" s="1"/>
  <c r="F72" i="28" l="1"/>
  <c r="K82" i="15"/>
  <c r="J73" i="28"/>
  <c r="J71" i="15"/>
  <c r="F7" i="28"/>
  <c r="E4" i="28"/>
  <c r="F4" i="28" s="1"/>
  <c r="D76" i="28"/>
  <c r="E68" i="19"/>
  <c r="E87" i="28"/>
  <c r="F78" i="19"/>
  <c r="K70" i="15"/>
  <c r="L147" i="22"/>
  <c r="F74" i="28"/>
  <c r="E76" i="28"/>
  <c r="E88" i="28"/>
  <c r="E2" i="19"/>
  <c r="D68" i="19"/>
  <c r="F68" i="19" s="1"/>
  <c r="E90" i="19" l="1"/>
  <c r="E93" i="19"/>
  <c r="K85" i="28"/>
  <c r="K83" i="15"/>
  <c r="J74" i="28"/>
  <c r="K73" i="28"/>
  <c r="K71" i="15"/>
  <c r="L70" i="15"/>
  <c r="F76" i="28"/>
  <c r="E64" i="28"/>
  <c r="E94" i="19" l="1"/>
  <c r="E95" i="19"/>
  <c r="K86" i="28"/>
  <c r="L71" i="15"/>
  <c r="K61" i="15"/>
  <c r="K74" i="28"/>
  <c r="K88" i="28"/>
  <c r="L73" i="28"/>
  <c r="K158" i="22"/>
  <c r="J158" i="22"/>
  <c r="K155" i="22"/>
  <c r="J155" i="22"/>
  <c r="K142" i="22"/>
  <c r="K148" i="22" s="1"/>
  <c r="J142" i="22"/>
  <c r="J135" i="22"/>
  <c r="K135" i="22"/>
  <c r="J126" i="22"/>
  <c r="J47" i="15"/>
  <c r="J99" i="22"/>
  <c r="K91" i="22"/>
  <c r="J81" i="22"/>
  <c r="K81" i="22"/>
  <c r="K77" i="22"/>
  <c r="J77" i="22"/>
  <c r="K71" i="22"/>
  <c r="J71" i="22"/>
  <c r="K58" i="22"/>
  <c r="M58" i="22" s="1"/>
  <c r="K49" i="22"/>
  <c r="J49" i="22"/>
  <c r="J46" i="22"/>
  <c r="J37" i="22"/>
  <c r="J28" i="22"/>
  <c r="K24" i="22"/>
  <c r="J24" i="22"/>
  <c r="J17" i="22"/>
  <c r="K16" i="22"/>
  <c r="J16" i="22"/>
  <c r="K12" i="22"/>
  <c r="J12" i="22"/>
  <c r="F158" i="22"/>
  <c r="E158" i="22"/>
  <c r="D158" i="22"/>
  <c r="F155" i="22"/>
  <c r="E155" i="22"/>
  <c r="D155" i="22"/>
  <c r="D161" i="22" s="1"/>
  <c r="D145" i="22"/>
  <c r="E142" i="22"/>
  <c r="E150" i="22" s="1"/>
  <c r="D142" i="22"/>
  <c r="E134" i="22"/>
  <c r="F134" i="22" s="1"/>
  <c r="D134" i="22"/>
  <c r="E121" i="22"/>
  <c r="F121" i="22" s="1"/>
  <c r="D121" i="22"/>
  <c r="E91" i="22"/>
  <c r="D91" i="22"/>
  <c r="D75" i="22"/>
  <c r="E67" i="22"/>
  <c r="D67" i="22"/>
  <c r="E59" i="22"/>
  <c r="E57" i="22" s="1"/>
  <c r="E39" i="22"/>
  <c r="D39" i="22"/>
  <c r="E34" i="22"/>
  <c r="E24" i="22"/>
  <c r="D24" i="22"/>
  <c r="E16" i="22"/>
  <c r="D22" i="22"/>
  <c r="D21" i="22"/>
  <c r="F21" i="22" s="1"/>
  <c r="F117" i="23"/>
  <c r="E117" i="23"/>
  <c r="D117" i="23"/>
  <c r="F114" i="23"/>
  <c r="E114" i="23"/>
  <c r="E120" i="23" s="1"/>
  <c r="D114" i="23"/>
  <c r="F106" i="23"/>
  <c r="E106" i="23"/>
  <c r="D106" i="23"/>
  <c r="F103" i="23"/>
  <c r="E103" i="23"/>
  <c r="D103" i="23"/>
  <c r="D109" i="23" s="1"/>
  <c r="F95" i="23"/>
  <c r="E95" i="23"/>
  <c r="D95" i="23"/>
  <c r="F89" i="23"/>
  <c r="F82" i="23" s="1"/>
  <c r="E89" i="23"/>
  <c r="D89" i="23"/>
  <c r="F83" i="23"/>
  <c r="E83" i="23"/>
  <c r="E82" i="23" s="1"/>
  <c r="D83" i="23"/>
  <c r="D82" i="23"/>
  <c r="F61" i="23"/>
  <c r="E61" i="23"/>
  <c r="D61" i="23"/>
  <c r="E48" i="23"/>
  <c r="E34" i="16" s="1"/>
  <c r="D48" i="23"/>
  <c r="D34" i="16" s="1"/>
  <c r="E36" i="23"/>
  <c r="D36" i="23"/>
  <c r="E28" i="23"/>
  <c r="D28" i="23"/>
  <c r="F24" i="23"/>
  <c r="E24" i="23"/>
  <c r="D24" i="23"/>
  <c r="F4" i="23"/>
  <c r="E4" i="23"/>
  <c r="E3" i="23" s="1"/>
  <c r="F3" i="23" s="1"/>
  <c r="D4" i="23"/>
  <c r="D3" i="23" s="1"/>
  <c r="L117" i="23"/>
  <c r="K117" i="23"/>
  <c r="J117" i="23"/>
  <c r="L114" i="23"/>
  <c r="L119" i="23" s="1"/>
  <c r="K114" i="23"/>
  <c r="K119" i="23" s="1"/>
  <c r="J114" i="23"/>
  <c r="L106" i="23"/>
  <c r="K106" i="23"/>
  <c r="J106" i="23"/>
  <c r="L103" i="23"/>
  <c r="L108" i="23" s="1"/>
  <c r="K103" i="23"/>
  <c r="J103" i="23"/>
  <c r="J108" i="23" s="1"/>
  <c r="L96" i="23"/>
  <c r="K96" i="23"/>
  <c r="J96" i="23"/>
  <c r="L95" i="23"/>
  <c r="L91" i="23" s="1"/>
  <c r="K95" i="23"/>
  <c r="J95" i="23"/>
  <c r="K91" i="23"/>
  <c r="J91" i="23"/>
  <c r="K83" i="23"/>
  <c r="J90" i="23"/>
  <c r="L75" i="23"/>
  <c r="L35" i="16" s="1"/>
  <c r="K75" i="23"/>
  <c r="K35" i="16" s="1"/>
  <c r="J75" i="23"/>
  <c r="J35" i="16" s="1"/>
  <c r="L68" i="23"/>
  <c r="L24" i="16" s="1"/>
  <c r="K68" i="23"/>
  <c r="K24" i="16" s="1"/>
  <c r="J68" i="23"/>
  <c r="J24" i="16" s="1"/>
  <c r="K67" i="23"/>
  <c r="J66" i="23"/>
  <c r="L66" i="23" s="1"/>
  <c r="K61" i="23"/>
  <c r="J59" i="23"/>
  <c r="J56" i="23"/>
  <c r="L56" i="23" s="1"/>
  <c r="J55" i="23"/>
  <c r="L55" i="23" s="1"/>
  <c r="K52" i="23"/>
  <c r="J53" i="23"/>
  <c r="J51" i="23"/>
  <c r="L51" i="23" s="1"/>
  <c r="J49" i="23"/>
  <c r="L49" i="23" s="1"/>
  <c r="J48" i="23"/>
  <c r="L48" i="23" s="1"/>
  <c r="J45" i="23"/>
  <c r="K43" i="23"/>
  <c r="J39" i="23"/>
  <c r="L39" i="23" s="1"/>
  <c r="K38" i="23"/>
  <c r="K42" i="23" s="1"/>
  <c r="K19" i="16" s="1"/>
  <c r="J35" i="23"/>
  <c r="K29" i="23"/>
  <c r="K25" i="23"/>
  <c r="L25" i="23" s="1"/>
  <c r="J27" i="23"/>
  <c r="L27" i="23" s="1"/>
  <c r="J25" i="23"/>
  <c r="K19" i="23"/>
  <c r="K18" i="23"/>
  <c r="J18" i="23"/>
  <c r="J5" i="16" s="1"/>
  <c r="J12" i="23"/>
  <c r="J38" i="25"/>
  <c r="L115" i="25"/>
  <c r="K115" i="25"/>
  <c r="J115" i="25"/>
  <c r="L112" i="25"/>
  <c r="K112" i="25"/>
  <c r="K117" i="25" s="1"/>
  <c r="J112" i="25"/>
  <c r="L104" i="25"/>
  <c r="K104" i="25"/>
  <c r="J104" i="25"/>
  <c r="L101" i="25"/>
  <c r="K101" i="25"/>
  <c r="K106" i="25" s="1"/>
  <c r="K97" i="25" s="1"/>
  <c r="J101" i="25"/>
  <c r="L94" i="25"/>
  <c r="K94" i="25"/>
  <c r="J94" i="25"/>
  <c r="L89" i="25"/>
  <c r="K89" i="25"/>
  <c r="J89" i="25"/>
  <c r="K81" i="25"/>
  <c r="J88" i="25"/>
  <c r="J81" i="25"/>
  <c r="J80" i="25" s="1"/>
  <c r="L73" i="25"/>
  <c r="K73" i="25"/>
  <c r="J73" i="25"/>
  <c r="L66" i="25"/>
  <c r="K66" i="25"/>
  <c r="J66" i="25"/>
  <c r="J64" i="25"/>
  <c r="L64" i="25" s="1"/>
  <c r="K65" i="25"/>
  <c r="J62" i="25"/>
  <c r="K57" i="25"/>
  <c r="K21" i="17" s="1"/>
  <c r="J57" i="25"/>
  <c r="K50" i="25"/>
  <c r="J50" i="25"/>
  <c r="K47" i="25"/>
  <c r="L47" i="25" s="1"/>
  <c r="J49" i="25"/>
  <c r="L49" i="25" s="1"/>
  <c r="J47" i="25"/>
  <c r="J40" i="25"/>
  <c r="L40" i="25" s="1"/>
  <c r="K39" i="25"/>
  <c r="J39" i="25"/>
  <c r="K38" i="25"/>
  <c r="K19" i="17" s="1"/>
  <c r="K27" i="25"/>
  <c r="J27" i="25"/>
  <c r="K23" i="25"/>
  <c r="J23" i="25"/>
  <c r="K17" i="25"/>
  <c r="J17" i="25"/>
  <c r="K16" i="25"/>
  <c r="J16" i="25"/>
  <c r="J5" i="17" s="1"/>
  <c r="J12" i="25"/>
  <c r="K12" i="25"/>
  <c r="F115" i="25"/>
  <c r="E115" i="25"/>
  <c r="D115" i="25"/>
  <c r="F112" i="25"/>
  <c r="E112" i="25"/>
  <c r="E118" i="25" s="1"/>
  <c r="D112" i="25"/>
  <c r="D118" i="25" s="1"/>
  <c r="E107" i="25"/>
  <c r="F107" i="25" s="1"/>
  <c r="F104" i="25"/>
  <c r="E104" i="25"/>
  <c r="D104" i="25"/>
  <c r="F101" i="25"/>
  <c r="E101" i="25"/>
  <c r="D101" i="25"/>
  <c r="D107" i="25" s="1"/>
  <c r="F93" i="25"/>
  <c r="E93" i="25"/>
  <c r="D93" i="25"/>
  <c r="F87" i="25"/>
  <c r="E87" i="25"/>
  <c r="D87" i="25"/>
  <c r="F81" i="25"/>
  <c r="E81" i="25"/>
  <c r="D81" i="25"/>
  <c r="F80" i="25"/>
  <c r="F57" i="25"/>
  <c r="E57" i="25"/>
  <c r="D57" i="25"/>
  <c r="E44" i="25"/>
  <c r="E34" i="17" s="1"/>
  <c r="E24" i="17" s="1"/>
  <c r="E2" i="17" s="1"/>
  <c r="E89" i="17" s="1"/>
  <c r="D44" i="25"/>
  <c r="D34" i="17" s="1"/>
  <c r="F34" i="25"/>
  <c r="E34" i="25"/>
  <c r="D34" i="25"/>
  <c r="D29" i="25"/>
  <c r="F29" i="25" s="1"/>
  <c r="D26" i="25"/>
  <c r="F22" i="25"/>
  <c r="E22" i="25"/>
  <c r="D22" i="25"/>
  <c r="E4" i="25"/>
  <c r="D4" i="25"/>
  <c r="E3" i="25"/>
  <c r="D3" i="25"/>
  <c r="X133" i="26"/>
  <c r="W133" i="26"/>
  <c r="V133" i="26"/>
  <c r="X130" i="26"/>
  <c r="W130" i="26"/>
  <c r="V130" i="26"/>
  <c r="X122" i="26"/>
  <c r="W122" i="26"/>
  <c r="V122" i="26"/>
  <c r="X119" i="26"/>
  <c r="W119" i="26"/>
  <c r="W124" i="26" s="1"/>
  <c r="V119" i="26"/>
  <c r="X112" i="26"/>
  <c r="W112" i="26"/>
  <c r="V112" i="26"/>
  <c r="X107" i="26"/>
  <c r="W107" i="26"/>
  <c r="V107" i="26"/>
  <c r="W99" i="26"/>
  <c r="X91" i="26"/>
  <c r="W91" i="26"/>
  <c r="V91" i="26"/>
  <c r="X84" i="26"/>
  <c r="W84" i="26"/>
  <c r="V84" i="26"/>
  <c r="V83" i="26"/>
  <c r="X83" i="26" s="1"/>
  <c r="W77" i="26"/>
  <c r="V75" i="26"/>
  <c r="V67" i="26"/>
  <c r="X67" i="26" s="1"/>
  <c r="V66" i="26"/>
  <c r="V65" i="26"/>
  <c r="V64" i="26"/>
  <c r="X64" i="26" s="1"/>
  <c r="V58" i="26"/>
  <c r="X58" i="26" s="1"/>
  <c r="W55" i="26"/>
  <c r="V56" i="26"/>
  <c r="V53" i="26"/>
  <c r="X53" i="26" s="1"/>
  <c r="W48" i="26"/>
  <c r="V48" i="26"/>
  <c r="W47" i="26"/>
  <c r="X47" i="26" s="1"/>
  <c r="V47" i="26"/>
  <c r="V39" i="26"/>
  <c r="V38" i="26"/>
  <c r="V33" i="26"/>
  <c r="X33" i="26" s="1"/>
  <c r="V32" i="26"/>
  <c r="W24" i="26"/>
  <c r="V24" i="26"/>
  <c r="W18" i="26"/>
  <c r="W17" i="26"/>
  <c r="W3" i="26" s="1"/>
  <c r="V17" i="26"/>
  <c r="X17" i="26" s="1"/>
  <c r="V13" i="26"/>
  <c r="Q141" i="26"/>
  <c r="R133" i="26"/>
  <c r="Q133" i="26"/>
  <c r="P133" i="26"/>
  <c r="R130" i="26"/>
  <c r="Q130" i="26"/>
  <c r="P130" i="26"/>
  <c r="R122" i="26"/>
  <c r="Q122" i="26"/>
  <c r="P122" i="26"/>
  <c r="R119" i="26"/>
  <c r="Q119" i="26"/>
  <c r="P119" i="26"/>
  <c r="R111" i="26"/>
  <c r="Q111" i="26"/>
  <c r="P111" i="26"/>
  <c r="R105" i="26"/>
  <c r="Q105" i="26"/>
  <c r="P105" i="26"/>
  <c r="R99" i="26"/>
  <c r="Q99" i="26"/>
  <c r="P99" i="26"/>
  <c r="R77" i="26"/>
  <c r="Q77" i="26"/>
  <c r="P77" i="26"/>
  <c r="R53" i="26"/>
  <c r="F34" i="18" s="1"/>
  <c r="Q53" i="26"/>
  <c r="P53" i="26"/>
  <c r="R43" i="26"/>
  <c r="Q43" i="26"/>
  <c r="P43" i="26"/>
  <c r="R27" i="26"/>
  <c r="Q27" i="26"/>
  <c r="P27" i="26"/>
  <c r="R23" i="26"/>
  <c r="Q23" i="26"/>
  <c r="P23" i="26"/>
  <c r="R4" i="26"/>
  <c r="R3" i="26" s="1"/>
  <c r="Q4" i="26"/>
  <c r="Q3" i="26" s="1"/>
  <c r="P4" i="26"/>
  <c r="P3" i="26"/>
  <c r="L133" i="26"/>
  <c r="K133" i="26"/>
  <c r="Z133" i="26" s="1"/>
  <c r="J133" i="26"/>
  <c r="L130" i="26"/>
  <c r="L135" i="26" s="1"/>
  <c r="K130" i="26"/>
  <c r="J130" i="26"/>
  <c r="Y130" i="26" s="1"/>
  <c r="L122" i="26"/>
  <c r="K122" i="26"/>
  <c r="Z122" i="26" s="1"/>
  <c r="J122" i="26"/>
  <c r="L119" i="26"/>
  <c r="K119" i="26"/>
  <c r="J119" i="26"/>
  <c r="L112" i="26"/>
  <c r="K112" i="26"/>
  <c r="Z112" i="26" s="1"/>
  <c r="J112" i="26"/>
  <c r="L107" i="26"/>
  <c r="K107" i="26"/>
  <c r="J107" i="26"/>
  <c r="Y107" i="26" s="1"/>
  <c r="K99" i="26"/>
  <c r="J103" i="26"/>
  <c r="L91" i="26"/>
  <c r="L35" i="18" s="1"/>
  <c r="K91" i="26"/>
  <c r="K35" i="18" s="1"/>
  <c r="J91" i="26"/>
  <c r="L84" i="26"/>
  <c r="L24" i="18" s="1"/>
  <c r="K84" i="26"/>
  <c r="J84" i="26"/>
  <c r="K83" i="26"/>
  <c r="K22" i="18" s="1"/>
  <c r="J83" i="26"/>
  <c r="Y83" i="26" s="1"/>
  <c r="K77" i="26"/>
  <c r="J77" i="26"/>
  <c r="J67" i="26"/>
  <c r="K62" i="26"/>
  <c r="J64" i="26"/>
  <c r="J58" i="26"/>
  <c r="K55" i="26"/>
  <c r="J53" i="26"/>
  <c r="K48" i="26"/>
  <c r="J48" i="26"/>
  <c r="Y48" i="26" s="1"/>
  <c r="K47" i="26"/>
  <c r="J45" i="26"/>
  <c r="J37" i="26"/>
  <c r="J33" i="26"/>
  <c r="K24" i="26"/>
  <c r="J24" i="26"/>
  <c r="Y24" i="26" s="1"/>
  <c r="K17" i="26"/>
  <c r="J17" i="26"/>
  <c r="Y17" i="26" s="1"/>
  <c r="K13" i="26"/>
  <c r="K4" i="18" s="1"/>
  <c r="J13" i="26"/>
  <c r="Y13" i="26" s="1"/>
  <c r="D135" i="26"/>
  <c r="F133" i="26"/>
  <c r="E133" i="26"/>
  <c r="D133" i="26"/>
  <c r="AA133" i="26" s="1"/>
  <c r="F130" i="26"/>
  <c r="E130" i="26"/>
  <c r="AB130" i="26" s="1"/>
  <c r="D130" i="26"/>
  <c r="F122" i="26"/>
  <c r="E122" i="26"/>
  <c r="D122" i="26"/>
  <c r="AA122" i="26" s="1"/>
  <c r="F119" i="26"/>
  <c r="E119" i="26"/>
  <c r="AB119" i="26" s="1"/>
  <c r="D119" i="26"/>
  <c r="F111" i="26"/>
  <c r="E111" i="26"/>
  <c r="D111" i="26"/>
  <c r="F105" i="26"/>
  <c r="E105" i="26"/>
  <c r="AB105" i="26" s="1"/>
  <c r="D105" i="26"/>
  <c r="F99" i="26"/>
  <c r="E99" i="26"/>
  <c r="D99" i="26"/>
  <c r="AA99" i="26" s="1"/>
  <c r="F77" i="26"/>
  <c r="E77" i="26"/>
  <c r="AB77" i="26" s="1"/>
  <c r="D77" i="26"/>
  <c r="D53" i="26"/>
  <c r="E43" i="26"/>
  <c r="AB43" i="26" s="1"/>
  <c r="D43" i="26"/>
  <c r="D29" i="26"/>
  <c r="F23" i="26"/>
  <c r="E23" i="26"/>
  <c r="AB23" i="26" s="1"/>
  <c r="D23" i="26"/>
  <c r="AA23" i="26" s="1"/>
  <c r="F4" i="26"/>
  <c r="F3" i="26" s="1"/>
  <c r="E4" i="26"/>
  <c r="D4" i="26"/>
  <c r="L117" i="27"/>
  <c r="K117" i="27"/>
  <c r="J117" i="27"/>
  <c r="L114" i="27"/>
  <c r="K114" i="27"/>
  <c r="K119" i="27" s="1"/>
  <c r="J114" i="27"/>
  <c r="L106" i="27"/>
  <c r="K106" i="27"/>
  <c r="J106" i="27"/>
  <c r="L103" i="27"/>
  <c r="K103" i="27"/>
  <c r="J103" i="27"/>
  <c r="L96" i="27"/>
  <c r="K96" i="27"/>
  <c r="J96" i="27"/>
  <c r="L91" i="27"/>
  <c r="K91" i="27"/>
  <c r="J91" i="27"/>
  <c r="K83" i="27"/>
  <c r="J87" i="27"/>
  <c r="K75" i="27"/>
  <c r="J75" i="27"/>
  <c r="K68" i="27"/>
  <c r="J68" i="27"/>
  <c r="K67" i="27"/>
  <c r="K22" i="19" s="1"/>
  <c r="J66" i="27"/>
  <c r="K61" i="27"/>
  <c r="K21" i="19" s="1"/>
  <c r="J61" i="27"/>
  <c r="J21" i="19" s="1"/>
  <c r="K51" i="27"/>
  <c r="L51" i="27" s="1"/>
  <c r="J51" i="27"/>
  <c r="J49" i="27"/>
  <c r="L49" i="27" s="1"/>
  <c r="J48" i="27"/>
  <c r="L48" i="27" s="1"/>
  <c r="J47" i="27"/>
  <c r="L47" i="27" s="1"/>
  <c r="J42" i="27"/>
  <c r="L42" i="27" s="1"/>
  <c r="K38" i="27"/>
  <c r="J38" i="27"/>
  <c r="K37" i="27"/>
  <c r="K19" i="19" s="1"/>
  <c r="K26" i="27"/>
  <c r="J26" i="27"/>
  <c r="K22" i="27"/>
  <c r="L22" i="27" s="1"/>
  <c r="J22" i="27"/>
  <c r="K16" i="27"/>
  <c r="J16" i="27"/>
  <c r="J5" i="19" s="1"/>
  <c r="K17" i="27"/>
  <c r="K7" i="19" s="1"/>
  <c r="J12" i="27"/>
  <c r="J4" i="19" s="1"/>
  <c r="F117" i="27"/>
  <c r="E117" i="27"/>
  <c r="D117" i="27"/>
  <c r="F114" i="27"/>
  <c r="E114" i="27"/>
  <c r="D114" i="27"/>
  <c r="F106" i="27"/>
  <c r="E106" i="27"/>
  <c r="D106" i="27"/>
  <c r="F103" i="27"/>
  <c r="E103" i="27"/>
  <c r="D103" i="27"/>
  <c r="F95" i="27"/>
  <c r="E95" i="27"/>
  <c r="D95" i="27"/>
  <c r="F89" i="27"/>
  <c r="E89" i="27"/>
  <c r="D89" i="27"/>
  <c r="F83" i="27"/>
  <c r="E83" i="27"/>
  <c r="D83" i="27"/>
  <c r="F61" i="27"/>
  <c r="E61" i="27"/>
  <c r="D61" i="27"/>
  <c r="F43" i="27"/>
  <c r="E43" i="27"/>
  <c r="D43" i="27"/>
  <c r="D33" i="27"/>
  <c r="D29" i="19" s="1"/>
  <c r="F25" i="27"/>
  <c r="E25" i="27"/>
  <c r="D25" i="27"/>
  <c r="F21" i="27"/>
  <c r="E21" i="27"/>
  <c r="D21" i="27"/>
  <c r="D16" i="27"/>
  <c r="F4" i="27"/>
  <c r="E4" i="27"/>
  <c r="D4" i="27"/>
  <c r="K38" i="42"/>
  <c r="F16" i="27" l="1"/>
  <c r="D15" i="19"/>
  <c r="D82" i="27"/>
  <c r="K24" i="43"/>
  <c r="K24" i="19"/>
  <c r="J64" i="43"/>
  <c r="J50" i="43" s="1"/>
  <c r="J65" i="19"/>
  <c r="AA53" i="26"/>
  <c r="D34" i="18"/>
  <c r="Y33" i="26"/>
  <c r="L33" i="26"/>
  <c r="J55" i="26"/>
  <c r="Y55" i="26" s="1"/>
  <c r="Y58" i="26"/>
  <c r="L58" i="26"/>
  <c r="Y84" i="26"/>
  <c r="J24" i="18"/>
  <c r="AB53" i="26"/>
  <c r="E34" i="18"/>
  <c r="Y39" i="26"/>
  <c r="X39" i="26"/>
  <c r="D26" i="17"/>
  <c r="F26" i="17" s="1"/>
  <c r="F26" i="25"/>
  <c r="D97" i="25"/>
  <c r="F118" i="25"/>
  <c r="D24" i="19"/>
  <c r="F24" i="19" s="1"/>
  <c r="F29" i="19"/>
  <c r="D109" i="27"/>
  <c r="J46" i="27"/>
  <c r="J58" i="27" s="1"/>
  <c r="J20" i="19" s="1"/>
  <c r="J35" i="19"/>
  <c r="J35" i="43"/>
  <c r="K64" i="43"/>
  <c r="K50" i="43" s="1"/>
  <c r="K65" i="19"/>
  <c r="K51" i="19" s="1"/>
  <c r="L108" i="27"/>
  <c r="J119" i="27"/>
  <c r="D27" i="26"/>
  <c r="AA29" i="26"/>
  <c r="F29" i="26"/>
  <c r="AA77" i="26"/>
  <c r="E98" i="26"/>
  <c r="AB99" i="26"/>
  <c r="D125" i="26"/>
  <c r="AA119" i="26"/>
  <c r="AB122" i="26"/>
  <c r="P141" i="26"/>
  <c r="AA135" i="26"/>
  <c r="F135" i="26"/>
  <c r="D80" i="18"/>
  <c r="K5" i="18"/>
  <c r="L17" i="26"/>
  <c r="Y37" i="26"/>
  <c r="L37" i="26"/>
  <c r="Y64" i="26"/>
  <c r="L64" i="26"/>
  <c r="K21" i="18"/>
  <c r="Z84" i="26"/>
  <c r="K24" i="18"/>
  <c r="Z107" i="26"/>
  <c r="Y122" i="26"/>
  <c r="K135" i="26"/>
  <c r="Z130" i="26"/>
  <c r="P98" i="26"/>
  <c r="Q136" i="26"/>
  <c r="Y32" i="26"/>
  <c r="X32" i="26"/>
  <c r="V77" i="26"/>
  <c r="X77" i="26" s="1"/>
  <c r="Y75" i="26"/>
  <c r="X75" i="26"/>
  <c r="X135" i="26"/>
  <c r="D24" i="17"/>
  <c r="D2" i="17" s="1"/>
  <c r="J58" i="17"/>
  <c r="L88" i="25"/>
  <c r="J106" i="25"/>
  <c r="L117" i="25"/>
  <c r="J38" i="23"/>
  <c r="L38" i="23" s="1"/>
  <c r="K108" i="23"/>
  <c r="K99" i="23" s="1"/>
  <c r="D44" i="23"/>
  <c r="D26" i="16"/>
  <c r="E109" i="23"/>
  <c r="F109" i="23" s="1"/>
  <c r="L22" i="19"/>
  <c r="K35" i="43"/>
  <c r="K35" i="19"/>
  <c r="L64" i="43"/>
  <c r="L65" i="19"/>
  <c r="AA43" i="26"/>
  <c r="D29" i="18"/>
  <c r="D98" i="26"/>
  <c r="AA98" i="26" s="1"/>
  <c r="AA111" i="26"/>
  <c r="J47" i="26"/>
  <c r="Y47" i="26" s="1"/>
  <c r="Y45" i="26"/>
  <c r="L45" i="26"/>
  <c r="Y53" i="26"/>
  <c r="L53" i="26"/>
  <c r="L62" i="26"/>
  <c r="Z62" i="26"/>
  <c r="Y103" i="26"/>
  <c r="J48" i="18"/>
  <c r="L48" i="18" s="1"/>
  <c r="L103" i="26"/>
  <c r="J124" i="26"/>
  <c r="Y119" i="26"/>
  <c r="AB27" i="26"/>
  <c r="E26" i="18"/>
  <c r="V55" i="26"/>
  <c r="Y56" i="26"/>
  <c r="X56" i="26"/>
  <c r="Y65" i="26"/>
  <c r="X65" i="26"/>
  <c r="E80" i="25"/>
  <c r="J14" i="23"/>
  <c r="L12" i="23"/>
  <c r="J29" i="23"/>
  <c r="L29" i="23" s="1"/>
  <c r="L35" i="23"/>
  <c r="L43" i="23"/>
  <c r="K58" i="23"/>
  <c r="L99" i="23"/>
  <c r="D3" i="27"/>
  <c r="D120" i="27"/>
  <c r="L38" i="27"/>
  <c r="J24" i="43"/>
  <c r="J24" i="19"/>
  <c r="J56" i="19"/>
  <c r="L87" i="27"/>
  <c r="J108" i="27"/>
  <c r="L119" i="27"/>
  <c r="AA105" i="26"/>
  <c r="AB111" i="26"/>
  <c r="AA130" i="26"/>
  <c r="AB133" i="26"/>
  <c r="Y67" i="26"/>
  <c r="L67" i="26"/>
  <c r="Y91" i="26"/>
  <c r="J35" i="18"/>
  <c r="Y112" i="26"/>
  <c r="Z119" i="26"/>
  <c r="Y133" i="26"/>
  <c r="Y38" i="26"/>
  <c r="X38" i="26"/>
  <c r="X55" i="26"/>
  <c r="Y66" i="26"/>
  <c r="X66" i="26"/>
  <c r="D80" i="25"/>
  <c r="J65" i="25"/>
  <c r="J22" i="17" s="1"/>
  <c r="L62" i="25"/>
  <c r="L106" i="25"/>
  <c r="J117" i="25"/>
  <c r="J97" i="25" s="1"/>
  <c r="J43" i="23"/>
  <c r="J58" i="23" s="1"/>
  <c r="L45" i="23"/>
  <c r="J52" i="23"/>
  <c r="L53" i="23"/>
  <c r="J61" i="23"/>
  <c r="J21" i="16" s="1"/>
  <c r="L59" i="23"/>
  <c r="J67" i="23"/>
  <c r="J22" i="16" s="1"/>
  <c r="K82" i="23"/>
  <c r="J119" i="23"/>
  <c r="J99" i="23" s="1"/>
  <c r="D120" i="23"/>
  <c r="F120" i="23" s="1"/>
  <c r="J124" i="22"/>
  <c r="L124" i="22" s="1"/>
  <c r="L126" i="22"/>
  <c r="E23" i="15"/>
  <c r="F39" i="22"/>
  <c r="D35" i="15"/>
  <c r="D57" i="22"/>
  <c r="F75" i="22"/>
  <c r="E161" i="22"/>
  <c r="F161" i="22" s="1"/>
  <c r="L99" i="22"/>
  <c r="J98" i="22"/>
  <c r="K160" i="22"/>
  <c r="E36" i="15"/>
  <c r="F91" i="22"/>
  <c r="F36" i="15" s="1"/>
  <c r="F145" i="22"/>
  <c r="L46" i="22"/>
  <c r="J22" i="15"/>
  <c r="D36" i="15"/>
  <c r="J36" i="22"/>
  <c r="J19" i="15" s="1"/>
  <c r="J80" i="22"/>
  <c r="J58" i="15"/>
  <c r="J59" i="28" s="1"/>
  <c r="L25" i="34" s="1"/>
  <c r="L145" i="22"/>
  <c r="F22" i="22"/>
  <c r="L28" i="22"/>
  <c r="J4" i="15"/>
  <c r="J3" i="15" s="1"/>
  <c r="J5" i="15"/>
  <c r="D19" i="15"/>
  <c r="D19" i="28" s="1"/>
  <c r="D104" i="22"/>
  <c r="D27" i="15"/>
  <c r="F41" i="22"/>
  <c r="D24" i="15"/>
  <c r="D30" i="22"/>
  <c r="D23" i="15"/>
  <c r="L81" i="22"/>
  <c r="L24" i="22"/>
  <c r="J7" i="15"/>
  <c r="L17" i="22"/>
  <c r="D150" i="22"/>
  <c r="L135" i="22"/>
  <c r="K58" i="15"/>
  <c r="K123" i="22"/>
  <c r="K54" i="15"/>
  <c r="J48" i="28"/>
  <c r="K47" i="15"/>
  <c r="L107" i="22"/>
  <c r="K39" i="15"/>
  <c r="K80" i="22"/>
  <c r="L80" i="22" s="1"/>
  <c r="L77" i="22"/>
  <c r="K22" i="15"/>
  <c r="L22" i="15" s="1"/>
  <c r="L71" i="22"/>
  <c r="K68" i="22"/>
  <c r="L49" i="22"/>
  <c r="K48" i="22"/>
  <c r="L37" i="22"/>
  <c r="L16" i="22"/>
  <c r="K5" i="15"/>
  <c r="E27" i="15"/>
  <c r="F59" i="22"/>
  <c r="E22" i="15"/>
  <c r="F34" i="22"/>
  <c r="E19" i="15"/>
  <c r="F24" i="22"/>
  <c r="E104" i="22"/>
  <c r="F105" i="22"/>
  <c r="E16" i="15"/>
  <c r="K22" i="16"/>
  <c r="L22" i="16" s="1"/>
  <c r="L67" i="23"/>
  <c r="K21" i="16"/>
  <c r="L21" i="16" s="1"/>
  <c r="L61" i="23"/>
  <c r="L52" i="23"/>
  <c r="K7" i="16"/>
  <c r="L7" i="16" s="1"/>
  <c r="L19" i="23"/>
  <c r="J83" i="23"/>
  <c r="J57" i="16"/>
  <c r="L90" i="23"/>
  <c r="J20" i="16"/>
  <c r="J42" i="23"/>
  <c r="J3" i="23"/>
  <c r="J4" i="16"/>
  <c r="L14" i="23"/>
  <c r="E26" i="16"/>
  <c r="E24" i="16" s="1"/>
  <c r="F28" i="23"/>
  <c r="K80" i="25"/>
  <c r="L80" i="25" s="1"/>
  <c r="L81" i="25"/>
  <c r="K22" i="17"/>
  <c r="L22" i="17" s="1"/>
  <c r="L65" i="25"/>
  <c r="L50" i="25"/>
  <c r="L27" i="25"/>
  <c r="J7" i="17"/>
  <c r="L17" i="25"/>
  <c r="K7" i="17"/>
  <c r="L7" i="17" s="1"/>
  <c r="K5" i="17"/>
  <c r="L5" i="17" s="1"/>
  <c r="L16" i="25"/>
  <c r="K3" i="25"/>
  <c r="K4" i="17"/>
  <c r="L57" i="25"/>
  <c r="J21" i="17"/>
  <c r="L21" i="17" s="1"/>
  <c r="J54" i="25"/>
  <c r="L39" i="25"/>
  <c r="L38" i="25"/>
  <c r="J19" i="17"/>
  <c r="L19" i="17" s="1"/>
  <c r="J35" i="25"/>
  <c r="L23" i="25"/>
  <c r="J3" i="25"/>
  <c r="J4" i="17"/>
  <c r="L12" i="25"/>
  <c r="E3" i="26"/>
  <c r="AB3" i="26" s="1"/>
  <c r="AB4" i="26"/>
  <c r="D3" i="26"/>
  <c r="AA3" i="26" s="1"/>
  <c r="AA4" i="26"/>
  <c r="L48" i="26"/>
  <c r="Z47" i="26"/>
  <c r="K19" i="18"/>
  <c r="L47" i="26"/>
  <c r="K3" i="18"/>
  <c r="E25" i="26"/>
  <c r="E29" i="18"/>
  <c r="F43" i="26"/>
  <c r="V3" i="26"/>
  <c r="X13" i="26"/>
  <c r="J51" i="18"/>
  <c r="L106" i="26"/>
  <c r="L51" i="18" s="1"/>
  <c r="J22" i="18"/>
  <c r="L22" i="18" s="1"/>
  <c r="L83" i="26"/>
  <c r="L77" i="26"/>
  <c r="J5" i="18"/>
  <c r="J18" i="26"/>
  <c r="L13" i="26"/>
  <c r="J4" i="18"/>
  <c r="L16" i="27"/>
  <c r="K5" i="19"/>
  <c r="L5" i="19" s="1"/>
  <c r="L21" i="19"/>
  <c r="L61" i="27"/>
  <c r="L26" i="27"/>
  <c r="J3" i="19"/>
  <c r="K64" i="28"/>
  <c r="L74" i="28"/>
  <c r="K19" i="43"/>
  <c r="K4" i="15"/>
  <c r="L12" i="22"/>
  <c r="E29" i="43"/>
  <c r="K88" i="22"/>
  <c r="K36" i="22"/>
  <c r="E138" i="22"/>
  <c r="K3" i="23"/>
  <c r="L3" i="23" s="1"/>
  <c r="K5" i="16"/>
  <c r="L18" i="23"/>
  <c r="F24" i="17"/>
  <c r="K3" i="26"/>
  <c r="Z24" i="26"/>
  <c r="L124" i="26"/>
  <c r="L115" i="26" s="1"/>
  <c r="V135" i="26"/>
  <c r="Q125" i="26"/>
  <c r="V62" i="26"/>
  <c r="X62" i="26" s="1"/>
  <c r="F98" i="26"/>
  <c r="Z48" i="26"/>
  <c r="Z13" i="26"/>
  <c r="E125" i="26"/>
  <c r="L19" i="26"/>
  <c r="Z17" i="26"/>
  <c r="J62" i="26"/>
  <c r="J135" i="26"/>
  <c r="J115" i="26" s="1"/>
  <c r="P25" i="26"/>
  <c r="P2" i="26" s="1"/>
  <c r="Q25" i="26"/>
  <c r="Q2" i="26" s="1"/>
  <c r="R25" i="26"/>
  <c r="P136" i="26"/>
  <c r="V124" i="26"/>
  <c r="W135" i="26"/>
  <c r="W115" i="26" s="1"/>
  <c r="Z83" i="26"/>
  <c r="E136" i="26"/>
  <c r="Z91" i="26"/>
  <c r="K98" i="26"/>
  <c r="K124" i="26"/>
  <c r="Q98" i="26"/>
  <c r="R98" i="26"/>
  <c r="P125" i="26"/>
  <c r="P115" i="26" s="1"/>
  <c r="Z77" i="26"/>
  <c r="X124" i="26"/>
  <c r="X115" i="26" s="1"/>
  <c r="W98" i="26"/>
  <c r="Z99" i="26"/>
  <c r="Z55" i="26"/>
  <c r="Z28" i="26"/>
  <c r="K44" i="26"/>
  <c r="E99" i="23"/>
  <c r="E26" i="23"/>
  <c r="D24" i="25"/>
  <c r="D2" i="25" s="1"/>
  <c r="D119" i="25" s="1"/>
  <c r="E24" i="25"/>
  <c r="K35" i="25"/>
  <c r="K18" i="17" s="1"/>
  <c r="D23" i="27"/>
  <c r="E120" i="27"/>
  <c r="F120" i="27" s="1"/>
  <c r="L46" i="27"/>
  <c r="J67" i="27"/>
  <c r="J22" i="19" s="1"/>
  <c r="L66" i="27"/>
  <c r="K82" i="27"/>
  <c r="K108" i="27"/>
  <c r="K99" i="27" s="1"/>
  <c r="E82" i="27"/>
  <c r="D99" i="27"/>
  <c r="L67" i="27"/>
  <c r="E109" i="27"/>
  <c r="F109" i="27" s="1"/>
  <c r="J37" i="27"/>
  <c r="L35" i="27"/>
  <c r="D2" i="27"/>
  <c r="D121" i="27" s="1"/>
  <c r="E23" i="27"/>
  <c r="F23" i="27" s="1"/>
  <c r="F33" i="27"/>
  <c r="K34" i="27"/>
  <c r="K18" i="19" s="1"/>
  <c r="J148" i="22"/>
  <c r="J105" i="22"/>
  <c r="K138" i="22"/>
  <c r="J91" i="22"/>
  <c r="J58" i="22"/>
  <c r="K105" i="22"/>
  <c r="K3" i="22"/>
  <c r="J3" i="22"/>
  <c r="E30" i="22"/>
  <c r="E3" i="22"/>
  <c r="J48" i="22"/>
  <c r="D16" i="22"/>
  <c r="D23" i="22"/>
  <c r="K37" i="23"/>
  <c r="K20" i="16"/>
  <c r="K54" i="25"/>
  <c r="K20" i="17" s="1"/>
  <c r="E97" i="25"/>
  <c r="F97" i="25" s="1"/>
  <c r="V74" i="26"/>
  <c r="W74" i="26"/>
  <c r="J28" i="26"/>
  <c r="J99" i="26"/>
  <c r="Y99" i="26" s="1"/>
  <c r="D25" i="26"/>
  <c r="D136" i="26"/>
  <c r="V28" i="26"/>
  <c r="W44" i="26"/>
  <c r="K74" i="26"/>
  <c r="J3" i="26"/>
  <c r="E2" i="26"/>
  <c r="V18" i="26"/>
  <c r="V99" i="26"/>
  <c r="R2" i="26"/>
  <c r="K58" i="27"/>
  <c r="K20" i="19" s="1"/>
  <c r="J34" i="27"/>
  <c r="J3" i="27"/>
  <c r="J17" i="27"/>
  <c r="F82" i="27"/>
  <c r="E3" i="27"/>
  <c r="L99" i="27"/>
  <c r="J90" i="27"/>
  <c r="K12" i="27"/>
  <c r="K4" i="19" s="1"/>
  <c r="K3" i="19" s="1"/>
  <c r="J22" i="25" l="1"/>
  <c r="D30" i="16"/>
  <c r="F44" i="23"/>
  <c r="R136" i="26"/>
  <c r="D99" i="23"/>
  <c r="J83" i="27"/>
  <c r="L90" i="27"/>
  <c r="L59" i="19" s="1"/>
  <c r="J59" i="19"/>
  <c r="L17" i="27"/>
  <c r="J7" i="19"/>
  <c r="L7" i="19" s="1"/>
  <c r="J74" i="26"/>
  <c r="Y74" i="26" s="1"/>
  <c r="D26" i="23"/>
  <c r="D2" i="23" s="1"/>
  <c r="D121" i="23" s="1"/>
  <c r="Z98" i="26"/>
  <c r="V115" i="26"/>
  <c r="Y115" i="26" s="1"/>
  <c r="Y18" i="26"/>
  <c r="F25" i="26"/>
  <c r="AB25" i="26"/>
  <c r="L97" i="25"/>
  <c r="L55" i="26"/>
  <c r="L56" i="19"/>
  <c r="J52" i="19"/>
  <c r="J37" i="23"/>
  <c r="Y124" i="26"/>
  <c r="J19" i="18"/>
  <c r="L19" i="18" s="1"/>
  <c r="AA125" i="26"/>
  <c r="Y77" i="26"/>
  <c r="X18" i="26"/>
  <c r="J7" i="18"/>
  <c r="F99" i="23"/>
  <c r="D115" i="26"/>
  <c r="AA115" i="26" s="1"/>
  <c r="AA136" i="26"/>
  <c r="F136" i="26"/>
  <c r="AB136" i="26"/>
  <c r="F125" i="26"/>
  <c r="AB125" i="26"/>
  <c r="L3" i="26"/>
  <c r="Y3" i="26"/>
  <c r="L28" i="26"/>
  <c r="Y28" i="26"/>
  <c r="Y135" i="26"/>
  <c r="L3" i="25"/>
  <c r="F26" i="18"/>
  <c r="D3" i="19"/>
  <c r="F15" i="19"/>
  <c r="D2" i="26"/>
  <c r="AA2" i="26" s="1"/>
  <c r="AA25" i="26"/>
  <c r="K115" i="26"/>
  <c r="Z115" i="26" s="1"/>
  <c r="Z124" i="26"/>
  <c r="Y62" i="26"/>
  <c r="J21" i="18"/>
  <c r="K3" i="17"/>
  <c r="J99" i="27"/>
  <c r="D24" i="16"/>
  <c r="D2" i="16" s="1"/>
  <c r="D88" i="16" s="1"/>
  <c r="D89" i="16" s="1"/>
  <c r="J51" i="17"/>
  <c r="L58" i="17"/>
  <c r="Z135" i="26"/>
  <c r="D81" i="18"/>
  <c r="F80" i="18"/>
  <c r="D86" i="28"/>
  <c r="J159" i="22"/>
  <c r="AB98" i="26"/>
  <c r="AA27" i="26"/>
  <c r="D26" i="18"/>
  <c r="D24" i="18" s="1"/>
  <c r="D2" i="18" s="1"/>
  <c r="F27" i="26"/>
  <c r="L50" i="43"/>
  <c r="E23" i="28"/>
  <c r="F23" i="15"/>
  <c r="L5" i="15"/>
  <c r="F35" i="15"/>
  <c r="D35" i="28"/>
  <c r="J123" i="22"/>
  <c r="L123" i="22" s="1"/>
  <c r="J54" i="15"/>
  <c r="L98" i="22"/>
  <c r="J41" i="15"/>
  <c r="L7" i="15"/>
  <c r="L91" i="22"/>
  <c r="J23" i="15"/>
  <c r="D138" i="22"/>
  <c r="F138" i="22" s="1"/>
  <c r="J68" i="22"/>
  <c r="J23" i="22" s="1"/>
  <c r="F57" i="22"/>
  <c r="J20" i="15"/>
  <c r="K23" i="15"/>
  <c r="F150" i="22"/>
  <c r="F104" i="22"/>
  <c r="D25" i="15"/>
  <c r="D27" i="28"/>
  <c r="D24" i="28"/>
  <c r="F24" i="28" s="1"/>
  <c r="F24" i="15"/>
  <c r="D23" i="28"/>
  <c r="D20" i="15"/>
  <c r="J88" i="22"/>
  <c r="J39" i="15"/>
  <c r="L39" i="15" s="1"/>
  <c r="L58" i="22"/>
  <c r="J49" i="15"/>
  <c r="L115" i="22"/>
  <c r="L3" i="22"/>
  <c r="D3" i="22"/>
  <c r="F3" i="22" s="1"/>
  <c r="D16" i="15"/>
  <c r="F16" i="15" s="1"/>
  <c r="F16" i="22"/>
  <c r="L58" i="15"/>
  <c r="K59" i="28"/>
  <c r="K53" i="15"/>
  <c r="L54" i="15"/>
  <c r="K55" i="28"/>
  <c r="K48" i="28"/>
  <c r="K45" i="15"/>
  <c r="L47" i="15"/>
  <c r="L105" i="22"/>
  <c r="K104" i="22"/>
  <c r="K39" i="28"/>
  <c r="K36" i="15"/>
  <c r="K21" i="15"/>
  <c r="K20" i="15"/>
  <c r="L48" i="22"/>
  <c r="L36" i="22"/>
  <c r="K23" i="22"/>
  <c r="K19" i="15"/>
  <c r="F27" i="15"/>
  <c r="E25" i="15"/>
  <c r="E22" i="28"/>
  <c r="F22" i="28" s="1"/>
  <c r="F22" i="15"/>
  <c r="E20" i="15"/>
  <c r="E18" i="15" s="1"/>
  <c r="E23" i="22"/>
  <c r="F23" i="22" s="1"/>
  <c r="F30" i="22"/>
  <c r="E19" i="28"/>
  <c r="F19" i="15"/>
  <c r="E3" i="15"/>
  <c r="E16" i="28"/>
  <c r="L58" i="23"/>
  <c r="L20" i="16"/>
  <c r="K18" i="16"/>
  <c r="J50" i="16"/>
  <c r="L57" i="16"/>
  <c r="J82" i="23"/>
  <c r="L82" i="23" s="1"/>
  <c r="L83" i="23"/>
  <c r="J19" i="16"/>
  <c r="L42" i="23"/>
  <c r="J3" i="16"/>
  <c r="L4" i="16"/>
  <c r="F26" i="16"/>
  <c r="E27" i="28"/>
  <c r="K17" i="17"/>
  <c r="K2" i="17" s="1"/>
  <c r="K89" i="17" s="1"/>
  <c r="K22" i="25"/>
  <c r="K2" i="25" s="1"/>
  <c r="K119" i="25" s="1"/>
  <c r="J20" i="17"/>
  <c r="L20" i="17" s="1"/>
  <c r="L54" i="25"/>
  <c r="J2" i="25"/>
  <c r="L22" i="25"/>
  <c r="J18" i="17"/>
  <c r="L35" i="25"/>
  <c r="L4" i="17"/>
  <c r="J3" i="17"/>
  <c r="AB2" i="26"/>
  <c r="Q115" i="26"/>
  <c r="R115" i="26" s="1"/>
  <c r="R125" i="26"/>
  <c r="F29" i="18"/>
  <c r="E24" i="18"/>
  <c r="V98" i="26"/>
  <c r="X98" i="26" s="1"/>
  <c r="X99" i="26"/>
  <c r="V44" i="26"/>
  <c r="X28" i="26"/>
  <c r="X25" i="26" s="1"/>
  <c r="X24" i="26" s="1"/>
  <c r="Z3" i="26"/>
  <c r="X3" i="26"/>
  <c r="J98" i="26"/>
  <c r="L99" i="26"/>
  <c r="J44" i="18"/>
  <c r="J53" i="28"/>
  <c r="L74" i="26"/>
  <c r="J20" i="18"/>
  <c r="J44" i="26"/>
  <c r="L5" i="18"/>
  <c r="J3" i="18"/>
  <c r="L4" i="18"/>
  <c r="L148" i="22"/>
  <c r="K17" i="19"/>
  <c r="K2" i="19" s="1"/>
  <c r="K90" i="19" s="1"/>
  <c r="K92" i="19" s="1"/>
  <c r="L4" i="19"/>
  <c r="L3" i="19"/>
  <c r="L58" i="27"/>
  <c r="L20" i="19"/>
  <c r="L37" i="27"/>
  <c r="J19" i="19"/>
  <c r="J21" i="27"/>
  <c r="J18" i="19"/>
  <c r="E99" i="27"/>
  <c r="F99" i="27" s="1"/>
  <c r="M64" i="28"/>
  <c r="Z74" i="26"/>
  <c r="X74" i="26"/>
  <c r="K20" i="18"/>
  <c r="L44" i="26"/>
  <c r="K18" i="18"/>
  <c r="K3" i="15"/>
  <c r="L4" i="15"/>
  <c r="E2" i="23"/>
  <c r="F2" i="23" s="1"/>
  <c r="F26" i="23"/>
  <c r="E2" i="16"/>
  <c r="E30" i="28"/>
  <c r="L5" i="16"/>
  <c r="K3" i="16"/>
  <c r="D89" i="17"/>
  <c r="D90" i="17" s="1"/>
  <c r="F2" i="17"/>
  <c r="E115" i="26"/>
  <c r="Q137" i="26"/>
  <c r="J23" i="26"/>
  <c r="P137" i="26"/>
  <c r="Z19" i="26"/>
  <c r="K18" i="26"/>
  <c r="L18" i="26" s="1"/>
  <c r="W23" i="26"/>
  <c r="Z44" i="26"/>
  <c r="K23" i="26"/>
  <c r="K24" i="23"/>
  <c r="K2" i="23" s="1"/>
  <c r="E2" i="25"/>
  <c r="F2" i="25" s="1"/>
  <c r="F24" i="25"/>
  <c r="E2" i="27"/>
  <c r="F2" i="27" s="1"/>
  <c r="F3" i="27"/>
  <c r="K3" i="27"/>
  <c r="L3" i="27" s="1"/>
  <c r="L12" i="27"/>
  <c r="L34" i="27"/>
  <c r="K21" i="27"/>
  <c r="J2" i="27"/>
  <c r="J2" i="26" l="1"/>
  <c r="F81" i="18"/>
  <c r="D60" i="18"/>
  <c r="J18" i="16"/>
  <c r="J24" i="23"/>
  <c r="J2" i="23" s="1"/>
  <c r="D31" i="28"/>
  <c r="F31" i="28" s="1"/>
  <c r="F30" i="16"/>
  <c r="D137" i="26"/>
  <c r="E121" i="23"/>
  <c r="F121" i="23" s="1"/>
  <c r="L98" i="26"/>
  <c r="Y98" i="26"/>
  <c r="F2" i="26"/>
  <c r="J82" i="15"/>
  <c r="L159" i="22"/>
  <c r="J160" i="22"/>
  <c r="L52" i="19"/>
  <c r="L51" i="19" s="1"/>
  <c r="J51" i="19"/>
  <c r="F115" i="26"/>
  <c r="AB115" i="26"/>
  <c r="F24" i="16"/>
  <c r="D87" i="28"/>
  <c r="D88" i="28"/>
  <c r="F88" i="28" s="1"/>
  <c r="F86" i="28"/>
  <c r="D2" i="19"/>
  <c r="F3" i="19"/>
  <c r="J82" i="27"/>
  <c r="J121" i="27" s="1"/>
  <c r="J123" i="27" s="1"/>
  <c r="L83" i="27"/>
  <c r="L82" i="27" s="1"/>
  <c r="J18" i="18"/>
  <c r="Y44" i="26"/>
  <c r="L37" i="23"/>
  <c r="J50" i="17"/>
  <c r="L50" i="17" s="1"/>
  <c r="L51" i="17"/>
  <c r="L21" i="18"/>
  <c r="J41" i="28"/>
  <c r="L41" i="28" s="1"/>
  <c r="L41" i="15"/>
  <c r="J104" i="22"/>
  <c r="J53" i="15"/>
  <c r="L53" i="15" s="1"/>
  <c r="J55" i="28"/>
  <c r="J54" i="28" s="1"/>
  <c r="L24" i="34" s="1"/>
  <c r="F23" i="28"/>
  <c r="L68" i="22"/>
  <c r="L20" i="15"/>
  <c r="F25" i="15"/>
  <c r="L23" i="15"/>
  <c r="J21" i="15"/>
  <c r="L21" i="15" s="1"/>
  <c r="L88" i="22"/>
  <c r="J2" i="22"/>
  <c r="D2" i="22"/>
  <c r="D162" i="22" s="1"/>
  <c r="F27" i="28"/>
  <c r="D20" i="28"/>
  <c r="D18" i="28" s="1"/>
  <c r="E11" i="34" s="1"/>
  <c r="D18" i="15"/>
  <c r="F18" i="15" s="1"/>
  <c r="J36" i="15"/>
  <c r="L36" i="15" s="1"/>
  <c r="J39" i="28"/>
  <c r="J36" i="28" s="1"/>
  <c r="L14" i="34" s="1"/>
  <c r="L23" i="22"/>
  <c r="L49" i="15"/>
  <c r="J50" i="28"/>
  <c r="L50" i="28" s="1"/>
  <c r="J45" i="15"/>
  <c r="D3" i="15"/>
  <c r="F3" i="15" s="1"/>
  <c r="D16" i="28"/>
  <c r="D3" i="28" s="1"/>
  <c r="E10" i="34" s="1"/>
  <c r="M25" i="34"/>
  <c r="L59" i="28"/>
  <c r="K54" i="28"/>
  <c r="L55" i="28"/>
  <c r="K20" i="28"/>
  <c r="L104" i="22"/>
  <c r="K44" i="15"/>
  <c r="L48" i="28"/>
  <c r="K46" i="28"/>
  <c r="K36" i="28"/>
  <c r="K2" i="22"/>
  <c r="K162" i="22" s="1"/>
  <c r="L19" i="15"/>
  <c r="K18" i="15"/>
  <c r="E2" i="22"/>
  <c r="E162" i="22" s="1"/>
  <c r="E20" i="28"/>
  <c r="F20" i="15"/>
  <c r="F19" i="28"/>
  <c r="E3" i="28"/>
  <c r="F10" i="34" s="1"/>
  <c r="E2" i="15"/>
  <c r="L18" i="16"/>
  <c r="K17" i="16"/>
  <c r="K2" i="16" s="1"/>
  <c r="J121" i="23"/>
  <c r="J123" i="23" s="1"/>
  <c r="J49" i="16"/>
  <c r="L49" i="16" s="1"/>
  <c r="L50" i="16"/>
  <c r="L19" i="16"/>
  <c r="J17" i="16"/>
  <c r="L2" i="25"/>
  <c r="K91" i="17"/>
  <c r="J119" i="25"/>
  <c r="L119" i="25" s="1"/>
  <c r="L18" i="17"/>
  <c r="J17" i="17"/>
  <c r="L17" i="17" s="1"/>
  <c r="L3" i="17"/>
  <c r="AA137" i="26"/>
  <c r="R137" i="26"/>
  <c r="Z18" i="26"/>
  <c r="K7" i="18"/>
  <c r="L7" i="18" s="1"/>
  <c r="E137" i="26"/>
  <c r="AB137" i="26" s="1"/>
  <c r="F24" i="18"/>
  <c r="E2" i="18"/>
  <c r="V23" i="26"/>
  <c r="V2" i="26" s="1"/>
  <c r="V137" i="26" s="1"/>
  <c r="X44" i="26"/>
  <c r="L53" i="28"/>
  <c r="J43" i="18"/>
  <c r="L43" i="18" s="1"/>
  <c r="L44" i="18"/>
  <c r="J17" i="18"/>
  <c r="J2" i="18" s="1"/>
  <c r="L3" i="18"/>
  <c r="L19" i="19"/>
  <c r="J17" i="19"/>
  <c r="L18" i="19"/>
  <c r="W2" i="26"/>
  <c r="L20" i="18"/>
  <c r="K2" i="26"/>
  <c r="L23" i="26"/>
  <c r="L18" i="18"/>
  <c r="K17" i="18"/>
  <c r="L3" i="15"/>
  <c r="F2" i="16"/>
  <c r="E88" i="16"/>
  <c r="L3" i="16"/>
  <c r="K121" i="23"/>
  <c r="L2" i="23"/>
  <c r="F89" i="17"/>
  <c r="Z23" i="26"/>
  <c r="E119" i="25"/>
  <c r="E90" i="17" s="1"/>
  <c r="E121" i="27"/>
  <c r="K2" i="27"/>
  <c r="L2" i="27" s="1"/>
  <c r="L21" i="27"/>
  <c r="V140" i="26"/>
  <c r="E91" i="16" l="1"/>
  <c r="E90" i="16"/>
  <c r="L24" i="23"/>
  <c r="L160" i="22"/>
  <c r="J138" i="22"/>
  <c r="L138" i="22" s="1"/>
  <c r="E92" i="16"/>
  <c r="J44" i="15"/>
  <c r="L44" i="15" s="1"/>
  <c r="D64" i="28"/>
  <c r="F64" i="28" s="1"/>
  <c r="F87" i="28"/>
  <c r="J85" i="28"/>
  <c r="J83" i="15"/>
  <c r="L82" i="15"/>
  <c r="J137" i="26"/>
  <c r="Y2" i="26"/>
  <c r="V141" i="26"/>
  <c r="Y23" i="26"/>
  <c r="F137" i="26"/>
  <c r="D90" i="19"/>
  <c r="F2" i="19"/>
  <c r="D82" i="18"/>
  <c r="D83" i="18" s="1"/>
  <c r="F60" i="18"/>
  <c r="F162" i="22"/>
  <c r="J162" i="22"/>
  <c r="L162" i="22" s="1"/>
  <c r="J46" i="28"/>
  <c r="J45" i="28" s="1"/>
  <c r="F20" i="28"/>
  <c r="J18" i="15"/>
  <c r="J2" i="15" s="1"/>
  <c r="D2" i="15"/>
  <c r="D85" i="15" s="1"/>
  <c r="D87" i="15" s="1"/>
  <c r="L39" i="28"/>
  <c r="L45" i="15"/>
  <c r="F16" i="28"/>
  <c r="M24" i="34"/>
  <c r="L54" i="28"/>
  <c r="K45" i="28"/>
  <c r="M23" i="34"/>
  <c r="L36" i="28"/>
  <c r="M14" i="34"/>
  <c r="K2" i="15"/>
  <c r="K85" i="15" s="1"/>
  <c r="K86" i="15" s="1"/>
  <c r="K165" i="22"/>
  <c r="L2" i="22"/>
  <c r="F2" i="22"/>
  <c r="E18" i="28"/>
  <c r="F3" i="28"/>
  <c r="E85" i="15"/>
  <c r="E87" i="15" s="1"/>
  <c r="L17" i="16"/>
  <c r="J2" i="16"/>
  <c r="J88" i="16" s="1"/>
  <c r="J90" i="16" s="1"/>
  <c r="J120" i="25"/>
  <c r="J2" i="17"/>
  <c r="L2" i="17" s="1"/>
  <c r="W140" i="26"/>
  <c r="E82" i="18"/>
  <c r="F2" i="18"/>
  <c r="V139" i="26"/>
  <c r="X2" i="26"/>
  <c r="X23" i="26"/>
  <c r="J82" i="18"/>
  <c r="J83" i="18" s="1"/>
  <c r="K121" i="27"/>
  <c r="L17" i="19"/>
  <c r="J2" i="19"/>
  <c r="Z2" i="26"/>
  <c r="W137" i="26"/>
  <c r="W139" i="26" s="1"/>
  <c r="K2" i="18"/>
  <c r="L17" i="18"/>
  <c r="K137" i="26"/>
  <c r="W141" i="26" s="1"/>
  <c r="L2" i="26"/>
  <c r="F88" i="16"/>
  <c r="E89" i="16"/>
  <c r="E91" i="19"/>
  <c r="F121" i="27"/>
  <c r="J165" i="22"/>
  <c r="K88" i="16"/>
  <c r="L121" i="23"/>
  <c r="K123" i="23"/>
  <c r="K120" i="25"/>
  <c r="F119" i="25"/>
  <c r="K123" i="27"/>
  <c r="D113" i="42"/>
  <c r="D110" i="42"/>
  <c r="D116" i="42" s="1"/>
  <c r="D102" i="42"/>
  <c r="D99" i="42"/>
  <c r="D91" i="42"/>
  <c r="D85" i="42"/>
  <c r="D79" i="42"/>
  <c r="D57" i="42"/>
  <c r="D44" i="42"/>
  <c r="D38" i="42"/>
  <c r="F38" i="42" s="1"/>
  <c r="D26" i="42"/>
  <c r="D22" i="42"/>
  <c r="D4" i="42"/>
  <c r="D3" i="42" s="1"/>
  <c r="J113" i="42"/>
  <c r="J110" i="42"/>
  <c r="J102" i="42"/>
  <c r="J99" i="42"/>
  <c r="J104" i="42" s="1"/>
  <c r="J92" i="42"/>
  <c r="J87" i="42"/>
  <c r="J79" i="42"/>
  <c r="J71" i="42"/>
  <c r="J64" i="42"/>
  <c r="J62" i="42"/>
  <c r="L62" i="42" s="1"/>
  <c r="J57" i="42"/>
  <c r="J21" i="43" s="1"/>
  <c r="J22" i="28" s="1"/>
  <c r="J51" i="42"/>
  <c r="J50" i="42"/>
  <c r="L50" i="42" s="1"/>
  <c r="J44" i="42"/>
  <c r="L44" i="42" s="1"/>
  <c r="J42" i="42"/>
  <c r="L42" i="42" s="1"/>
  <c r="J40" i="42"/>
  <c r="J37" i="42"/>
  <c r="L37" i="42" s="1"/>
  <c r="J32" i="42"/>
  <c r="J23" i="42"/>
  <c r="J14" i="42"/>
  <c r="L14" i="42" s="1"/>
  <c r="L113" i="42"/>
  <c r="K113" i="42"/>
  <c r="L110" i="42"/>
  <c r="K110" i="42"/>
  <c r="K115" i="42" s="1"/>
  <c r="L102" i="42"/>
  <c r="K102" i="42"/>
  <c r="L99" i="42"/>
  <c r="K99" i="42"/>
  <c r="K104" i="42" s="1"/>
  <c r="K95" i="42" s="1"/>
  <c r="L92" i="42"/>
  <c r="K92" i="42"/>
  <c r="L87" i="42"/>
  <c r="K87" i="42"/>
  <c r="K79" i="42"/>
  <c r="K78" i="42" s="1"/>
  <c r="L71" i="42"/>
  <c r="K71" i="42"/>
  <c r="L64" i="42"/>
  <c r="K64" i="42"/>
  <c r="K63" i="42"/>
  <c r="K22" i="43" s="1"/>
  <c r="K23" i="28" s="1"/>
  <c r="K57" i="42"/>
  <c r="K48" i="42"/>
  <c r="K39" i="42"/>
  <c r="K27" i="42"/>
  <c r="K23" i="42"/>
  <c r="L23" i="42" s="1"/>
  <c r="K16" i="42"/>
  <c r="F113" i="42"/>
  <c r="E113" i="42"/>
  <c r="F110" i="42"/>
  <c r="E110" i="42"/>
  <c r="E116" i="42" s="1"/>
  <c r="F102" i="42"/>
  <c r="E102" i="42"/>
  <c r="F99" i="42"/>
  <c r="E99" i="42"/>
  <c r="E105" i="42" s="1"/>
  <c r="F91" i="42"/>
  <c r="E91" i="42"/>
  <c r="F85" i="42"/>
  <c r="E85" i="42"/>
  <c r="F79" i="42"/>
  <c r="F78" i="42" s="1"/>
  <c r="E79" i="42"/>
  <c r="F57" i="42"/>
  <c r="E57" i="42"/>
  <c r="E44" i="42"/>
  <c r="F26" i="42"/>
  <c r="E26" i="42"/>
  <c r="F22" i="42"/>
  <c r="E22" i="42"/>
  <c r="F4" i="42"/>
  <c r="F3" i="42" s="1"/>
  <c r="E4" i="42"/>
  <c r="E3" i="42"/>
  <c r="L32" i="42" l="1"/>
  <c r="J27" i="42"/>
  <c r="L27" i="42" s="1"/>
  <c r="E86" i="18"/>
  <c r="E87" i="18"/>
  <c r="J61" i="15"/>
  <c r="L61" i="15" s="1"/>
  <c r="L83" i="15"/>
  <c r="J39" i="42"/>
  <c r="J54" i="42" s="1"/>
  <c r="J20" i="43" s="1"/>
  <c r="J21" i="28" s="1"/>
  <c r="L40" i="42"/>
  <c r="J48" i="42"/>
  <c r="L48" i="42" s="1"/>
  <c r="L51" i="42"/>
  <c r="D34" i="42"/>
  <c r="D78" i="42"/>
  <c r="L2" i="16"/>
  <c r="F90" i="19"/>
  <c r="D91" i="19"/>
  <c r="J86" i="28"/>
  <c r="J88" i="28"/>
  <c r="L88" i="28" s="1"/>
  <c r="L85" i="28"/>
  <c r="F116" i="42"/>
  <c r="L104" i="42"/>
  <c r="L95" i="42" s="1"/>
  <c r="L115" i="42"/>
  <c r="J16" i="42"/>
  <c r="J5" i="43" s="1"/>
  <c r="J5" i="28" s="1"/>
  <c r="J38" i="42"/>
  <c r="J63" i="42"/>
  <c r="J115" i="42"/>
  <c r="J95" i="42" s="1"/>
  <c r="D105" i="42"/>
  <c r="D95" i="42" s="1"/>
  <c r="E85" i="18"/>
  <c r="Y137" i="26"/>
  <c r="J139" i="26"/>
  <c r="F18" i="28"/>
  <c r="F11" i="34"/>
  <c r="L18" i="15"/>
  <c r="F2" i="15"/>
  <c r="L165" i="22"/>
  <c r="L23" i="34"/>
  <c r="L46" i="28"/>
  <c r="M28" i="34"/>
  <c r="F30" i="34" s="1"/>
  <c r="L45" i="28"/>
  <c r="L2" i="15"/>
  <c r="F85" i="15"/>
  <c r="J89" i="17"/>
  <c r="L89" i="17" s="1"/>
  <c r="W142" i="26"/>
  <c r="X137" i="26"/>
  <c r="Z137" i="26"/>
  <c r="F82" i="18"/>
  <c r="E83" i="18"/>
  <c r="L121" i="27"/>
  <c r="K91" i="19"/>
  <c r="L2" i="19"/>
  <c r="J90" i="19"/>
  <c r="K21" i="43"/>
  <c r="L57" i="42"/>
  <c r="K5" i="43"/>
  <c r="L16" i="42"/>
  <c r="J78" i="42"/>
  <c r="L78" i="42" s="1"/>
  <c r="L79" i="42"/>
  <c r="J22" i="43"/>
  <c r="L63" i="42"/>
  <c r="E34" i="43"/>
  <c r="E24" i="42"/>
  <c r="L2" i="18"/>
  <c r="K82" i="18"/>
  <c r="L137" i="26"/>
  <c r="K139" i="26"/>
  <c r="K87" i="15"/>
  <c r="L88" i="16"/>
  <c r="K90" i="16"/>
  <c r="K54" i="42"/>
  <c r="K35" i="42"/>
  <c r="K18" i="43" s="1"/>
  <c r="J35" i="42"/>
  <c r="J12" i="42"/>
  <c r="J17" i="42"/>
  <c r="J7" i="43" s="1"/>
  <c r="J7" i="28" s="1"/>
  <c r="L11" i="34" s="1"/>
  <c r="E78" i="42"/>
  <c r="K17" i="42"/>
  <c r="K12" i="42"/>
  <c r="E95" i="42"/>
  <c r="F95" i="42" s="1"/>
  <c r="F105" i="42" l="1"/>
  <c r="J64" i="28"/>
  <c r="L64" i="28" s="1"/>
  <c r="L86" i="28"/>
  <c r="J85" i="15"/>
  <c r="D24" i="42"/>
  <c r="D2" i="42" s="1"/>
  <c r="D117" i="42" s="1"/>
  <c r="D29" i="43"/>
  <c r="F34" i="42"/>
  <c r="L39" i="42"/>
  <c r="J19" i="43"/>
  <c r="L38" i="42"/>
  <c r="L28" i="34"/>
  <c r="E30" i="34" s="1"/>
  <c r="J91" i="17"/>
  <c r="J91" i="19"/>
  <c r="L90" i="19"/>
  <c r="K22" i="28"/>
  <c r="L21" i="43"/>
  <c r="K20" i="43"/>
  <c r="K17" i="43" s="1"/>
  <c r="L54" i="42"/>
  <c r="K19" i="28"/>
  <c r="L17" i="42"/>
  <c r="K7" i="43"/>
  <c r="L5" i="43"/>
  <c r="K5" i="28"/>
  <c r="K3" i="42"/>
  <c r="K4" i="43"/>
  <c r="J23" i="28"/>
  <c r="L23" i="28" s="1"/>
  <c r="L22" i="43"/>
  <c r="J22" i="42"/>
  <c r="J18" i="43"/>
  <c r="L35" i="42"/>
  <c r="J3" i="42"/>
  <c r="L12" i="42"/>
  <c r="J4" i="43"/>
  <c r="E35" i="28"/>
  <c r="E24" i="43"/>
  <c r="K84" i="18"/>
  <c r="L82" i="18"/>
  <c r="K83" i="18"/>
  <c r="E2" i="42"/>
  <c r="F24" i="42"/>
  <c r="K22" i="42"/>
  <c r="L19" i="43" l="1"/>
  <c r="J20" i="28"/>
  <c r="L20" i="28" s="1"/>
  <c r="L3" i="42"/>
  <c r="L85" i="15"/>
  <c r="J87" i="15"/>
  <c r="K2" i="42"/>
  <c r="K117" i="42" s="1"/>
  <c r="D24" i="43"/>
  <c r="D2" i="43" s="1"/>
  <c r="D89" i="43" s="1"/>
  <c r="D30" i="28"/>
  <c r="F29" i="43"/>
  <c r="L22" i="28"/>
  <c r="L5" i="28"/>
  <c r="E25" i="28"/>
  <c r="F12" i="34" s="1"/>
  <c r="F17" i="34" s="1"/>
  <c r="F35" i="28"/>
  <c r="L20" i="43"/>
  <c r="K21" i="28"/>
  <c r="L22" i="42"/>
  <c r="K7" i="28"/>
  <c r="L7" i="43"/>
  <c r="K3" i="43"/>
  <c r="K2" i="43" s="1"/>
  <c r="K89" i="43" s="1"/>
  <c r="K91" i="28" s="1"/>
  <c r="K4" i="28"/>
  <c r="J19" i="28"/>
  <c r="L18" i="43"/>
  <c r="J17" i="43"/>
  <c r="L17" i="43" s="1"/>
  <c r="J4" i="28"/>
  <c r="J3" i="28" s="1"/>
  <c r="L4" i="43"/>
  <c r="J3" i="43"/>
  <c r="J2" i="42"/>
  <c r="E2" i="43"/>
  <c r="F24" i="43"/>
  <c r="F2" i="42"/>
  <c r="E117" i="42"/>
  <c r="F117" i="42" s="1"/>
  <c r="E2" i="28" l="1"/>
  <c r="E89" i="28" s="1"/>
  <c r="D90" i="43"/>
  <c r="D91" i="28"/>
  <c r="D25" i="28"/>
  <c r="F25" i="28" s="1"/>
  <c r="F30" i="28"/>
  <c r="K3" i="28"/>
  <c r="L21" i="28"/>
  <c r="K18" i="28"/>
  <c r="M11" i="34"/>
  <c r="L7" i="28"/>
  <c r="J18" i="28"/>
  <c r="J2" i="28" s="1"/>
  <c r="J89" i="28" s="1"/>
  <c r="L19" i="28"/>
  <c r="J2" i="43"/>
  <c r="L3" i="43"/>
  <c r="J117" i="42"/>
  <c r="L2" i="42"/>
  <c r="L4" i="28"/>
  <c r="F40" i="34"/>
  <c r="E89" i="43"/>
  <c r="F2" i="43"/>
  <c r="E62" i="28"/>
  <c r="K119" i="42"/>
  <c r="I103" i="22"/>
  <c r="I137" i="22"/>
  <c r="E12" i="34" l="1"/>
  <c r="E17" i="34" s="1"/>
  <c r="E40" i="34" s="1"/>
  <c r="D2" i="28"/>
  <c r="E90" i="43"/>
  <c r="E93" i="43"/>
  <c r="E94" i="43"/>
  <c r="E92" i="43"/>
  <c r="M12" i="34"/>
  <c r="M10" i="34"/>
  <c r="K2" i="28"/>
  <c r="L12" i="34"/>
  <c r="L18" i="28"/>
  <c r="J119" i="42"/>
  <c r="L117" i="42"/>
  <c r="L10" i="34"/>
  <c r="L3" i="28"/>
  <c r="J89" i="43"/>
  <c r="L2" i="43"/>
  <c r="K90" i="43"/>
  <c r="E91" i="28"/>
  <c r="E92" i="28" s="1"/>
  <c r="F89" i="43"/>
  <c r="C66" i="15"/>
  <c r="C69" i="28" s="1"/>
  <c r="C71" i="28" s="1"/>
  <c r="M17" i="34" l="1"/>
  <c r="M40" i="34" s="1"/>
  <c r="M41" i="34" s="1"/>
  <c r="D62" i="28"/>
  <c r="F62" i="28" s="1"/>
  <c r="D89" i="28"/>
  <c r="F2" i="28"/>
  <c r="K89" i="28"/>
  <c r="K62" i="28"/>
  <c r="L17" i="34"/>
  <c r="E19" i="34" s="1"/>
  <c r="F31" i="34"/>
  <c r="F19" i="34"/>
  <c r="J62" i="28"/>
  <c r="L2" i="28"/>
  <c r="J90" i="43"/>
  <c r="J91" i="28"/>
  <c r="L89" i="43"/>
  <c r="D92" i="28" l="1"/>
  <c r="F89" i="28"/>
  <c r="K90" i="28"/>
  <c r="M62" i="28"/>
  <c r="K92" i="28"/>
  <c r="E31" i="34"/>
  <c r="L62" i="28"/>
  <c r="L40" i="34"/>
  <c r="J92" i="28"/>
  <c r="L89" i="28"/>
  <c r="I118" i="22" l="1"/>
  <c r="I66" i="15" l="1"/>
  <c r="I69" i="28" s="1"/>
  <c r="I57" i="22"/>
  <c r="I126" i="22"/>
  <c r="I70" i="22"/>
  <c r="I67" i="15" l="1"/>
  <c r="I70" i="28" s="1"/>
  <c r="C70" i="15" l="1"/>
  <c r="C73" i="28" s="1"/>
  <c r="C33" i="15"/>
  <c r="I129" i="22" l="1"/>
  <c r="I125" i="22"/>
  <c r="I124" i="22" s="1"/>
  <c r="I107" i="22"/>
  <c r="I105" i="22" s="1"/>
  <c r="I117" i="22"/>
  <c r="I115" i="22" s="1"/>
  <c r="I110" i="22"/>
  <c r="I109" i="22"/>
  <c r="I108" i="22"/>
  <c r="I106" i="22"/>
  <c r="I101" i="22"/>
  <c r="I95" i="22"/>
  <c r="I94" i="22"/>
  <c r="I92" i="22"/>
  <c r="I82" i="22"/>
  <c r="C22" i="22" s="1"/>
  <c r="I78" i="22"/>
  <c r="I66" i="22"/>
  <c r="I65" i="22"/>
  <c r="I64" i="22"/>
  <c r="I62" i="22"/>
  <c r="I61" i="22"/>
  <c r="I60" i="22"/>
  <c r="I59" i="22"/>
  <c r="I54" i="22"/>
  <c r="I51" i="22"/>
  <c r="I50" i="22"/>
  <c r="I42" i="22"/>
  <c r="I40" i="22"/>
  <c r="I39" i="22"/>
  <c r="I38" i="22"/>
  <c r="I34" i="22"/>
  <c r="I26" i="22"/>
  <c r="I15" i="22"/>
  <c r="I13" i="22"/>
  <c r="I8" i="22"/>
  <c r="I4" i="22"/>
  <c r="C106" i="22"/>
  <c r="C66" i="22"/>
  <c r="C65" i="22"/>
  <c r="C62" i="22"/>
  <c r="C60" i="22"/>
  <c r="C39" i="22"/>
  <c r="C41" i="22"/>
  <c r="C24" i="15" s="1"/>
  <c r="C21" i="22"/>
  <c r="C19" i="22"/>
  <c r="C18" i="22"/>
  <c r="C17" i="22"/>
  <c r="C105" i="22" l="1"/>
  <c r="C46" i="15"/>
  <c r="I58" i="22"/>
  <c r="I91" i="22"/>
  <c r="I37" i="22"/>
  <c r="C16" i="22"/>
  <c r="C16" i="15" l="1"/>
  <c r="C3" i="22"/>
  <c r="C108" i="23"/>
  <c r="I90" i="23"/>
  <c r="I66" i="23"/>
  <c r="I67" i="23" s="1"/>
  <c r="I59" i="23"/>
  <c r="I56" i="23"/>
  <c r="I55" i="23"/>
  <c r="I53" i="23"/>
  <c r="I51" i="23"/>
  <c r="I49" i="23"/>
  <c r="I48" i="23"/>
  <c r="I45" i="23"/>
  <c r="I41" i="23"/>
  <c r="I10" i="23" s="1"/>
  <c r="I40" i="23"/>
  <c r="I39" i="23"/>
  <c r="I27" i="23"/>
  <c r="I16" i="23"/>
  <c r="I12" i="23"/>
  <c r="I4" i="23"/>
  <c r="I17" i="25" l="1"/>
  <c r="I8" i="25"/>
  <c r="I64" i="25"/>
  <c r="I52" i="25"/>
  <c r="I47" i="25"/>
  <c r="I49" i="25"/>
  <c r="I40" i="25"/>
  <c r="I37" i="25"/>
  <c r="I36" i="25"/>
  <c r="I33" i="25"/>
  <c r="I25" i="25"/>
  <c r="I4" i="25"/>
  <c r="C69" i="18" l="1"/>
  <c r="C79" i="18"/>
  <c r="I47" i="18"/>
  <c r="U9" i="26"/>
  <c r="U103" i="26"/>
  <c r="U106" i="26" s="1"/>
  <c r="U75" i="26"/>
  <c r="U64" i="26"/>
  <c r="U67" i="26"/>
  <c r="U66" i="26"/>
  <c r="U65" i="26"/>
  <c r="U61" i="26" l="1"/>
  <c r="U58" i="26"/>
  <c r="U56" i="26"/>
  <c r="U39" i="26"/>
  <c r="U38" i="26"/>
  <c r="U35" i="26"/>
  <c r="U33" i="26"/>
  <c r="U32" i="26"/>
  <c r="U22" i="26"/>
  <c r="U20" i="26"/>
  <c r="U4" i="26"/>
  <c r="U13" i="26" s="1"/>
  <c r="C135" i="26"/>
  <c r="O141" i="26" s="1"/>
  <c r="I20" i="26"/>
  <c r="I22" i="26"/>
  <c r="I9" i="26"/>
  <c r="I103" i="26"/>
  <c r="I106" i="26" s="1"/>
  <c r="I76" i="26"/>
  <c r="I61" i="26"/>
  <c r="I64" i="26"/>
  <c r="I67" i="26"/>
  <c r="I58" i="26"/>
  <c r="I53" i="26"/>
  <c r="I45" i="26"/>
  <c r="I37" i="26"/>
  <c r="I33" i="26"/>
  <c r="C29" i="26"/>
  <c r="U19" i="26" l="1"/>
  <c r="U28" i="26"/>
  <c r="U55" i="26"/>
  <c r="I28" i="26"/>
  <c r="C80" i="18"/>
  <c r="I90" i="27"/>
  <c r="I87" i="27"/>
  <c r="I66" i="27"/>
  <c r="I53" i="27"/>
  <c r="I49" i="27"/>
  <c r="I48" i="27"/>
  <c r="I47" i="27"/>
  <c r="I46" i="27" s="1"/>
  <c r="I42" i="27"/>
  <c r="I36" i="27"/>
  <c r="I19" i="27" s="1"/>
  <c r="I35" i="27"/>
  <c r="I31" i="27"/>
  <c r="I4" i="42"/>
  <c r="I8" i="27" l="1"/>
  <c r="I20" i="27"/>
  <c r="I4" i="27"/>
  <c r="I18" i="27" s="1"/>
  <c r="C16" i="27"/>
  <c r="I62" i="42" l="1"/>
  <c r="I63" i="42"/>
  <c r="I50" i="42"/>
  <c r="I47" i="42"/>
  <c r="I44" i="42"/>
  <c r="I42" i="42"/>
  <c r="I40" i="42"/>
  <c r="I37" i="42"/>
  <c r="I33" i="42"/>
  <c r="I32" i="42"/>
  <c r="I14" i="42"/>
  <c r="I18" i="42" s="1"/>
  <c r="C38" i="42"/>
  <c r="I27" i="42" l="1"/>
  <c r="C69" i="15" l="1"/>
  <c r="C91" i="22" l="1"/>
  <c r="C39" i="15"/>
  <c r="C39" i="28" s="1"/>
  <c r="D13" i="34" s="1"/>
  <c r="I69" i="15" l="1"/>
  <c r="I72" i="28" s="1"/>
  <c r="K33" i="34" s="1"/>
  <c r="C72" i="15"/>
  <c r="C75" i="28" s="1"/>
  <c r="C29" i="15"/>
  <c r="C29" i="28" s="1"/>
  <c r="I99" i="22" l="1"/>
  <c r="I98" i="22" s="1"/>
  <c r="I88" i="22" s="1"/>
  <c r="C28" i="15" l="1"/>
  <c r="I58" i="43"/>
  <c r="C87" i="43"/>
  <c r="C76" i="43"/>
  <c r="C75" i="43"/>
  <c r="I51" i="42"/>
  <c r="I48" i="42" s="1"/>
  <c r="C59" i="22" l="1"/>
  <c r="I85" i="43"/>
  <c r="C85" i="43"/>
  <c r="I82" i="43"/>
  <c r="I87" i="43" s="1"/>
  <c r="C82" i="43"/>
  <c r="I74" i="43"/>
  <c r="C74" i="43"/>
  <c r="I71" i="43"/>
  <c r="C71" i="43"/>
  <c r="I63" i="43"/>
  <c r="C63" i="43"/>
  <c r="I62" i="43"/>
  <c r="I61" i="43"/>
  <c r="I60" i="43"/>
  <c r="C57" i="43"/>
  <c r="I51" i="43"/>
  <c r="C51" i="43"/>
  <c r="C35" i="43"/>
  <c r="C17" i="43"/>
  <c r="C7" i="43"/>
  <c r="C4" i="43" s="1"/>
  <c r="C3" i="43" s="1"/>
  <c r="I113" i="42"/>
  <c r="C113" i="42"/>
  <c r="I110" i="42"/>
  <c r="C110" i="42"/>
  <c r="C116" i="42" s="1"/>
  <c r="I102" i="42"/>
  <c r="C102" i="42"/>
  <c r="I99" i="42"/>
  <c r="I104" i="42" s="1"/>
  <c r="C99" i="42"/>
  <c r="C105" i="42" s="1"/>
  <c r="I92" i="42"/>
  <c r="C91" i="42"/>
  <c r="I87" i="42"/>
  <c r="C85" i="42"/>
  <c r="I79" i="42"/>
  <c r="C79" i="42"/>
  <c r="I71" i="42"/>
  <c r="I64" i="42"/>
  <c r="I22" i="43"/>
  <c r="I57" i="42"/>
  <c r="I21" i="43" s="1"/>
  <c r="C57" i="42"/>
  <c r="C44" i="42"/>
  <c r="I39" i="42"/>
  <c r="I38" i="42"/>
  <c r="C34" i="42"/>
  <c r="C29" i="43" s="1"/>
  <c r="C24" i="43" s="1"/>
  <c r="C26" i="42"/>
  <c r="I23" i="42"/>
  <c r="C22" i="42"/>
  <c r="I16" i="42"/>
  <c r="I5" i="43" s="1"/>
  <c r="C4" i="42"/>
  <c r="C3" i="42" s="1"/>
  <c r="I8" i="42" l="1"/>
  <c r="I20" i="42"/>
  <c r="I20" i="43"/>
  <c r="I54" i="42"/>
  <c r="I78" i="42"/>
  <c r="C50" i="43"/>
  <c r="C67" i="22"/>
  <c r="C57" i="22"/>
  <c r="I59" i="43"/>
  <c r="C77" i="43"/>
  <c r="I76" i="43"/>
  <c r="I67" i="43" s="1"/>
  <c r="C88" i="43"/>
  <c r="C67" i="43" s="1"/>
  <c r="I21" i="42"/>
  <c r="I19" i="43"/>
  <c r="C2" i="43"/>
  <c r="C78" i="42"/>
  <c r="I115" i="42"/>
  <c r="I17" i="42"/>
  <c r="I7" i="43" s="1"/>
  <c r="I35" i="42"/>
  <c r="I18" i="43" s="1"/>
  <c r="C24" i="42"/>
  <c r="C2" i="42" s="1"/>
  <c r="C95" i="42"/>
  <c r="I95" i="42"/>
  <c r="I12" i="42"/>
  <c r="I51" i="16"/>
  <c r="I83" i="23"/>
  <c r="I3" i="42" l="1"/>
  <c r="I4" i="43"/>
  <c r="I17" i="43"/>
  <c r="C89" i="43"/>
  <c r="I22" i="42"/>
  <c r="I2" i="42" s="1"/>
  <c r="I117" i="42" s="1"/>
  <c r="C117" i="42"/>
  <c r="I35" i="23"/>
  <c r="I29" i="23" s="1"/>
  <c r="C90" i="43" l="1"/>
  <c r="I3" i="43"/>
  <c r="I119" i="42"/>
  <c r="C29" i="25"/>
  <c r="U82" i="26" l="1"/>
  <c r="I55" i="26"/>
  <c r="I62" i="26" l="1"/>
  <c r="C27" i="26"/>
  <c r="C43" i="26"/>
  <c r="I55" i="19" l="1"/>
  <c r="I51" i="27"/>
  <c r="I16" i="27"/>
  <c r="I77" i="22" l="1"/>
  <c r="I81" i="22" l="1"/>
  <c r="I57" i="15" l="1"/>
  <c r="I123" i="22" l="1"/>
  <c r="U53" i="26" l="1"/>
  <c r="U62" i="26"/>
  <c r="C26" i="25" l="1"/>
  <c r="C61" i="23"/>
  <c r="I24" i="22" l="1"/>
  <c r="I46" i="22" l="1"/>
  <c r="C74" i="16" l="1"/>
  <c r="I38" i="23" l="1"/>
  <c r="I77" i="26" l="1"/>
  <c r="I13" i="26" l="1"/>
  <c r="C24" i="22" l="1"/>
  <c r="C31" i="22"/>
  <c r="C34" i="22"/>
  <c r="C23" i="15"/>
  <c r="C75" i="22"/>
  <c r="I71" i="22"/>
  <c r="C30" i="22" l="1"/>
  <c r="C23" i="22" s="1"/>
  <c r="C2" i="22" s="1"/>
  <c r="I49" i="22"/>
  <c r="I68" i="22" s="1"/>
  <c r="C31" i="15"/>
  <c r="I80" i="22"/>
  <c r="C21" i="15"/>
  <c r="I16" i="22" l="1"/>
  <c r="I48" i="22"/>
  <c r="I12" i="22" l="1"/>
  <c r="I3" i="22" s="1"/>
  <c r="I17" i="22" l="1"/>
  <c r="C27" i="15"/>
  <c r="I52" i="16"/>
  <c r="C38" i="16"/>
  <c r="I7" i="15" l="1"/>
  <c r="I53" i="16"/>
  <c r="I14" i="23"/>
  <c r="C28" i="23"/>
  <c r="C36" i="28"/>
  <c r="I57" i="16"/>
  <c r="I52" i="23"/>
  <c r="I54" i="16"/>
  <c r="C44" i="23" l="1"/>
  <c r="I4" i="16"/>
  <c r="C30" i="16" l="1"/>
  <c r="I48" i="26"/>
  <c r="I74" i="26" s="1"/>
  <c r="U77" i="26"/>
  <c r="I21" i="18" s="1"/>
  <c r="U47" i="26"/>
  <c r="U17" i="26"/>
  <c r="I24" i="26"/>
  <c r="I44" i="26" l="1"/>
  <c r="I48" i="18"/>
  <c r="U3" i="26" l="1"/>
  <c r="I61" i="27"/>
  <c r="I38" i="27"/>
  <c r="I58" i="27" s="1"/>
  <c r="I22" i="27"/>
  <c r="I37" i="27"/>
  <c r="I12" i="27" s="1"/>
  <c r="I26" i="27"/>
  <c r="I34" i="27" l="1"/>
  <c r="I67" i="27" l="1"/>
  <c r="I21" i="27" s="1"/>
  <c r="I54" i="17" l="1"/>
  <c r="I62" i="25"/>
  <c r="I88" i="25"/>
  <c r="I58" i="17" s="1"/>
  <c r="I57" i="25"/>
  <c r="I50" i="25"/>
  <c r="I27" i="25"/>
  <c r="I39" i="25" l="1"/>
  <c r="I54" i="25" s="1"/>
  <c r="I23" i="25"/>
  <c r="I35" i="25" s="1"/>
  <c r="I38" i="25" l="1"/>
  <c r="I65" i="25" s="1"/>
  <c r="I22" i="17" s="1"/>
  <c r="I135" i="22" l="1"/>
  <c r="I104" i="22" s="1"/>
  <c r="C76" i="17" l="1"/>
  <c r="C75" i="17"/>
  <c r="C76" i="19" l="1"/>
  <c r="C68" i="18"/>
  <c r="C55" i="15"/>
  <c r="C72" i="28" l="1"/>
  <c r="C56" i="28"/>
  <c r="C4" i="27" l="1"/>
  <c r="C3" i="27" s="1"/>
  <c r="C77" i="19"/>
  <c r="C31" i="18" l="1"/>
  <c r="C25" i="18"/>
  <c r="C15" i="18"/>
  <c r="C7" i="18"/>
  <c r="C5" i="18"/>
  <c r="C87" i="17"/>
  <c r="I55" i="17"/>
  <c r="I51" i="18" l="1"/>
  <c r="C86" i="16" l="1"/>
  <c r="C75" i="16" l="1"/>
  <c r="I147" i="22" l="1"/>
  <c r="C74" i="28"/>
  <c r="I95" i="23"/>
  <c r="C60" i="15" l="1"/>
  <c r="C8" i="15" l="1"/>
  <c r="C4" i="26"/>
  <c r="C6" i="15"/>
  <c r="C4" i="23" l="1"/>
  <c r="I28" i="22" l="1"/>
  <c r="I36" i="22" s="1"/>
  <c r="I23" i="22" s="1"/>
  <c r="I2" i="22" s="1"/>
  <c r="C51" i="28" l="1"/>
  <c r="C50" i="28"/>
  <c r="C49" i="28"/>
  <c r="C48" i="28"/>
  <c r="C47" i="28"/>
  <c r="C6" i="28"/>
  <c r="C53" i="15" l="1"/>
  <c r="C54" i="28" l="1"/>
  <c r="C88" i="19" l="1"/>
  <c r="I42" i="15"/>
  <c r="I159" i="22" l="1"/>
  <c r="C82" i="15"/>
  <c r="C85" i="28" s="1"/>
  <c r="D34" i="34" s="1"/>
  <c r="I55" i="15" l="1"/>
  <c r="I54" i="15"/>
  <c r="I47" i="15"/>
  <c r="I48" i="15"/>
  <c r="I49" i="15"/>
  <c r="I50" i="15"/>
  <c r="I51" i="15"/>
  <c r="I52" i="15"/>
  <c r="I46" i="15"/>
  <c r="I70" i="15"/>
  <c r="I82" i="15"/>
  <c r="I39" i="15"/>
  <c r="I56" i="15"/>
  <c r="I49" i="28" l="1"/>
  <c r="I48" i="28"/>
  <c r="I45" i="15"/>
  <c r="I39" i="28"/>
  <c r="I52" i="28"/>
  <c r="I47" i="28"/>
  <c r="I73" i="28"/>
  <c r="C61" i="28"/>
  <c r="C58" i="28" s="1"/>
  <c r="D25" i="34" s="1"/>
  <c r="I85" i="28"/>
  <c r="I83" i="28"/>
  <c r="I82" i="28"/>
  <c r="I79" i="28"/>
  <c r="I80" i="28"/>
  <c r="I42" i="28"/>
  <c r="K15" i="34" s="1"/>
  <c r="C84" i="28"/>
  <c r="C81" i="28"/>
  <c r="D33" i="34"/>
  <c r="D36" i="34" s="1"/>
  <c r="I68" i="28"/>
  <c r="C68" i="28"/>
  <c r="C52" i="28"/>
  <c r="D24" i="34" s="1"/>
  <c r="I41" i="15"/>
  <c r="I36" i="15" s="1"/>
  <c r="I27" i="15"/>
  <c r="I28" i="15"/>
  <c r="I29" i="15"/>
  <c r="I29" i="28" s="1"/>
  <c r="I30" i="15"/>
  <c r="I31" i="15"/>
  <c r="I26" i="15"/>
  <c r="C76" i="28" l="1"/>
  <c r="I26" i="28"/>
  <c r="I28" i="28"/>
  <c r="I30" i="28"/>
  <c r="I41" i="28"/>
  <c r="I36" i="28" s="1"/>
  <c r="K14" i="34" s="1"/>
  <c r="I31" i="28"/>
  <c r="I27" i="28"/>
  <c r="I88" i="28"/>
  <c r="I84" i="28"/>
  <c r="I25" i="28" l="1"/>
  <c r="K13" i="34" s="1"/>
  <c r="I75" i="15"/>
  <c r="C83" i="15"/>
  <c r="C86" i="28" s="1"/>
  <c r="I78" i="28" l="1"/>
  <c r="I81" i="28" s="1"/>
  <c r="I86" i="28" s="1"/>
  <c r="C88" i="28" l="1"/>
  <c r="C87" i="28"/>
  <c r="C64" i="28" s="1"/>
  <c r="C32" i="15"/>
  <c r="C32" i="28" s="1"/>
  <c r="C34" i="15"/>
  <c r="C27" i="16"/>
  <c r="C28" i="28" s="1"/>
  <c r="C5" i="16"/>
  <c r="C30" i="17"/>
  <c r="C15" i="17"/>
  <c r="C8" i="17"/>
  <c r="I7" i="17"/>
  <c r="C26" i="28"/>
  <c r="C46" i="28"/>
  <c r="D23" i="34" s="1"/>
  <c r="D28" i="34" s="1"/>
  <c r="I62" i="19"/>
  <c r="I63" i="19"/>
  <c r="I64" i="19"/>
  <c r="I61" i="19"/>
  <c r="I59" i="19"/>
  <c r="I56" i="19"/>
  <c r="I25" i="15"/>
  <c r="I35" i="17"/>
  <c r="I24" i="17"/>
  <c r="I50" i="28" l="1"/>
  <c r="I53" i="28"/>
  <c r="I56" i="28"/>
  <c r="C8" i="28"/>
  <c r="C34" i="28"/>
  <c r="I57" i="28"/>
  <c r="I58" i="28"/>
  <c r="I55" i="28"/>
  <c r="C33" i="28"/>
  <c r="C45" i="28"/>
  <c r="U133" i="26"/>
  <c r="O133" i="26"/>
  <c r="U130" i="26"/>
  <c r="O130" i="26"/>
  <c r="U122" i="26"/>
  <c r="O122" i="26"/>
  <c r="U119" i="26"/>
  <c r="O119" i="26"/>
  <c r="U112" i="26"/>
  <c r="O111" i="26"/>
  <c r="U107" i="26"/>
  <c r="O105" i="26"/>
  <c r="U99" i="26"/>
  <c r="O99" i="26"/>
  <c r="U91" i="26"/>
  <c r="U84" i="26"/>
  <c r="O77" i="26"/>
  <c r="O53" i="26"/>
  <c r="U48" i="26"/>
  <c r="U74" i="26" s="1"/>
  <c r="O43" i="26"/>
  <c r="O27" i="26"/>
  <c r="U24" i="26"/>
  <c r="U44" i="26" s="1"/>
  <c r="O23" i="26"/>
  <c r="U18" i="26"/>
  <c r="O4" i="26"/>
  <c r="O3" i="26" s="1"/>
  <c r="U83" i="26" l="1"/>
  <c r="U23" i="26" s="1"/>
  <c r="U2" i="26" s="1"/>
  <c r="I54" i="28"/>
  <c r="K24" i="34" s="1"/>
  <c r="I46" i="28"/>
  <c r="K23" i="34" s="1"/>
  <c r="O125" i="26"/>
  <c r="O136" i="26"/>
  <c r="U98" i="26"/>
  <c r="O98" i="26"/>
  <c r="U135" i="26"/>
  <c r="U124" i="26"/>
  <c r="O25" i="26"/>
  <c r="O2" i="26" s="1"/>
  <c r="U115" i="26" l="1"/>
  <c r="O115" i="26"/>
  <c r="O137" i="26" s="1"/>
  <c r="C7" i="15"/>
  <c r="C5" i="15"/>
  <c r="C5" i="28" l="1"/>
  <c r="U137" i="26"/>
  <c r="U139" i="26" l="1"/>
  <c r="C15" i="19"/>
  <c r="C16" i="28" s="1"/>
  <c r="C43" i="27" l="1"/>
  <c r="C33" i="27"/>
  <c r="C29" i="19" s="1"/>
  <c r="C25" i="27"/>
  <c r="C53" i="26"/>
  <c r="C34" i="18" s="1"/>
  <c r="C29" i="18"/>
  <c r="C44" i="25"/>
  <c r="C34" i="17" s="1"/>
  <c r="C34" i="25"/>
  <c r="C26" i="17"/>
  <c r="C48" i="23"/>
  <c r="C34" i="16" s="1"/>
  <c r="C36" i="23"/>
  <c r="C26" i="23" s="1"/>
  <c r="C26" i="16"/>
  <c r="C35" i="15"/>
  <c r="C30" i="15"/>
  <c r="C19" i="15"/>
  <c r="C24" i="25" l="1"/>
  <c r="C30" i="28"/>
  <c r="C23" i="27"/>
  <c r="C26" i="18"/>
  <c r="C27" i="28" s="1"/>
  <c r="C21" i="28"/>
  <c r="C19" i="28"/>
  <c r="C24" i="28"/>
  <c r="C23" i="28"/>
  <c r="C22" i="15"/>
  <c r="C20" i="15" s="1"/>
  <c r="C18" i="15" s="1"/>
  <c r="C35" i="28"/>
  <c r="C25" i="26"/>
  <c r="C36" i="15"/>
  <c r="C7" i="19"/>
  <c r="C30" i="18" l="1"/>
  <c r="C31" i="28" s="1"/>
  <c r="C25" i="28" s="1"/>
  <c r="D12" i="34" s="1"/>
  <c r="C20" i="28"/>
  <c r="C18" i="28" s="1"/>
  <c r="D11" i="34" s="1"/>
  <c r="C22" i="28"/>
  <c r="C7" i="28"/>
  <c r="C4" i="28" s="1"/>
  <c r="I117" i="27"/>
  <c r="C117" i="27"/>
  <c r="I114" i="27"/>
  <c r="C114" i="27"/>
  <c r="I106" i="27"/>
  <c r="C106" i="27"/>
  <c r="I103" i="27"/>
  <c r="C103" i="27"/>
  <c r="I96" i="27"/>
  <c r="C95" i="27"/>
  <c r="I91" i="27"/>
  <c r="C89" i="27"/>
  <c r="I83" i="27"/>
  <c r="C83" i="27"/>
  <c r="I75" i="27"/>
  <c r="I68" i="27"/>
  <c r="I21" i="19"/>
  <c r="C61" i="27"/>
  <c r="I19" i="19"/>
  <c r="C21" i="27"/>
  <c r="I3" i="27"/>
  <c r="I4" i="19"/>
  <c r="I133" i="26"/>
  <c r="C133" i="26"/>
  <c r="I130" i="26"/>
  <c r="C130" i="26"/>
  <c r="I122" i="26"/>
  <c r="C122" i="26"/>
  <c r="I119" i="26"/>
  <c r="C119" i="26"/>
  <c r="I112" i="26"/>
  <c r="C111" i="26"/>
  <c r="I107" i="26"/>
  <c r="C105" i="26"/>
  <c r="I99" i="26"/>
  <c r="C99" i="26"/>
  <c r="I91" i="26"/>
  <c r="I35" i="18" s="1"/>
  <c r="I84" i="26"/>
  <c r="I24" i="18" s="1"/>
  <c r="C77" i="26"/>
  <c r="I20" i="18"/>
  <c r="I47" i="26"/>
  <c r="C23" i="26"/>
  <c r="I17" i="26"/>
  <c r="I4" i="18"/>
  <c r="C3" i="26"/>
  <c r="I115" i="25"/>
  <c r="C115" i="25"/>
  <c r="I112" i="25"/>
  <c r="C112" i="25"/>
  <c r="I104" i="25"/>
  <c r="C104" i="25"/>
  <c r="I101" i="25"/>
  <c r="C101" i="25"/>
  <c r="I94" i="25"/>
  <c r="C93" i="25"/>
  <c r="I89" i="25"/>
  <c r="C87" i="25"/>
  <c r="I81" i="25"/>
  <c r="C81" i="25"/>
  <c r="I73" i="25"/>
  <c r="I66" i="25"/>
  <c r="I21" i="17"/>
  <c r="C57" i="25"/>
  <c r="I19" i="17"/>
  <c r="C22" i="25"/>
  <c r="I16" i="25"/>
  <c r="I5" i="17" s="1"/>
  <c r="I12" i="25"/>
  <c r="C4" i="25"/>
  <c r="C3" i="25" s="1"/>
  <c r="I117" i="23"/>
  <c r="C117" i="23"/>
  <c r="I114" i="23"/>
  <c r="C114" i="23"/>
  <c r="I106" i="23"/>
  <c r="C106" i="23"/>
  <c r="I103" i="23"/>
  <c r="C103" i="23"/>
  <c r="I96" i="23"/>
  <c r="C95" i="23"/>
  <c r="I91" i="23"/>
  <c r="C89" i="23"/>
  <c r="C83" i="23"/>
  <c r="I75" i="23"/>
  <c r="I35" i="16" s="1"/>
  <c r="I68" i="23"/>
  <c r="I24" i="16" s="1"/>
  <c r="I61" i="23"/>
  <c r="I21" i="16" s="1"/>
  <c r="I43" i="23"/>
  <c r="I58" i="23" s="1"/>
  <c r="I20" i="16" s="1"/>
  <c r="I42" i="23"/>
  <c r="I19" i="16" s="1"/>
  <c r="I25" i="23"/>
  <c r="C24" i="23"/>
  <c r="I18" i="23"/>
  <c r="I3" i="23" s="1"/>
  <c r="C3" i="23"/>
  <c r="I65" i="19" l="1"/>
  <c r="I64" i="43"/>
  <c r="I50" i="43" s="1"/>
  <c r="I35" i="19"/>
  <c r="I35" i="43"/>
  <c r="I24" i="19"/>
  <c r="I24" i="43"/>
  <c r="I19" i="26"/>
  <c r="I18" i="26" s="1"/>
  <c r="I7" i="18" s="1"/>
  <c r="C3" i="28"/>
  <c r="D10" i="34" s="1"/>
  <c r="D17" i="34" s="1"/>
  <c r="I37" i="23"/>
  <c r="I18" i="16" s="1"/>
  <c r="I5" i="18"/>
  <c r="I3" i="18" s="1"/>
  <c r="I3" i="26"/>
  <c r="I19" i="18"/>
  <c r="I5" i="16"/>
  <c r="I3" i="16" s="1"/>
  <c r="I5" i="19"/>
  <c r="I3" i="19" s="1"/>
  <c r="C120" i="27"/>
  <c r="C107" i="25"/>
  <c r="I119" i="23"/>
  <c r="C80" i="25"/>
  <c r="I124" i="26"/>
  <c r="I119" i="27"/>
  <c r="C136" i="26"/>
  <c r="I82" i="23"/>
  <c r="I80" i="25"/>
  <c r="I106" i="25"/>
  <c r="I117" i="25"/>
  <c r="C2" i="25"/>
  <c r="C82" i="23"/>
  <c r="I3" i="25"/>
  <c r="I4" i="17"/>
  <c r="I3" i="17" s="1"/>
  <c r="C2" i="26"/>
  <c r="C82" i="27"/>
  <c r="C125" i="26"/>
  <c r="I135" i="26"/>
  <c r="I82" i="27"/>
  <c r="I20" i="17"/>
  <c r="I18" i="18"/>
  <c r="I98" i="26"/>
  <c r="C118" i="25"/>
  <c r="C2" i="27"/>
  <c r="I108" i="27"/>
  <c r="C2" i="23"/>
  <c r="I108" i="23"/>
  <c r="I99" i="23" s="1"/>
  <c r="C109" i="23"/>
  <c r="C120" i="23"/>
  <c r="C98" i="26"/>
  <c r="C109" i="27"/>
  <c r="I20" i="19"/>
  <c r="I18" i="19"/>
  <c r="I158" i="22"/>
  <c r="C158" i="22"/>
  <c r="I155" i="22"/>
  <c r="C155" i="22"/>
  <c r="I145" i="22"/>
  <c r="I68" i="15" s="1"/>
  <c r="C145" i="22"/>
  <c r="I142" i="22"/>
  <c r="C142" i="22"/>
  <c r="C150" i="22" s="1"/>
  <c r="I58" i="15"/>
  <c r="C134" i="22"/>
  <c r="C121" i="22"/>
  <c r="I22" i="15"/>
  <c r="I20" i="15"/>
  <c r="I5" i="15"/>
  <c r="I4" i="15"/>
  <c r="I86" i="19"/>
  <c r="C86" i="19"/>
  <c r="I83" i="19"/>
  <c r="C83" i="19"/>
  <c r="I75" i="19"/>
  <c r="C75" i="19"/>
  <c r="I72" i="19"/>
  <c r="C72" i="19"/>
  <c r="C64" i="19"/>
  <c r="I60" i="19"/>
  <c r="C58" i="19"/>
  <c r="I52" i="19"/>
  <c r="C52" i="19"/>
  <c r="C35" i="19"/>
  <c r="C24" i="19"/>
  <c r="C17" i="19"/>
  <c r="C4" i="19"/>
  <c r="C3" i="19" s="1"/>
  <c r="I78" i="18"/>
  <c r="C78" i="18"/>
  <c r="I75" i="18"/>
  <c r="C75" i="18"/>
  <c r="I67" i="18"/>
  <c r="C67" i="18"/>
  <c r="I64" i="18"/>
  <c r="C64" i="18"/>
  <c r="C56" i="18"/>
  <c r="I52" i="18"/>
  <c r="C50" i="18"/>
  <c r="I44" i="18"/>
  <c r="I43" i="18" s="1"/>
  <c r="C44" i="18"/>
  <c r="C35" i="18"/>
  <c r="C24" i="18"/>
  <c r="C17" i="18"/>
  <c r="C4" i="18"/>
  <c r="C3" i="18" s="1"/>
  <c r="I85" i="17"/>
  <c r="C85" i="17"/>
  <c r="I82" i="17"/>
  <c r="I87" i="17" s="1"/>
  <c r="C82" i="17"/>
  <c r="I74" i="17"/>
  <c r="C74" i="17"/>
  <c r="I71" i="17"/>
  <c r="C71" i="17"/>
  <c r="C63" i="17"/>
  <c r="I59" i="17"/>
  <c r="C57" i="17"/>
  <c r="I51" i="17"/>
  <c r="C51" i="17"/>
  <c r="C35" i="17"/>
  <c r="C24" i="17"/>
  <c r="C17" i="17"/>
  <c r="C4" i="17"/>
  <c r="C3" i="17" s="1"/>
  <c r="I84" i="16"/>
  <c r="C84" i="16"/>
  <c r="I81" i="16"/>
  <c r="C81" i="16"/>
  <c r="I73" i="16"/>
  <c r="C73" i="16"/>
  <c r="I70" i="16"/>
  <c r="C70" i="16"/>
  <c r="C62" i="16"/>
  <c r="I58" i="16"/>
  <c r="C56" i="16"/>
  <c r="I50" i="16"/>
  <c r="C50" i="16"/>
  <c r="C35" i="16"/>
  <c r="C24" i="16"/>
  <c r="C17" i="16"/>
  <c r="C4" i="16"/>
  <c r="C3" i="16" s="1"/>
  <c r="I81" i="15"/>
  <c r="C81" i="15"/>
  <c r="I78" i="15"/>
  <c r="C78" i="15"/>
  <c r="C68" i="15"/>
  <c r="C73" i="15" s="1"/>
  <c r="I65" i="15"/>
  <c r="C65" i="15"/>
  <c r="C57" i="15"/>
  <c r="I53" i="15"/>
  <c r="I44" i="15" s="1"/>
  <c r="C51" i="15"/>
  <c r="C45" i="15"/>
  <c r="C25" i="15"/>
  <c r="C4" i="15"/>
  <c r="C3" i="15" s="1"/>
  <c r="D40" i="34" l="1"/>
  <c r="I88" i="19"/>
  <c r="I2" i="43"/>
  <c r="I89" i="43" s="1"/>
  <c r="I90" i="43" s="1"/>
  <c r="I71" i="15"/>
  <c r="I71" i="28"/>
  <c r="K35" i="34" s="1"/>
  <c r="K36" i="34" s="1"/>
  <c r="D38" i="34" s="1"/>
  <c r="I148" i="22"/>
  <c r="I22" i="28"/>
  <c r="I4" i="28"/>
  <c r="I20" i="28"/>
  <c r="I5" i="28"/>
  <c r="I22" i="16"/>
  <c r="C2" i="28"/>
  <c r="C99" i="23"/>
  <c r="C121" i="23" s="1"/>
  <c r="I160" i="22"/>
  <c r="I7" i="16"/>
  <c r="I17" i="27"/>
  <c r="I2" i="27" s="1"/>
  <c r="I97" i="25"/>
  <c r="C70" i="18"/>
  <c r="C81" i="18"/>
  <c r="I59" i="28"/>
  <c r="K25" i="34" s="1"/>
  <c r="K28" i="34" s="1"/>
  <c r="D30" i="34" s="1"/>
  <c r="I18" i="17"/>
  <c r="C115" i="26"/>
  <c r="C137" i="26" s="1"/>
  <c r="U140" i="26" s="1"/>
  <c r="I50" i="17"/>
  <c r="C88" i="17"/>
  <c r="C43" i="18"/>
  <c r="C104" i="22"/>
  <c r="C50" i="17"/>
  <c r="I115" i="26"/>
  <c r="I69" i="18"/>
  <c r="I80" i="18"/>
  <c r="I3" i="15"/>
  <c r="I99" i="27"/>
  <c r="I49" i="16"/>
  <c r="C76" i="16"/>
  <c r="C87" i="16"/>
  <c r="C49" i="16"/>
  <c r="C97" i="25"/>
  <c r="C119" i="25" s="1"/>
  <c r="I86" i="16"/>
  <c r="C84" i="15"/>
  <c r="C161" i="22"/>
  <c r="C138" i="22" s="1"/>
  <c r="C2" i="18"/>
  <c r="C51" i="19"/>
  <c r="C99" i="27"/>
  <c r="C121" i="27" s="1"/>
  <c r="C2" i="17"/>
  <c r="I76" i="17"/>
  <c r="I67" i="17" s="1"/>
  <c r="C2" i="19"/>
  <c r="I77" i="19"/>
  <c r="C2" i="15"/>
  <c r="C44" i="15"/>
  <c r="I83" i="15"/>
  <c r="C2" i="16"/>
  <c r="I75" i="16"/>
  <c r="C77" i="17"/>
  <c r="I51" i="19"/>
  <c r="C78" i="19"/>
  <c r="C89" i="19"/>
  <c r="I68" i="19" l="1"/>
  <c r="I74" i="28"/>
  <c r="I64" i="28" s="1"/>
  <c r="I45" i="28"/>
  <c r="C89" i="28"/>
  <c r="C62" i="28"/>
  <c r="I138" i="22"/>
  <c r="I162" i="22" s="1"/>
  <c r="I60" i="18"/>
  <c r="I121" i="27"/>
  <c r="I7" i="19"/>
  <c r="I3" i="28"/>
  <c r="K10" i="34" s="1"/>
  <c r="I22" i="19"/>
  <c r="C67" i="17"/>
  <c r="C89" i="17" s="1"/>
  <c r="C60" i="18"/>
  <c r="C82" i="18" s="1"/>
  <c r="I17" i="17"/>
  <c r="I2" i="17" s="1"/>
  <c r="I89" i="17" s="1"/>
  <c r="I22" i="25"/>
  <c r="I19" i="15"/>
  <c r="I66" i="16"/>
  <c r="C66" i="16"/>
  <c r="C88" i="16" s="1"/>
  <c r="I21" i="15"/>
  <c r="I61" i="15"/>
  <c r="C61" i="15"/>
  <c r="C162" i="22"/>
  <c r="C68" i="19"/>
  <c r="C90" i="19" s="1"/>
  <c r="C91" i="19" s="1"/>
  <c r="I24" i="23"/>
  <c r="I2" i="23" s="1"/>
  <c r="I121" i="23" s="1"/>
  <c r="I123" i="23" s="1"/>
  <c r="I2" i="25" l="1"/>
  <c r="I119" i="25" s="1"/>
  <c r="I120" i="25" s="1"/>
  <c r="I165" i="22"/>
  <c r="C90" i="17"/>
  <c r="I91" i="17"/>
  <c r="C89" i="16"/>
  <c r="C83" i="18"/>
  <c r="I7" i="28"/>
  <c r="K11" i="34" s="1"/>
  <c r="I19" i="28"/>
  <c r="I21" i="28"/>
  <c r="C85" i="15"/>
  <c r="I17" i="19"/>
  <c r="I2" i="19" s="1"/>
  <c r="I90" i="19" s="1"/>
  <c r="I91" i="19" s="1"/>
  <c r="I123" i="27"/>
  <c r="I17" i="16"/>
  <c r="I2" i="16" s="1"/>
  <c r="I88" i="16" s="1"/>
  <c r="I90" i="16" s="1"/>
  <c r="C87" i="15" l="1"/>
  <c r="C91" i="28"/>
  <c r="C92" i="28" s="1"/>
  <c r="I23" i="15"/>
  <c r="I18" i="15" s="1"/>
  <c r="I2" i="15" l="1"/>
  <c r="I85" i="15" s="1"/>
  <c r="I87" i="15" s="1"/>
  <c r="I83" i="26" l="1"/>
  <c r="I22" i="18" s="1"/>
  <c r="I23" i="28" l="1"/>
  <c r="I18" i="28" s="1"/>
  <c r="I17" i="18"/>
  <c r="I23" i="26"/>
  <c r="I2" i="26" s="1"/>
  <c r="I137" i="26" s="1"/>
  <c r="U141" i="26" s="1"/>
  <c r="I2" i="28" l="1"/>
  <c r="I62" i="28" s="1"/>
  <c r="K12" i="34"/>
  <c r="K17" i="34" s="1"/>
  <c r="I2" i="18"/>
  <c r="I82" i="18" s="1"/>
  <c r="I83" i="18" s="1"/>
  <c r="I139" i="26"/>
  <c r="K40" i="34" l="1"/>
  <c r="D19" i="34"/>
  <c r="D31" i="34"/>
  <c r="I91" i="28"/>
  <c r="I89" i="28"/>
  <c r="I92" i="28" l="1"/>
</calcChain>
</file>

<file path=xl/comments1.xml><?xml version="1.0" encoding="utf-8"?>
<comments xmlns="http://schemas.openxmlformats.org/spreadsheetml/2006/main">
  <authors>
    <author>Szeleckiné Nagy Andrea</author>
  </authors>
  <commentList>
    <comment ref="I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testvérváros 900 000</t>
        </r>
      </text>
    </comment>
    <comment ref="J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testvérváros 900 000</t>
        </r>
      </text>
    </comment>
    <comment ref="K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testvérváros 900 000</t>
        </r>
      </text>
    </comment>
    <comment ref="I3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Testvérváros 390 000 Ft</t>
        </r>
      </text>
    </comment>
    <comment ref="I5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Rendezvényre 70 000 FT</t>
        </r>
      </text>
    </comment>
    <comment ref="I57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Testvérváros: 20 000 Ft</t>
        </r>
      </text>
    </comment>
    <comment ref="E62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ELMŰ 200 000
TEMETŐ  1 158 003
KORCSOLYA 146 140</t>
        </r>
      </text>
    </comment>
    <comment ref="I6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
Testvérváros 740</t>
        </r>
        <r>
          <rPr>
            <sz val="9"/>
            <color indexed="81"/>
            <rFont val="Segoe UI"/>
            <family val="2"/>
            <charset val="238"/>
          </rPr>
          <t xml:space="preserve"> 000</t>
        </r>
      </text>
    </comment>
    <comment ref="J6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
Testvérváros 740</t>
        </r>
        <r>
          <rPr>
            <sz val="9"/>
            <color indexed="81"/>
            <rFont val="Segoe UI"/>
            <family val="2"/>
            <charset val="238"/>
          </rPr>
          <t xml:space="preserve"> 000</t>
        </r>
      </text>
    </comment>
    <comment ref="I70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testvérváros bruttó
470 000
</t>
        </r>
      </text>
    </comment>
    <comment ref="I101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tartalmazza a Fiatal Svábok 1 000 000 Ft ami 2017. évben lett jóváhagyva</t>
        </r>
      </text>
    </comment>
    <comment ref="J101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tartalmazza a Fiatal Svábok 1 000 000 Ft ami 2017. évben lett jóváhagyva</t>
        </r>
      </text>
    </comment>
    <comment ref="K101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tartalmazza a Fiatal Svábok 1 000 000 Ft ami 2017. évben lett jóváhagyva</t>
        </r>
      </text>
    </comment>
    <comment ref="I118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l</t>
        </r>
        <r>
          <rPr>
            <sz val="10"/>
            <color indexed="81"/>
            <rFont val="Segoe UI"/>
            <family val="2"/>
            <charset val="238"/>
          </rPr>
          <t>emondott tiszteletdíjból bruttó 948 327 Ft nettó  748 030</t>
        </r>
      </text>
    </comment>
    <comment ref="I125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11"/>
            <color indexed="81"/>
            <rFont val="Segoe UI"/>
            <family val="2"/>
            <charset val="238"/>
          </rPr>
          <t xml:space="preserve">MH fütés korszerűsítés 5000 000Ft; MH járda 390 000 Ft;
Tájház mosdó 3 000 000 Ft; Temető mosdó 1 800 000 Ft
</t>
        </r>
      </text>
    </comment>
    <comment ref="I126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Fehérép 157 037 681
Edwiwan Sol 12 592 810
Érces 4 500 000
napelem szerz árkülönbözet: 397 190
</t>
        </r>
      </text>
    </comment>
    <comment ref="J130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12"/>
            <color indexed="81"/>
            <rFont val="Segoe UI"/>
            <family val="2"/>
            <charset val="238"/>
          </rPr>
          <t xml:space="preserve">Tájház felújítás önerő 5 977 178
Baross tér-Béke u. közötti útszakasz 6 735 716
járda felújítás 7 372 384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Szeleckiné Nagy Andrea</author>
  </authors>
  <commentList>
    <comment ref="I40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Fodor G: 205 000 Ft/hó,
Bordik 66 000 Ft/ név
WebBiztonság rendszerköv: 90 000 Ft / név
KATWIN rendszerköv  65 000 Ft/év
Vizuál Reg 130 000 Ft/év
vírusvéd licensz 230 000 Ft/év
Eseti: 200 000 Ft</t>
        </r>
      </text>
    </comment>
    <comment ref="J40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Fodor G: 205 000 Ft/hó,
Bordik 66 000 Ft/ név
WebBiztonság rendszerköv: 90 000 Ft / név
KATWIN rendszerköv  65 000 Ft/év
Vizuál Reg 130 000 Ft/év
vírusvéd licensz 230 000 Ft/év
Eseti: 200 000 Ft</t>
        </r>
      </text>
    </comment>
    <comment ref="I56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Triton  12 000 Ft/név
tüzoltókész 3 000 Ft/év
</t>
        </r>
      </text>
    </comment>
    <comment ref="J56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Triton  12 000 Ft/név
tüzoltókész 3 000 Ft/év
</t>
        </r>
      </text>
    </comment>
  </commentList>
</comments>
</file>

<file path=xl/sharedStrings.xml><?xml version="1.0" encoding="utf-8"?>
<sst xmlns="http://schemas.openxmlformats.org/spreadsheetml/2006/main" count="4522" uniqueCount="1796">
  <si>
    <t>Jogszabályi hivatkozás</t>
  </si>
  <si>
    <t>Kapott támogatás</t>
  </si>
  <si>
    <t xml:space="preserve">Működési </t>
  </si>
  <si>
    <t>Előirányzat csoport</t>
  </si>
  <si>
    <t>Működési célú támogatásértékű bevétel</t>
  </si>
  <si>
    <t xml:space="preserve"> -elkülönített állami pénzalapból </t>
  </si>
  <si>
    <t>-társadalombiztosítás pénzügyi alapjaiból</t>
  </si>
  <si>
    <t>-nemzetiségi önkormányzattól</t>
  </si>
  <si>
    <t>-többcélú kistérségi társulástól</t>
  </si>
  <si>
    <t>Közhatalmi bevételek</t>
  </si>
  <si>
    <t>-jogi személyiségű társulástól</t>
  </si>
  <si>
    <t>-térségi fejlesztési tanácstól</t>
  </si>
  <si>
    <t xml:space="preserve">-európai uniós forrásból </t>
  </si>
  <si>
    <t>-fejezeti kezelésű előirányzatból</t>
  </si>
  <si>
    <t>-központi költségvetésből</t>
  </si>
  <si>
    <t>-központi költségvetéstől kapott támogatás</t>
  </si>
  <si>
    <t>-irányító szervtől kapott támogatás</t>
  </si>
  <si>
    <t>-adók</t>
  </si>
  <si>
    <t>-illetékek</t>
  </si>
  <si>
    <t>-járulékok</t>
  </si>
  <si>
    <t>-hozzájárulások</t>
  </si>
  <si>
    <t>-bírságok, díjak</t>
  </si>
  <si>
    <t>-egyéb fizetési kötelezettségek</t>
  </si>
  <si>
    <t>I.</t>
  </si>
  <si>
    <t>Bevétel (kiemelt előirányzatai)</t>
  </si>
  <si>
    <t>Intézményi működési bevétel</t>
  </si>
  <si>
    <t>-áru és készletértékesítés</t>
  </si>
  <si>
    <t>-nyújtott szolgáltatások ellenértéke</t>
  </si>
  <si>
    <t>-bérleti díj bevételek</t>
  </si>
  <si>
    <t>-intézményi ellátási díjak</t>
  </si>
  <si>
    <t>-alkalmazottak térítése</t>
  </si>
  <si>
    <t>-Áfa bevételek</t>
  </si>
  <si>
    <t>-hozam és kamatbevételek</t>
  </si>
  <si>
    <t>Működési célú átvett pénzeszköz</t>
  </si>
  <si>
    <t>Előző évi működési célú maradvány átvétele</t>
  </si>
  <si>
    <t>I/1.</t>
  </si>
  <si>
    <t>I/2.</t>
  </si>
  <si>
    <t>Előző évi működési célú pénzmaradvány igénybevétele</t>
  </si>
  <si>
    <t>Kiadás (kiemelt előirányzatai)</t>
  </si>
  <si>
    <t>Felhalmozási bevételek</t>
  </si>
  <si>
    <t>-tárgyi eszközök és immateriális javak értékesítése</t>
  </si>
  <si>
    <t>-pénzügyi befektetések bevételei</t>
  </si>
  <si>
    <t>Felhalmozási célú átvett pénzeszköz</t>
  </si>
  <si>
    <t>Felhalmozási célú támogatásértékű bevétel</t>
  </si>
  <si>
    <t>Előző évi felhalmozási célú pénzmaradvány igénybevétele</t>
  </si>
  <si>
    <t>II.</t>
  </si>
  <si>
    <t xml:space="preserve">Felhalmozási </t>
  </si>
  <si>
    <t>I/3.</t>
  </si>
  <si>
    <t>I/4.</t>
  </si>
  <si>
    <t>I/5.</t>
  </si>
  <si>
    <t>I/6.</t>
  </si>
  <si>
    <t>I/7.</t>
  </si>
  <si>
    <t>II/1.</t>
  </si>
  <si>
    <t>II/2.</t>
  </si>
  <si>
    <t>II/3.</t>
  </si>
  <si>
    <t>II/4.</t>
  </si>
  <si>
    <t>III.</t>
  </si>
  <si>
    <t>Kölcsönök</t>
  </si>
  <si>
    <t>III/1.</t>
  </si>
  <si>
    <t>III/2.</t>
  </si>
  <si>
    <t>Működési célú kölcsönök</t>
  </si>
  <si>
    <t>-Kapott kölcsönök</t>
  </si>
  <si>
    <t>-Kölcsön visszatérülése</t>
  </si>
  <si>
    <t>Felhalmozási célú kölcsönök</t>
  </si>
  <si>
    <t>IV.</t>
  </si>
  <si>
    <t>Finanszírozási célú pénzügyi műveletek bevételei</t>
  </si>
  <si>
    <t>-működési célú</t>
  </si>
  <si>
    <t>-felhalmozási célú</t>
  </si>
  <si>
    <t>Előző évi felhalmozási célú maradvány átvétele</t>
  </si>
  <si>
    <t>II/5.</t>
  </si>
  <si>
    <t>Ávr. 2.§ a)</t>
  </si>
  <si>
    <t>Ávr. 2.§ b)</t>
  </si>
  <si>
    <t>Ávr. 2.§ c); Áht. 5. § (1) a)</t>
  </si>
  <si>
    <t>Ávr. 2.§ d)</t>
  </si>
  <si>
    <t>Ávr. 2. § f)</t>
  </si>
  <si>
    <t>Ávr. 2. § g)</t>
  </si>
  <si>
    <t>Ávr. 2. § i)</t>
  </si>
  <si>
    <t>Ávr. 2. § e)</t>
  </si>
  <si>
    <t>Ávr. 2. § h)</t>
  </si>
  <si>
    <t>Áht. 6.§ (3)</t>
  </si>
  <si>
    <t>Személyi juttatások</t>
  </si>
  <si>
    <t>Munkaadókat terhelő járulékok</t>
  </si>
  <si>
    <t>Szociális hozzájárulások</t>
  </si>
  <si>
    <t>Dologi kiadások</t>
  </si>
  <si>
    <t>Ellátottak pénzbeli juttatásai</t>
  </si>
  <si>
    <t>Egyéb működési célú kiadások</t>
  </si>
  <si>
    <t>Intézményi beruházások</t>
  </si>
  <si>
    <t>Felújítások</t>
  </si>
  <si>
    <t>Kormányzati beruházások</t>
  </si>
  <si>
    <t>Lakástámogatás</t>
  </si>
  <si>
    <t>Egyéb felhalmozási kiadások</t>
  </si>
  <si>
    <t>-Kölcsön nyújtás</t>
  </si>
  <si>
    <t>-Kölcsön törlesztése</t>
  </si>
  <si>
    <t>Mindösszesen</t>
  </si>
  <si>
    <t>Finanszírozási célú pénzügyi műveletek kiadásai</t>
  </si>
  <si>
    <t>Tartalékok</t>
  </si>
  <si>
    <t>Általános tartalék</t>
  </si>
  <si>
    <t>Céltartalék</t>
  </si>
  <si>
    <t>Áht. 23.§ (4)</t>
  </si>
  <si>
    <t>Áht. 23. 2) § e)</t>
  </si>
  <si>
    <t>V.</t>
  </si>
  <si>
    <t>IV/1.</t>
  </si>
  <si>
    <t>IV/2.</t>
  </si>
  <si>
    <t xml:space="preserve">Bevételek </t>
  </si>
  <si>
    <t>Kiadások</t>
  </si>
  <si>
    <t>1.</t>
  </si>
  <si>
    <t>2.</t>
  </si>
  <si>
    <t>3.</t>
  </si>
  <si>
    <t>4.</t>
  </si>
  <si>
    <t>5.</t>
  </si>
  <si>
    <t>6.</t>
  </si>
  <si>
    <t>7.</t>
  </si>
  <si>
    <t>Befektetési vagy forgatási célú hitelviszonyt megtestesítő értékpapír kibocsátása, értékesítése, beváltása az eladási árban elismert kamat kivételével</t>
  </si>
  <si>
    <t>Hosszú lejáratú hitel felvétele</t>
  </si>
  <si>
    <t>Rövid lejáratú hitel felvétele</t>
  </si>
  <si>
    <t>Kölcsön felvétele</t>
  </si>
  <si>
    <t>Szabad pénzeszközök betétként való elhelyezése</t>
  </si>
  <si>
    <t>Költségvetési maradvány, vállalkozási maradvány</t>
  </si>
  <si>
    <t>Irányító szervi támogatásként folyósított támogatás fizetési számlán történő jóváírása</t>
  </si>
  <si>
    <t>Áht. 73. § (1) aa)</t>
  </si>
  <si>
    <t>Áht. 73. § (1) ab)</t>
  </si>
  <si>
    <t>Áht. 73. § (1) ac)</t>
  </si>
  <si>
    <t>Áht. 73. § (1) ad)</t>
  </si>
  <si>
    <t>Áht. 73. § (1) ae)</t>
  </si>
  <si>
    <t xml:space="preserve"> Befektetési vagy forgatási célú hitelviszonyt megtestesítő értékpapír kibocsátása, értékesítése, beváltása az eladási árban elismert kamat kivételével</t>
  </si>
  <si>
    <t>Beruházások</t>
  </si>
  <si>
    <t>Befektetési vagy forgatási célú hitelviszonyt megtestesítő értékpapír vásárlása a vételárban elismert kamat kivételével</t>
  </si>
  <si>
    <t>Hosszú lejáratú hitel tőkeösszegének törlesztése</t>
  </si>
  <si>
    <t>Rövid lejáratú hitel tőkeösszegének törlesztése</t>
  </si>
  <si>
    <t>Kölcsön tőkeösszegének törlesztése</t>
  </si>
  <si>
    <t>Szabad pénzeszközök betétként való visszavonása</t>
  </si>
  <si>
    <t>Irányító szervi támogatásként folyósított támogatás kiutalása</t>
  </si>
  <si>
    <t>Pénzügyi lízing lízingbevevői félként a lízíingszerződésben kikötött tőkerész törlesztésére teljesített kiadások</t>
  </si>
  <si>
    <t>Áht. 73. § (1) af)</t>
  </si>
  <si>
    <t>Áht. 6. § (3)</t>
  </si>
  <si>
    <t>Adók</t>
  </si>
  <si>
    <t>Illetékek</t>
  </si>
  <si>
    <t>Járulékok</t>
  </si>
  <si>
    <t>Hozzájárulások</t>
  </si>
  <si>
    <t>Bírságok</t>
  </si>
  <si>
    <t>Díjak</t>
  </si>
  <si>
    <t>Más fizetési kötelezettségek</t>
  </si>
  <si>
    <t>Munkaadókat terhelő járulékok és szociális hozzájárulási adó</t>
  </si>
  <si>
    <t>BEVÉTELEK MINDÖSSZESEN</t>
  </si>
  <si>
    <t>KIADÁSOK MINDÖSSZESEN</t>
  </si>
  <si>
    <t>Helyi önkormányzatok működésének általános támogatása</t>
  </si>
  <si>
    <t>Települési önkormányzatok egyes köznevelési feladatainak támogatása</t>
  </si>
  <si>
    <t>Települési önkormányzatok szociális és gyermekjóléti  feladatainak támogatása</t>
  </si>
  <si>
    <t>Települési önkormányzatok kulturális feladatainak támogatása</t>
  </si>
  <si>
    <t>Működési célú központosított előirányzatok</t>
  </si>
  <si>
    <t>Helyi önkormányzatok kiegészítő támogatásai</t>
  </si>
  <si>
    <t>Áhsz. 15. melléklet</t>
  </si>
  <si>
    <t>Elvonások és befizetések bevételei</t>
  </si>
  <si>
    <t>Működési célú garancia- és kezességvállalásból származó megtérülések államháztartáson belülről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</si>
  <si>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</si>
  <si>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</si>
  <si>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</si>
  <si>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Működési célú támogatások Áht.-on belülről (1+2….+6)</t>
  </si>
  <si>
    <t>Áht. 5. § (1) a)</t>
  </si>
  <si>
    <t>Működési bevételek</t>
  </si>
  <si>
    <t>Áru- és készletértékesítés ellenértéke</t>
  </si>
  <si>
    <t>Szolgáltatások ellenértéke</t>
  </si>
  <si>
    <t>Közvetített szolgáltatások 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</si>
  <si>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</si>
  <si>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</si>
  <si>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</si>
  <si>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</si>
  <si>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</si>
  <si>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</si>
  <si>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</si>
  <si>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</si>
  <si>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</si>
  <si>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</si>
  <si>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Működési célú átvett pénzeszközök</t>
  </si>
  <si>
    <t>Felhalmozási célú támogatások Áht.-on belülről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</si>
  <si>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</si>
  <si>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</si>
  <si>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</si>
  <si>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</si>
  <si>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</si>
  <si>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MŰKÖDÉSI KÖLTSÉGVETÉSI BEVÉTELEK (I+II+III+IV)</t>
  </si>
  <si>
    <t>VI.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</si>
  <si>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</si>
  <si>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</si>
  <si>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</si>
  <si>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</si>
  <si>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</si>
  <si>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Felhalmozási célú átvett pénzeszközök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</si>
  <si>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</si>
  <si>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</si>
  <si>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</si>
  <si>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VII.</t>
  </si>
  <si>
    <t>FELHALMOZÁSI KÖLTSÉGVETÉSI BEVÉTELEK (V+VI+VII)</t>
  </si>
  <si>
    <t>MŰKÖDÉSI FINANSZÍROZÁSI BEVÉTELEK (1+2+….+7)</t>
  </si>
  <si>
    <t>FELHALMOZÁSI FINANSZÍROZÁSI BEVÉTELEK (1+2+….+7)</t>
  </si>
  <si>
    <r>
      <t xml:space="preserve">Egyéb működési célú kiadások </t>
    </r>
    <r>
      <rPr>
        <sz val="11"/>
        <color theme="1"/>
        <rFont val="Times New Roman"/>
        <family val="1"/>
        <charset val="238"/>
      </rPr>
      <t>(tartalékokkal együtt K512 rovatszám)</t>
    </r>
  </si>
  <si>
    <t>MŰKÖDÉSI KÖLTSÉGVETÉSI KIADÁSOK (I+II+….V)</t>
  </si>
  <si>
    <t>MŰKÖDÉSI FINANSZÍROZÁSI KIADÁSOK (1+2+….+7)</t>
  </si>
  <si>
    <t>FELHALMOZÁSI FINANSZÍROZÁSI KIADÁSOK (1+2+….+7)</t>
  </si>
  <si>
    <t>VIII.</t>
  </si>
  <si>
    <t>FELHALMOZÁSI KÖLTSÉGVETÉSI KIADÁSOK (VI+VII+VIII)</t>
  </si>
  <si>
    <t>Önkormányzatok működési támogatásai</t>
  </si>
  <si>
    <t>K42. Családi támogatások</t>
  </si>
  <si>
    <t>K44. Betegséggel kapcsolatos (nem TB) ellátások</t>
  </si>
  <si>
    <t>K45. Foglalkoztatással, munkanélküliséggel kapcsolatos ellátások</t>
  </si>
  <si>
    <t>K46. Lakhatással kapcsolatos ellátások</t>
  </si>
  <si>
    <t>K47. Intézményi ellátottak pénzbeli juttatásai</t>
  </si>
  <si>
    <t>K48. Egyéb nem intézményi ellátások</t>
  </si>
  <si>
    <t>K502. Elvonások és befizetések</t>
  </si>
  <si>
    <t>K506. Egyéb működési célú támogatások államháztartáson belülre</t>
  </si>
  <si>
    <t>K505. Működési c.visszatérítendő támogatások, kölcsönök törlesztése áht.belül</t>
  </si>
  <si>
    <t>K508. Működési c.visszatérítendő támogatások, kölcsönök törlesztése áht.kívül</t>
  </si>
  <si>
    <t>K512. Tartalékok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</si>
  <si>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</si>
  <si>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</si>
  <si>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</si>
  <si>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</si>
  <si>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K6. Beruházások</t>
  </si>
  <si>
    <t>K61. Immateriális javak beszerzése</t>
  </si>
  <si>
    <t>K62. Ingatlanok beszerzése</t>
  </si>
  <si>
    <t>K63. Informatikai eszközök beszerzése</t>
  </si>
  <si>
    <t>K64. Egyéb tárgyi eszközök beszerzése</t>
  </si>
  <si>
    <t>K65. Részesedések</t>
  </si>
  <si>
    <t>K66. Meglévő részesedések növeléséhez kapcsolódó kiadás</t>
  </si>
  <si>
    <t>K67. Beruházási célú előzetesen felszámított ÁFA</t>
  </si>
  <si>
    <t>K7. Felújítások</t>
  </si>
  <si>
    <t>K71. Ingatlanok felújítása</t>
  </si>
  <si>
    <t>K72. Informatikai eszközök felújítása</t>
  </si>
  <si>
    <t>K73. Egyéb tárgyi eszközök felújítása</t>
  </si>
  <si>
    <t>K74. Felújítási célú előzetesen felszámított ÁFA</t>
  </si>
  <si>
    <t>K8. Egyéb felhalmozási célú kiadások</t>
  </si>
  <si>
    <t>K9111. Hosszú lejáratú hitelek, kölcsönök törlesztése</t>
  </si>
  <si>
    <t>K9112. Likviditási célú hitelek, kölcsönök törlesztése pénzügyi vállalkozásnak</t>
  </si>
  <si>
    <t>K9113. Rövid lejáratú hitelek, kölcsönök törlesztése</t>
  </si>
  <si>
    <t>K9122. Forgatási célú belföldi értékpapír beváltása</t>
  </si>
  <si>
    <t>K9121. Forgatási célú belföldi értékpapír vásárlása</t>
  </si>
  <si>
    <t>K915. Központi, irányító szervi támogatás folyósítása</t>
  </si>
  <si>
    <t>K5. Egyéb működési célú kiadások (tartalékokkal együtt)</t>
  </si>
  <si>
    <t>K31. Készletbeszerzés összesen</t>
  </si>
  <si>
    <t>K32. Kommunikációs szolgáltatások összesen</t>
  </si>
  <si>
    <t>K33. Szolgáltatási kiadások összesen</t>
  </si>
  <si>
    <t>K34. Kiküldetés, reklám- és propaganda kiadások összesen</t>
  </si>
  <si>
    <t>K35. Különféle befizetések és egyéb dologi kiadások összesen</t>
  </si>
  <si>
    <t>K911. Hitel-, kölcsöntörlesztés államháztartáson kívülre összesen</t>
  </si>
  <si>
    <t>K912. Belföldi értékpapírok kiadásai összesen</t>
  </si>
  <si>
    <t>K91. Belföldi finanszírozás kiadásai (működési) összesen</t>
  </si>
  <si>
    <t>K91. Belföldi finanszírozás kiadásai (felhalmozási) összesen</t>
  </si>
  <si>
    <t>B11. Önkormányzatok működési támogatásai</t>
  </si>
  <si>
    <t>B111. Helyi önkormányzatok működésének általános támogatása</t>
  </si>
  <si>
    <t>B112. Települési önkormányzatok egyes köznevelési feladatainak támogatása</t>
  </si>
  <si>
    <t>B113. Települési önkormányzatok szociális és gyermekjóléti  feladatainak támogatása</t>
  </si>
  <si>
    <t>B114. Települési önkormányzatok kulturális feladatainak támogatása</t>
  </si>
  <si>
    <t>B115. Működési célú központosított előirányzatok</t>
  </si>
  <si>
    <t>nem tervezhető!</t>
  </si>
  <si>
    <t>B116. Helyi önkormányzatok kiegészítő támogatásai</t>
  </si>
  <si>
    <t>B12. Elvonások és befizetések bevételei</t>
  </si>
  <si>
    <t>B13. Működési célú garancia- és kezességvállalásból származó megtérülések államháztartáson belülről</t>
  </si>
  <si>
    <t>B14. Működési célú visszatérítendő támogatások, kölcsönök visszatérülése államháztartáson belülről</t>
  </si>
  <si>
    <t>B15. Működési célú visszatérítendő támogatások, kölcsönök igénybevétele államháztartáson belülről</t>
  </si>
  <si>
    <t>B16. Egyéb működési célú támogatások bevételei államháztartáson belülről</t>
  </si>
  <si>
    <t>B2. Felhalmozási célú támogatások Áht.-on belülről</t>
  </si>
  <si>
    <t>B21. Felhalmozási célú önkormányzati támogatások</t>
  </si>
  <si>
    <t>B22. Felhalmozási célú garancia- és kezességvállalásból származó megtérülések államháztartáson belülről</t>
  </si>
  <si>
    <t>B23. Felhalmozási célú visszatérítendő támogatások, kölcsönök visszatérülése államháztartáson belülről</t>
  </si>
  <si>
    <t>B24. Felhalmozási célú visszatérítendő támogatások, kölcsönök igénybevétele államháztartáson belülről</t>
  </si>
  <si>
    <t>B25. Egyéb felhalmozási célú támogatások bevételei államháztartáson belülről</t>
  </si>
  <si>
    <t>B3. Közhatalmi bevételek</t>
  </si>
  <si>
    <t>B34. Vagyoni típusú adók</t>
  </si>
  <si>
    <t>B35. Termékek és szolgáltatások adói</t>
  </si>
  <si>
    <t>B351. Értékesítési és forgalmi adók</t>
  </si>
  <si>
    <t>B354. Gépjárműadó</t>
  </si>
  <si>
    <t>B355. Egyéb áruhasználati és szolgáltatási adók</t>
  </si>
  <si>
    <t>B36. Egyéb közhatalmi bevételek</t>
  </si>
  <si>
    <t>B4. Működési bevételek</t>
  </si>
  <si>
    <t>B401. Áru- és készletértékesítés ellenértéke</t>
  </si>
  <si>
    <t>B402. Szolgáltatások ellenértéke</t>
  </si>
  <si>
    <t>B403. Közvetített szolgáltatások értéke</t>
  </si>
  <si>
    <t>B404. Tulajdonosi bevételek</t>
  </si>
  <si>
    <t>B405. Ellátási díjak</t>
  </si>
  <si>
    <t>B406. Kiszámlázott általános forgalmi adó</t>
  </si>
  <si>
    <t>B407. Általános forgalmi adó visszatérítése</t>
  </si>
  <si>
    <t>B408. Kamatbevételek</t>
  </si>
  <si>
    <t>B409. Egyéb pénzügyi műveletek bevételei</t>
  </si>
  <si>
    <t>B410. Egyéb működési bevételek</t>
  </si>
  <si>
    <t>B5. Felhalmozási bevételek</t>
  </si>
  <si>
    <t>B51. Immateriális javak értékesítése</t>
  </si>
  <si>
    <t>B52. Ingatlanok értékesítése</t>
  </si>
  <si>
    <t>B53. Egyéb tárgyi eszközök értékesítése</t>
  </si>
  <si>
    <t>B54. Részesedések értékesítése</t>
  </si>
  <si>
    <t>B55. Részesedések megszűnéséhez kapcsolódó bevételek</t>
  </si>
  <si>
    <t>B6. Működési célú átvett pénzeszközök</t>
  </si>
  <si>
    <t>B61. Működési célú garancia- és kezességvállalásból származó megtérülések államháztartáson kívülről</t>
  </si>
  <si>
    <t>B62. Működési célú visszatérítendő támogatások, kölcsönök visszatérülése államháztartáson kívülről</t>
  </si>
  <si>
    <t>B63. Egyéb működési célú átvett pénzeszközök</t>
  </si>
  <si>
    <t>B7. Felhalmozási célú átvett pénzeszközök</t>
  </si>
  <si>
    <t>B71. Felhalmozási célú garancia- és kezességvállalásból származó megtérülések államháztartáson kívülről</t>
  </si>
  <si>
    <t>B72. Felhalmozási célú visszatérítendő támogatások, kölcsönök visszatérülése államháztartáson kívülről</t>
  </si>
  <si>
    <t>B73. Egyéb felhalmozási célú átvett pénzeszközök</t>
  </si>
  <si>
    <t>B8. FINANSZÍROZÁSI BEVÉTELEK (1+2+….+7)</t>
  </si>
  <si>
    <t xml:space="preserve">K9. FINANSZÍROZÁSI KIADÁSOK </t>
  </si>
  <si>
    <t>B8111. Hosszú lejáratú hitelek, kölcsönök felvétele</t>
  </si>
  <si>
    <t>B8112. Likviditási célú hitelek, kölcsönök felvétele pénzügyi vállalkozástól</t>
  </si>
  <si>
    <t>B8113. Rövid lejáratú hitelek, kölcsönök felvétele</t>
  </si>
  <si>
    <t>B811. Hitel-, kölcsönfelvétel államháztartáson kívülről összesenn</t>
  </si>
  <si>
    <t>B8121. Forgatási célú belföldi értékpapírok beváltása, értékesítése</t>
  </si>
  <si>
    <t>B8122. Forgatási célú belföldi értékpapír kibocsátása</t>
  </si>
  <si>
    <t>B812. Belföldi értékpapírok bevételei</t>
  </si>
  <si>
    <t>B813. Maradvány igénybevétele (működési)</t>
  </si>
  <si>
    <t>B816. Központi, irányító szervi támogatás</t>
  </si>
  <si>
    <t>B81. Belföldi finanszírozás bevételei (működési) összesen</t>
  </si>
  <si>
    <t>B81. Belföldi finanszírozás bevételei (felhalmozási) összesen</t>
  </si>
  <si>
    <t>B813. Maradvány igénybevétele (felhalmozási)</t>
  </si>
  <si>
    <t xml:space="preserve">B1. Működési célú támogatások Áht.-on belülről </t>
  </si>
  <si>
    <t>051. Személyi juttatások</t>
  </si>
  <si>
    <t>0511041. Készenlét, ügyelet, helyettesítés, túlóra</t>
  </si>
  <si>
    <t>0511051. Végkielégítés</t>
  </si>
  <si>
    <t>0511061. Jubileumi jutalom</t>
  </si>
  <si>
    <t>0511091. Közlekedési költségtérítés</t>
  </si>
  <si>
    <t>0511101. Egyéb költségtérítés</t>
  </si>
  <si>
    <t>0511131. Foglalkoztatottak egyéb személyi juttatásai</t>
  </si>
  <si>
    <t>0511. Foglalkoztatottak személyi juttatásai összesen</t>
  </si>
  <si>
    <t>051211. Választott tisztségviselők juttatásai</t>
  </si>
  <si>
    <t>051221. Munkavégzésre irányuló nem saját foglalkoztatottnak fizetett juttatás</t>
  </si>
  <si>
    <t>051231. Egyéb külső személyi juttatás</t>
  </si>
  <si>
    <t>0512. Külső személyi juttatások összesen</t>
  </si>
  <si>
    <t>05211. Munkaadókat terhelő járulékok és szociális hozzájárulási adó</t>
  </si>
  <si>
    <t>053. Dologi kiadások</t>
  </si>
  <si>
    <t>053111. Szakmai anyag beszerzés</t>
  </si>
  <si>
    <t xml:space="preserve"> - gyógyszer</t>
  </si>
  <si>
    <t xml:space="preserve"> - könyv, folyóirat</t>
  </si>
  <si>
    <t xml:space="preserve"> - kisértékű informatikai és tárgyi eszközök, szellemi termékek</t>
  </si>
  <si>
    <t xml:space="preserve"> - élelmiszer, élelmezési nyersanyag</t>
  </si>
  <si>
    <t xml:space="preserve"> - papír, nyomtatvány, irodai anyag</t>
  </si>
  <si>
    <t xml:space="preserve"> - nyomtatási festék, festékpatron</t>
  </si>
  <si>
    <t xml:space="preserve"> - tüzelő-, hajtó-, és kenőanyag</t>
  </si>
  <si>
    <t xml:space="preserve"> - munka- és védőruha</t>
  </si>
  <si>
    <t xml:space="preserve"> - egyéb üzemeltetési anyagok</t>
  </si>
  <si>
    <t>053121. Üzemeltetési anyag beszerzés</t>
  </si>
  <si>
    <t>053131. Árubeszerzés</t>
  </si>
  <si>
    <t>0531. Készletbeszerzés összesen</t>
  </si>
  <si>
    <t>0532. Kommunikációs szolgáltatások összesen</t>
  </si>
  <si>
    <t>053211. Informatikai szolgáltatások igénybevétele</t>
  </si>
  <si>
    <t>053221. Egyéb kommunikációs szolgáltatás</t>
  </si>
  <si>
    <t>0533. Szolgáltatási kiadások összesen</t>
  </si>
  <si>
    <t>053311. Közüzemi díjak</t>
  </si>
  <si>
    <t xml:space="preserve"> - villamosenergia</t>
  </si>
  <si>
    <t xml:space="preserve"> - víz- és csatornadíj</t>
  </si>
  <si>
    <t xml:space="preserve"> - gázdíj</t>
  </si>
  <si>
    <t>053321. Vásárolt élelmezés</t>
  </si>
  <si>
    <t>053331. Bérleti és lízingdíj</t>
  </si>
  <si>
    <t>053341. Karbantartás, kisjavítás</t>
  </si>
  <si>
    <t>053351. Közvetített szolgáltatás</t>
  </si>
  <si>
    <t>053361. Szakmai tevékenységet segítő szolgáltatások</t>
  </si>
  <si>
    <t>053371. Egyéb szolgáltatások</t>
  </si>
  <si>
    <t xml:space="preserve"> - postaköltség</t>
  </si>
  <si>
    <t xml:space="preserve"> - biztosítási díjak</t>
  </si>
  <si>
    <t>053411. Kiküldetés</t>
  </si>
  <si>
    <t>053421. Reklám- és propaganda</t>
  </si>
  <si>
    <t>0534. Kiküldetés, reklám- és propaganda kiadások összesen</t>
  </si>
  <si>
    <t>0535. Különféle befizetések és egyéb dologi kiadások összesen</t>
  </si>
  <si>
    <t>053511. Működési célú előzetesen felszámított ÁFA</t>
  </si>
  <si>
    <t>053521. Fizetendő ÁFA</t>
  </si>
  <si>
    <t>053531. Kamatkiadások</t>
  </si>
  <si>
    <t>053541. Egyéb pénzügyi műveletek kiadásai</t>
  </si>
  <si>
    <t>053551. Egyéb dologi kiadások (adók, díjak, illetékek, ajánlati biztosíték, kés.kamat)</t>
  </si>
  <si>
    <t>054. Ellátottak pénzbeli juttatásai</t>
  </si>
  <si>
    <t>05421. Családi támogatások</t>
  </si>
  <si>
    <t>05441. Betegséggel kapcsolatos (nem TB) ellátások</t>
  </si>
  <si>
    <t>05451. Foglalkoztatással, munkanélküliséggel kapcsolatos ellátások</t>
  </si>
  <si>
    <t>05461. Lakhatással kapcsolatos ellátások</t>
  </si>
  <si>
    <t>05471. Intézményi ellátottak pénzbeli juttatásai</t>
  </si>
  <si>
    <t>05481. Egyéb nem intézményi ellátások</t>
  </si>
  <si>
    <t>055021. Elvonások és befizetések</t>
  </si>
  <si>
    <t>055051. Működési c.visszatérítendő támogatások, kölcsönök törlesztése áht.belül</t>
  </si>
  <si>
    <t>055061. Egyéb működési célú támogatások államháztartáson belülre</t>
  </si>
  <si>
    <t>055081. Működési c.visszatérítendő támogatások, kölcsönök törlesztése áht.kívül</t>
  </si>
  <si>
    <t>K511. Egyéb működési célú támogatások államháztartáson kívülre</t>
  </si>
  <si>
    <t>05611. Immateriális javak beszerzése</t>
  </si>
  <si>
    <t>05621. Ingatlanok beszerzése</t>
  </si>
  <si>
    <t>056. Beruházások</t>
  </si>
  <si>
    <t>05631. Informatikai eszközök beszerzése</t>
  </si>
  <si>
    <t>05651. Részesedések</t>
  </si>
  <si>
    <t>05661. Meglévő részesedések növeléséhez kapcsolódó kiadás</t>
  </si>
  <si>
    <t>05671. Beruházási célú előzetesen felszámított ÁFA</t>
  </si>
  <si>
    <t>057. Felújítások</t>
  </si>
  <si>
    <t>05711. Ingatlanok felújítása</t>
  </si>
  <si>
    <t>05721. Informatikai eszközök felújítása</t>
  </si>
  <si>
    <t>05731. Egyéb tárgyi eszközök felújítása</t>
  </si>
  <si>
    <t>05741. Felújítási célú előzetesen felszámított ÁFA</t>
  </si>
  <si>
    <t>058. Egyéb felhalmozási célú kiadások</t>
  </si>
  <si>
    <t>05881. Egyéb felhalmozási célú támogatások államháztartáson kívülre</t>
  </si>
  <si>
    <t>05841. Egyéb felhalmozási célú támogatások államháztartáson belülre</t>
  </si>
  <si>
    <t>0591111. Hosszú lejáratú hitelek, kölcsönök törlesztése</t>
  </si>
  <si>
    <t>0591121. Likviditási célú hitelek, kölcsönök törlesztése pénzügyi vállalkozásnak</t>
  </si>
  <si>
    <t>0591131. Rövid lejáratú hitelek, kölcsönök törlesztése</t>
  </si>
  <si>
    <t xml:space="preserve">059. FINANSZÍROZÁSI KIADÁSOK </t>
  </si>
  <si>
    <t>05911. Hitel-, kölcsöntörlesztés államháztartáson kívülre összesen</t>
  </si>
  <si>
    <t>0591211. Forgatási célú belföldi értékpapír vásárlása</t>
  </si>
  <si>
    <t>05912. Belföldi értékpapírok kiadásai összesen</t>
  </si>
  <si>
    <t>059151. Központi, irányító szervi támogatás folyósítása</t>
  </si>
  <si>
    <t>0591. Belföldi finanszírozás kiadásai (működési) összesen</t>
  </si>
  <si>
    <t>0591. Belföldi finanszírozás kiadásai (felhalmozási) összesen</t>
  </si>
  <si>
    <t xml:space="preserve">091. Működési célú támogatások Áht.-on belülről </t>
  </si>
  <si>
    <t>0911. Önkormányzatok működési támogatásai</t>
  </si>
  <si>
    <t>091111. Helyi önkormányzatok működésének általános támogatása</t>
  </si>
  <si>
    <t>091121. Települési önkormányzatok egyes köznevelési feladatainak támogatása</t>
  </si>
  <si>
    <t>091141. Települési önkormányzatok kulturális feladatainak támogatása</t>
  </si>
  <si>
    <t>091151. Működési célú központosított előirányzatok</t>
  </si>
  <si>
    <t>091161. Helyi önkormányzatok kiegészítő támogatásai</t>
  </si>
  <si>
    <t>09121. Elvonások és befizetések bevételei</t>
  </si>
  <si>
    <t>09131. Működési célú garancia- és kezességvállalásból származó megtérülések államháztartáson belülről</t>
  </si>
  <si>
    <t>09141. Működési célú visszatérítendő támogatások, kölcsönök visszatérülése államháztartáson belülről</t>
  </si>
  <si>
    <t>09151. Működési célú visszatérítendő támogatások, kölcsönök igénybevétele államháztartáson belülről</t>
  </si>
  <si>
    <t>09161. Egyéb működési célú támogatások bevételei államháztartáson belülről</t>
  </si>
  <si>
    <t>092. Felhalmozási célú támogatások Áht.-on belülről</t>
  </si>
  <si>
    <t>09211. Felhalmozási célú önkormányzati támogatások</t>
  </si>
  <si>
    <t>09221. Felhalmozási célú garancia- és kezességvállalásból származó megtérülések államháztartáson belülről</t>
  </si>
  <si>
    <t>09231. Felhalmozási célú visszatérítendő támogatások, kölcsönök visszatérülése államháztartáson belülről</t>
  </si>
  <si>
    <t>09241. Felhalmozási célú visszatérítendő támogatások, kölcsönök igénybevétele államháztartáson belülről</t>
  </si>
  <si>
    <t>09251. Egyéb felhalmozási célú támogatások bevételei államháztartáson belülről</t>
  </si>
  <si>
    <t>095. Felhalmozási bevételek</t>
  </si>
  <si>
    <t>09511. Immateriális javak értékesítése</t>
  </si>
  <si>
    <t>09521. Ingatlanok értékesítése</t>
  </si>
  <si>
    <t>09531. Egyéb tárgyi eszközök értékesítése</t>
  </si>
  <si>
    <t>09541. Részesedések értékesítése</t>
  </si>
  <si>
    <t>09551. Részesedések megszűnéséhez kapcsolódó bevételek</t>
  </si>
  <si>
    <t>097. Felhalmozási célú átvett pénzeszközök</t>
  </si>
  <si>
    <t>09711. Felhalmozási célú garancia- és kezességvállalásból származó megtérülések államháztartáson kívülről</t>
  </si>
  <si>
    <t>09721. Felhalmozási célú visszatérítendő támogatások, kölcsönök visszatérülése államháztartáson kívülről</t>
  </si>
  <si>
    <t>09731. Egyéb felhalmozási célú átvett pénzeszközök</t>
  </si>
  <si>
    <t>098. FINANSZÍROZÁSI BEVÉTELEK (1+2+….+7)</t>
  </si>
  <si>
    <t>0981111. Hosszú lejáratú hitelek, kölcsönök felvétele</t>
  </si>
  <si>
    <t>0981121. Likviditási célú hitelek, kölcsönök felvétele pénzügyi vállalkozástól</t>
  </si>
  <si>
    <t>0981131. Rövid lejáratú hitelek, kölcsönök felvétele</t>
  </si>
  <si>
    <t>09811. Hitel-, kölcsönfelvétel államháztartáson kívülről összesenn</t>
  </si>
  <si>
    <t>0981211. Forgatási célú belföldi értékpapírok beváltása, értékesítése</t>
  </si>
  <si>
    <t>0981221. Forgatási célú belföldi értékpapír kibocsátása</t>
  </si>
  <si>
    <t>09812. Belföldi értékpapírok bevételei</t>
  </si>
  <si>
    <t>0981311. Maradvány igénybevétele (működési)</t>
  </si>
  <si>
    <t>098161. Központi, irányító szervi támogatás</t>
  </si>
  <si>
    <t>0981. Belföldi finanszírozás bevételei (működési) összesen</t>
  </si>
  <si>
    <t>0981311. Maradvány igénybevétele (felhalmozási)</t>
  </si>
  <si>
    <t>0981. Belföldi finanszírozás bevételei (felhalmozási) összesen</t>
  </si>
  <si>
    <t>0911. Önkormányzatok működési támogatása összesen</t>
  </si>
  <si>
    <t>094. Működési bevételek</t>
  </si>
  <si>
    <t>093. Közhatalmi bevételek</t>
  </si>
  <si>
    <t>094011. Áru- és készletértékesítés ellenértéke</t>
  </si>
  <si>
    <t>094021. Szolgáltatások ellenértéke</t>
  </si>
  <si>
    <t>094031. Közvetített szolgáltatások értéke</t>
  </si>
  <si>
    <t>094041. Tulajdonosi bevételek</t>
  </si>
  <si>
    <t>094051. Ellátási díjak</t>
  </si>
  <si>
    <t xml:space="preserve"> - gondozási díj</t>
  </si>
  <si>
    <t>094061. Kiszámlázott általános forgalmi adó</t>
  </si>
  <si>
    <t>094071. Általános forgalmi adó visszatérítése</t>
  </si>
  <si>
    <t>094081. Kamatbevételek</t>
  </si>
  <si>
    <t>094091. Egyéb pénzügyi műveletek bevételei</t>
  </si>
  <si>
    <t>094101. Egyéb működési bevételek</t>
  </si>
  <si>
    <t xml:space="preserve"> - ajánlati biztosíték</t>
  </si>
  <si>
    <t xml:space="preserve"> - végrehajtási költség visszatérülése</t>
  </si>
  <si>
    <t xml:space="preserve"> - kártérítés, bánatpénz</t>
  </si>
  <si>
    <t>096. Működési célú átvett pénzeszközök</t>
  </si>
  <si>
    <t>09611. Működési célú garancia- és kezességvállalásból származó megtérülések államháztartáson kívülről</t>
  </si>
  <si>
    <t>09621. Működési célú visszatérítendő támogatások, kölcsönök visszatérülése államháztartáson kívülről</t>
  </si>
  <si>
    <t>09631. Egyéb működési célú átvett pénzeszközök</t>
  </si>
  <si>
    <t xml:space="preserve"> - hírdetési díj</t>
  </si>
  <si>
    <t xml:space="preserve"> - tárgyi eszköz bérbeadásából származó bevétel</t>
  </si>
  <si>
    <t xml:space="preserve"> - terembérlet</t>
  </si>
  <si>
    <t>09341. Vagyoni típusú adók</t>
  </si>
  <si>
    <t xml:space="preserve"> - építményadó</t>
  </si>
  <si>
    <t xml:space="preserve"> - épület után fizetett idegenforgalmi adó</t>
  </si>
  <si>
    <t xml:space="preserve"> - magánszemélyek kommunális idója</t>
  </si>
  <si>
    <t xml:space="preserve"> - telekadó</t>
  </si>
  <si>
    <t xml:space="preserve"> - luxusadó</t>
  </si>
  <si>
    <t>0935. Termékek és szolgáltatások adói</t>
  </si>
  <si>
    <t>093511. Értékesítési és forgalmi adók</t>
  </si>
  <si>
    <t xml:space="preserve"> - állandó jelleggel végzett tevékenység után fizetett helyi iparűzési adó</t>
  </si>
  <si>
    <t xml:space="preserve"> - ideiglenes jelleggel végzett tevékenység után fizetett helyi iparűzési adó</t>
  </si>
  <si>
    <t>093541. Gépjárműadó</t>
  </si>
  <si>
    <t xml:space="preserve"> - belföldi gépjármű adójának központi költségvetést megillető része</t>
  </si>
  <si>
    <t xml:space="preserve"> - belföldi gépjármű adójának önkormányzatot megillető része</t>
  </si>
  <si>
    <t xml:space="preserve"> - külföldi gépjármű adója</t>
  </si>
  <si>
    <t xml:space="preserve"> - gépjármű túlsúlydíja</t>
  </si>
  <si>
    <t>093551. Egyéb áruhasználati és szolgáltatási adók</t>
  </si>
  <si>
    <t xml:space="preserve"> - tartózkodás után fizetett idegenforgalmi adó</t>
  </si>
  <si>
    <t xml:space="preserve"> - talajterhelési díj</t>
  </si>
  <si>
    <t>09361. Egyéb közhatalmi bevételek</t>
  </si>
  <si>
    <t xml:space="preserve"> - eljárási illetékek</t>
  </si>
  <si>
    <t xml:space="preserve"> - igazgatási szolgáltatási díjak</t>
  </si>
  <si>
    <t xml:space="preserve"> - bírságok</t>
  </si>
  <si>
    <t>053221. Egyéb kommunikációs szolgáltatás (telefon)</t>
  </si>
  <si>
    <t xml:space="preserve"> - egyéb közhatalmi bevételek (késedelmi pótlék)</t>
  </si>
  <si>
    <t xml:space="preserve"> - étkezési térítési díj (foglalkoztatotti)</t>
  </si>
  <si>
    <t xml:space="preserve"> - étkezési térítési díj (külsős)</t>
  </si>
  <si>
    <t xml:space="preserve"> - szociális étkeztetés</t>
  </si>
  <si>
    <t xml:space="preserve"> - óvodai intézményi étkeztetés</t>
  </si>
  <si>
    <t xml:space="preserve"> - iskolai intézményi étkeztetés</t>
  </si>
  <si>
    <t xml:space="preserve"> - ellátottak részére nyújtott szolgáltatások</t>
  </si>
  <si>
    <t xml:space="preserve"> - étkezési térítési díj </t>
  </si>
  <si>
    <t xml:space="preserve"> - könyvtári szolgáltatás</t>
  </si>
  <si>
    <t>055. Egyéb működési célú kiadások (tartalékokkal együtt)</t>
  </si>
  <si>
    <t>K11. Foglalkoztatottak személyi juttatásai</t>
  </si>
  <si>
    <t xml:space="preserve">K12. Külső személyi juttatások </t>
  </si>
  <si>
    <t>Polgármesteri Hivatal bevételi előirányzata</t>
  </si>
  <si>
    <t>Polgármesteri Hivatal kiadási előirányzata</t>
  </si>
  <si>
    <t>Önkormányzat kiadási előirányzata</t>
  </si>
  <si>
    <t>Művelődési Ház és Könyvtár bevételi előirányzata</t>
  </si>
  <si>
    <t>Művelődési Ház és Könyvtár kiadási előirányzata</t>
  </si>
  <si>
    <t>Forrás Intézményüzemeltető Központ bevételi előirányzata</t>
  </si>
  <si>
    <t>Forrás Intézményüzemeltető Központ kiadási előirányzata</t>
  </si>
  <si>
    <t>Önkormányzat bevételi előirányzata</t>
  </si>
  <si>
    <t>B351. Értékesítési és forgalmi adók (iparűzési)</t>
  </si>
  <si>
    <t>B355. Egyéb áruhasználati és szolgáltatási adók (talajterhelés)</t>
  </si>
  <si>
    <t>Szociális és Gyermekjóléti Szolgálat bevételi előirányzata</t>
  </si>
  <si>
    <t>Szociális és Gyermekjóléti Szolgálat kiadási előirányzata</t>
  </si>
  <si>
    <t>sorszám</t>
  </si>
  <si>
    <t>Feladat megnevezése</t>
  </si>
  <si>
    <t>Nettó</t>
  </si>
  <si>
    <t>ÁFA</t>
  </si>
  <si>
    <t>Bruttó</t>
  </si>
  <si>
    <t>Önkormányzat</t>
  </si>
  <si>
    <t>1.1.</t>
  </si>
  <si>
    <t>1.2.</t>
  </si>
  <si>
    <t>2.1.</t>
  </si>
  <si>
    <t>2.2.</t>
  </si>
  <si>
    <t>3.1.</t>
  </si>
  <si>
    <t>3.2.</t>
  </si>
  <si>
    <t>Forrás Intézményüzemeltető Központ</t>
  </si>
  <si>
    <t>4.1.</t>
  </si>
  <si>
    <t>4.2.</t>
  </si>
  <si>
    <t>Petőfi Sándor Művelődési Ház és Könyvtár</t>
  </si>
  <si>
    <t>5.1.</t>
  </si>
  <si>
    <t>5.2.</t>
  </si>
  <si>
    <t>Polgármesteri Hivatal</t>
  </si>
  <si>
    <t>Szociális és Gyermekjóléti Szolgálat</t>
  </si>
  <si>
    <t>Bevétel</t>
  </si>
  <si>
    <t>Megnevezés</t>
  </si>
  <si>
    <t>Projekt azonosító</t>
  </si>
  <si>
    <t>Támogatást biztosító megnevezése</t>
  </si>
  <si>
    <t>Önkormányzaton belül megvalósuló projektek</t>
  </si>
  <si>
    <t>Összesen:</t>
  </si>
  <si>
    <t>Támogatás összege</t>
  </si>
  <si>
    <t>Beruházási kiadások összesen</t>
  </si>
  <si>
    <t>10.sz. melléklet</t>
  </si>
  <si>
    <t>Megjegyzés</t>
  </si>
  <si>
    <t>Polgármester</t>
  </si>
  <si>
    <t>Jegyző</t>
  </si>
  <si>
    <t>Intézményvezető</t>
  </si>
  <si>
    <t>Főfoglalkozású előadó</t>
  </si>
  <si>
    <t xml:space="preserve">  Intézményvezető</t>
  </si>
  <si>
    <t xml:space="preserve">  Élelmezésvezető</t>
  </si>
  <si>
    <t xml:space="preserve">  Főfoglalkozású szakács</t>
  </si>
  <si>
    <t xml:space="preserve">  Konyhai kisegítő</t>
  </si>
  <si>
    <t xml:space="preserve">  Takarító</t>
  </si>
  <si>
    <t xml:space="preserve">  Karbantartó</t>
  </si>
  <si>
    <t>Fizikai dolgozó</t>
  </si>
  <si>
    <t>Önkormányzat összesen</t>
  </si>
  <si>
    <t xml:space="preserve">  Védőnő</t>
  </si>
  <si>
    <t>Köztisztviselő</t>
  </si>
  <si>
    <t xml:space="preserve">  Szociális munkatárs</t>
  </si>
  <si>
    <t>fő</t>
  </si>
  <si>
    <t>III.3.f Időskorúak nappali intézményi ellátása</t>
  </si>
  <si>
    <t>III.3.i Hajléktalanok nappali intézményi ellátása</t>
  </si>
  <si>
    <t>III.3.k Hajléktalanok átmeneti intézményei</t>
  </si>
  <si>
    <t>III.5. Gyermekétkeztetés támogatása</t>
  </si>
  <si>
    <t>Intézményi kiegészítés</t>
  </si>
  <si>
    <t>Az önkormányzat és intézményei működési-, felhalmozási- és finanszírozási bevételeinek és kiadásainak mérlegszerű bemutatása</t>
  </si>
  <si>
    <t>Működési kiadások</t>
  </si>
  <si>
    <t>Finanszírozási bevételek összesen:</t>
  </si>
  <si>
    <t>Finanszírozási kiadások összesen:</t>
  </si>
  <si>
    <t>Működési bevételek összesen:</t>
  </si>
  <si>
    <t>Működési kiadások összesen:</t>
  </si>
  <si>
    <t>Felhalmozási kiadások</t>
  </si>
  <si>
    <t>Felhalmozási bevételek összesen:</t>
  </si>
  <si>
    <t>Felhalmozási kiadások összesen:</t>
  </si>
  <si>
    <t>Működési célú támogatások</t>
  </si>
  <si>
    <t xml:space="preserve">Működési bevételek </t>
  </si>
  <si>
    <t>Felhalmozási célú támogatások</t>
  </si>
  <si>
    <t>Egyéb felhalmozási célú kiadások</t>
  </si>
  <si>
    <t>Támogatásértékű működési bevétel</t>
  </si>
  <si>
    <t>Támogatási kölcsön visszatérülése</t>
  </si>
  <si>
    <t>KÖLTSÉGVETÉSI BEVÉTELEK ÖSSZESEN</t>
  </si>
  <si>
    <t>KÖLTSÉGVETÉSI KIADÁSOK ÖSSZESEN</t>
  </si>
  <si>
    <t>053221. Egyéb kommunikációs szolgáltatás (telefon+internet)</t>
  </si>
  <si>
    <t xml:space="preserve"> - bérleti díj</t>
  </si>
  <si>
    <t>059151. Központi, irányító szervi támogatás folyósítása (működési)</t>
  </si>
  <si>
    <t>059151. Központi, irányító szervi támogatás folyósítása (felhalmozási)</t>
  </si>
  <si>
    <t>Alpolgármester</t>
  </si>
  <si>
    <t>053521. Fizetendő adó</t>
  </si>
  <si>
    <t>1.3.</t>
  </si>
  <si>
    <t>1.4.</t>
  </si>
  <si>
    <t>1.5.</t>
  </si>
  <si>
    <t>1.6.</t>
  </si>
  <si>
    <t>1.7.</t>
  </si>
  <si>
    <t>szociális étkeztetés</t>
  </si>
  <si>
    <t xml:space="preserve">  Ügyintéző</t>
  </si>
  <si>
    <t>Fajlagos összeg</t>
  </si>
  <si>
    <t>km</t>
  </si>
  <si>
    <t xml:space="preserve">  - előadó művész szolgáltatás</t>
  </si>
  <si>
    <t xml:space="preserve">  - bank ktg</t>
  </si>
  <si>
    <t>05631. Informatikai eszközök beszerzése (laptop)</t>
  </si>
  <si>
    <t xml:space="preserve"> - gázmérő hitelesítés</t>
  </si>
  <si>
    <t xml:space="preserve"> - bank költség</t>
  </si>
  <si>
    <t>053361. Szakmai tevékenységet segítő szolgáltatások (jogi tanácsadás)</t>
  </si>
  <si>
    <t xml:space="preserve"> - zsírfogó takarítás</t>
  </si>
  <si>
    <t xml:space="preserve"> - bankköltség</t>
  </si>
  <si>
    <t xml:space="preserve">  - ételkiszállítás</t>
  </si>
  <si>
    <t xml:space="preserve"> - fénymásolás</t>
  </si>
  <si>
    <t>053421. Reklám- és propaganda (szorólap)</t>
  </si>
  <si>
    <t>053551. Egyéb dologi kiadások (adók, díjak, illetékek, ajánlati biztosíték, kés.kamat) kötelelző NÉBIH tagdíj</t>
  </si>
  <si>
    <t xml:space="preserve"> - védőital</t>
  </si>
  <si>
    <t xml:space="preserve"> - gépek, autók karbantartása, szervízelése</t>
  </si>
  <si>
    <t xml:space="preserve"> - továbbképzés</t>
  </si>
  <si>
    <t xml:space="preserve"> - ügyfélszolgálat biztosítása VERTIKÁL </t>
  </si>
  <si>
    <t xml:space="preserve"> - házasságkötés dij</t>
  </si>
  <si>
    <t>09651. Egyéb működési célú átvett pénzeszközök (RSD Társulástól)</t>
  </si>
  <si>
    <t>053211. Informatikai szolgáltatások igénybevétele (internet;Telegram; Katawin)</t>
  </si>
  <si>
    <t xml:space="preserve">   - kötelező közig. Továbbképzések (Probono)</t>
  </si>
  <si>
    <t xml:space="preserve">   - postaköltség</t>
  </si>
  <si>
    <t xml:space="preserve">   - bank ktg</t>
  </si>
  <si>
    <t>053341. Karbantartás, kisjavítás (Ford, riasztó-; tűzjelző rendszer;)</t>
  </si>
  <si>
    <t xml:space="preserve"> - Internet szolgáltatás</t>
  </si>
  <si>
    <t>053551. Egyéb dologi kiadások (adók, díjak, illetékek, ajánlati biztosíték, kés.kamat, gázmérő hitelesítés)</t>
  </si>
  <si>
    <t xml:space="preserve"> - lakbér (Pihenő u.)</t>
  </si>
  <si>
    <t>053211. Informatikai szolgáltatások igénybevétele (internet, védőnői szoftver)</t>
  </si>
  <si>
    <t xml:space="preserve"> - ellátottak részére nyújtott szolgáltatások (HSNY)</t>
  </si>
  <si>
    <t xml:space="preserve"> - egyéb üzemeltetési anyagok (textiliák,kenyérzsák; foglalk kapcs anyagok)</t>
  </si>
  <si>
    <t>053211. Informatikai szolgáltatások igénybevétele (Winmenza, honlap karbantart)</t>
  </si>
  <si>
    <t>053551. Egyéb dologi kiadások (mérnök kamarai tagdíj, cégautó adó, átírási díjak)</t>
  </si>
  <si>
    <t xml:space="preserve"> -  internet szolgáltatás</t>
  </si>
  <si>
    <t>053351. Közvetített szolgáltatás (közüzemi díjak)</t>
  </si>
  <si>
    <t xml:space="preserve"> - hatósági díjak</t>
  </si>
  <si>
    <t xml:space="preserve"> - RSD műkődési hozzájárulás</t>
  </si>
  <si>
    <t xml:space="preserve"> - Dharaszti orvosi ügyelet</t>
  </si>
  <si>
    <t xml:space="preserve"> - Haraszti Fraxinus  sürgősségi ügyelet</t>
  </si>
  <si>
    <t xml:space="preserve"> - gyepmesteri tev. Támogatása</t>
  </si>
  <si>
    <t xml:space="preserve"> - egyéb szervezet</t>
  </si>
  <si>
    <t xml:space="preserve"> - ingatlan vásárlás</t>
  </si>
  <si>
    <t xml:space="preserve"> - Hulladéktársulási tagdíj 100Ft/lakos</t>
  </si>
  <si>
    <t>05631. Informatikai eszközök beszerzése (számítógép)</t>
  </si>
  <si>
    <t xml:space="preserve">K71. Ingatlanok felújítása </t>
  </si>
  <si>
    <t>Engedélyezett álláshely</t>
  </si>
  <si>
    <t xml:space="preserve">  Egyéb kisegítő alkalmazott</t>
  </si>
  <si>
    <t>0511101. Egyéb költségtérítés (tan szerz)</t>
  </si>
  <si>
    <t>HÉSZ felülvizsgálat. Átdolgozás</t>
  </si>
  <si>
    <t>ingatlan vásárlás</t>
  </si>
  <si>
    <t>közvilágítási lámpatestek bővítése</t>
  </si>
  <si>
    <t>2.3.</t>
  </si>
  <si>
    <t>4.3.</t>
  </si>
  <si>
    <t>Működési egyenleg</t>
  </si>
  <si>
    <t>Felhalmozási egyenleg</t>
  </si>
  <si>
    <t>Költségvetési egyenleg</t>
  </si>
  <si>
    <t>Finanszírozási egyenleg</t>
  </si>
  <si>
    <t>Finanszírozási bevételek működési</t>
  </si>
  <si>
    <t>Finanszírozási bevételek felhalmozási</t>
  </si>
  <si>
    <t>Finanszírozási kiadások működési</t>
  </si>
  <si>
    <t>Finanszírozási kiadások felhalmozási</t>
  </si>
  <si>
    <t>055121. Egyéb működési célú támogatások államháztartáson kívülre</t>
  </si>
  <si>
    <t>091131. Települési önkormányzatok szociális, gyermekjóléti és gyermekétkeztetési  feladatainak támogatása</t>
  </si>
  <si>
    <t>091151. Működési célú költségvetési támogatások és kegészítő támogatások</t>
  </si>
  <si>
    <t xml:space="preserve">091161. Elszámolásból származó bevételek </t>
  </si>
  <si>
    <t>0940821. Kamatbevételek</t>
  </si>
  <si>
    <t>09641. Működési célú visszatérítendő támogatások, kölcsönök visszatérülése államháztartáson kívülről</t>
  </si>
  <si>
    <t>09741. Felhalmozási célú visszatérítendő támogatások, kölcsönök visszatérülése államháztartáson kívülről</t>
  </si>
  <si>
    <t>0981131. Rövid lejáratú hitelek, kölcsönök felvétele pénzügyi vállalkozástól</t>
  </si>
  <si>
    <t>0981111. Hosszú lejáratú hitelek, kölcsönök felvétele pénzügyi vállalkozástól</t>
  </si>
  <si>
    <t>055131. Tartalékok</t>
  </si>
  <si>
    <t xml:space="preserve"> - élelmiszer, élelmezési nyersanyag </t>
  </si>
  <si>
    <t xml:space="preserve"> - tisztítószerek, szemeteszsák, egyéb anyagok</t>
  </si>
  <si>
    <t xml:space="preserve"> - gázdíj  </t>
  </si>
  <si>
    <t xml:space="preserve"> - szemétszállítás,rovarírtás, mérleghit,fénymás</t>
  </si>
  <si>
    <t xml:space="preserve">051231. Egyéb külső személyi juttatás </t>
  </si>
  <si>
    <t xml:space="preserve"> - izzók, zár, víz- és csatornaszerelési anyagok, fűtésszerelési anyagok, karbant eszk, </t>
  </si>
  <si>
    <t xml:space="preserve"> - tisztítószerek, takarítási anyagok, szemeteszsák (összes intézmények) </t>
  </si>
  <si>
    <t xml:space="preserve">053331. Bérleti és lízingdíj </t>
  </si>
  <si>
    <t xml:space="preserve"> - útjavítási munkálatok (kátyúzás, gréderezés)</t>
  </si>
  <si>
    <t xml:space="preserve"> - informatikai rendeszerek, szoftverek karbantartása</t>
  </si>
  <si>
    <t xml:space="preserve">  - telefon </t>
  </si>
  <si>
    <t xml:space="preserve"> - közvilágítási lámpatestek üzemeltetése,tűzjelz;őrzés;fénym ált;</t>
  </si>
  <si>
    <t xml:space="preserve"> - szerzői jogdíj,kamarai tagdíj,jogtár, gázmérő hit;</t>
  </si>
  <si>
    <t xml:space="preserve"> - DTÖSZ  hozzájárulás</t>
  </si>
  <si>
    <t xml:space="preserve"> - bank ktg</t>
  </si>
  <si>
    <t xml:space="preserve">05641. Egyéb tárgyi eszközök beszerzése </t>
  </si>
  <si>
    <t>09161. Egyéb működési célú támogatások bevételei államháztartáson belülről (védőnői OEP finansz)</t>
  </si>
  <si>
    <t>0511071. Béren kívüli juttatások (cafeteria+ cégtelefon)</t>
  </si>
  <si>
    <t>0511131. Foglalkoztatottak egyéb személyi juttatásai (bérkommp, betegszabi)</t>
  </si>
  <si>
    <t>0511011. Illetmények, munkabérek, eseti ill. kieg (9,5 áh)</t>
  </si>
  <si>
    <t>051231. Egyéb külső személyi juttatás (reprezentáció)</t>
  </si>
  <si>
    <t xml:space="preserve">  - munkáltatói SZJA (15%)</t>
  </si>
  <si>
    <t>053321. Vásárolt élelmezés (szoc étk, nyári gyermekétk)</t>
  </si>
  <si>
    <t>053341. Karbantartás, kisjavítás (tűzoltó kész)</t>
  </si>
  <si>
    <t xml:space="preserve"> - gyermek programok kapcs ktg.</t>
  </si>
  <si>
    <t>05631. Informatikai eszközök beszerzése (gép+monitor)</t>
  </si>
  <si>
    <t>05641. Egyéb tárgyi eszközök beszerzése (klima családsegítő 2 db)</t>
  </si>
  <si>
    <r>
      <t>Bevételi előirányzatok</t>
    </r>
    <r>
      <rPr>
        <b/>
        <u/>
        <sz val="11"/>
        <color theme="1"/>
        <rFont val="Times New Roman"/>
        <family val="1"/>
        <charset val="238"/>
      </rPr>
      <t xml:space="preserve"> étkeztetés</t>
    </r>
  </si>
  <si>
    <r>
      <t xml:space="preserve">Kiadási előirányzatok </t>
    </r>
    <r>
      <rPr>
        <b/>
        <u/>
        <sz val="11"/>
        <color theme="1"/>
        <rFont val="Times New Roman"/>
        <family val="1"/>
        <charset val="238"/>
      </rPr>
      <t>étkeztetés</t>
    </r>
  </si>
  <si>
    <t xml:space="preserve"> - étkezési térítési díj (szociális étkeztetés)</t>
  </si>
  <si>
    <t xml:space="preserve"> - bölcsödei  intézményi étkeztetés</t>
  </si>
  <si>
    <r>
      <t>0511041. Készenlét, ügyelet, helyettesítés,</t>
    </r>
    <r>
      <rPr>
        <u/>
        <sz val="11"/>
        <color theme="1"/>
        <rFont val="Times New Roman"/>
        <family val="1"/>
        <charset val="238"/>
      </rPr>
      <t xml:space="preserve"> túlóra</t>
    </r>
  </si>
  <si>
    <t>0511131. Foglalkoztatottak egyéb személyi juttatásai ( bérkomp)</t>
  </si>
  <si>
    <t xml:space="preserve"> - kisértékű informatikai és tárgyi eszközök, szellemi termékek </t>
  </si>
  <si>
    <t xml:space="preserve"> - dobozok, csomagoló anyagok ételszállításhoz</t>
  </si>
  <si>
    <t xml:space="preserve"> - Tányérok, poharak, evőeszköz, tálca,tál készlet pótlás</t>
  </si>
  <si>
    <t xml:space="preserve"> - Érintésvédelmi hibák javítása</t>
  </si>
  <si>
    <t xml:space="preserve"> - HCCP </t>
  </si>
  <si>
    <r>
      <t xml:space="preserve">0511041. Készenlét, ügyelet, helyettesítés, </t>
    </r>
    <r>
      <rPr>
        <u/>
        <sz val="11"/>
        <color theme="1"/>
        <rFont val="Times New Roman"/>
        <family val="1"/>
        <charset val="238"/>
      </rPr>
      <t>túlóra</t>
    </r>
  </si>
  <si>
    <t>051221. Munkavégzésre irányuló nem saját foglalkoztatottnak fizetett juttatás (megbízási díj Tanösvény )</t>
  </si>
  <si>
    <t xml:space="preserve">  - eszközbérlet (Településüzemeltető)</t>
  </si>
  <si>
    <t xml:space="preserve"> - kertészeti munkák frekventált helyeken( + Templom kert 50% -a)</t>
  </si>
  <si>
    <t xml:space="preserve"> - terület bérlet (ATM automata)</t>
  </si>
  <si>
    <t>051221. Munkavégzésre irányuló nem saját foglalkoztatottnak fizetett juttatás (megbízási díj) (előadó műv)</t>
  </si>
  <si>
    <t>05611. Immateriális javak beszerzése (virusvédelmi licensz)</t>
  </si>
  <si>
    <t>Sünivár Bölcsőde bevételi előirányzata</t>
  </si>
  <si>
    <t>Sünivár Bőlcsöde kiadási előirányzata</t>
  </si>
  <si>
    <t xml:space="preserve">09161. Egyéb működési célú támogatások bevételei államháztartáson belülről </t>
  </si>
  <si>
    <t>0511011. Illetmények, munkabérek (8 áh) (műszakpót)</t>
  </si>
  <si>
    <t xml:space="preserve">053211. Informatikai szolgáltatások igénybevétele </t>
  </si>
  <si>
    <t xml:space="preserve"> - kézműves foglalk. Anyag, rendezvények</t>
  </si>
  <si>
    <t xml:space="preserve">053321. Vásárolt élelmezés </t>
  </si>
  <si>
    <t xml:space="preserve">053341. Karbantartás, kisjavítás </t>
  </si>
  <si>
    <t xml:space="preserve"> - hulladék szálll;rágcsálóírtás, tűzvédelmi-,távfelügyelet</t>
  </si>
  <si>
    <t xml:space="preserve"> - szakmai továbbképzés (eseti; kötelező)</t>
  </si>
  <si>
    <t>053551. Egyéb dologi kiadások (adók, díjak, illetékek, ajánlati biztosíték, kés.kamat, gázmérő hitelesítés) (Magyar Bőlcsödék Egyesület tagdíj</t>
  </si>
  <si>
    <t xml:space="preserve">  - összevont ágazati pótlék</t>
  </si>
  <si>
    <t xml:space="preserve"> - szolgáltatás nyújtásából származó bevétel (ELMŰ ügyfélszolg;panaszfelvételi pont ellát, korcsolya, temető)</t>
  </si>
  <si>
    <t>094031. Közvetített szolgáltatások értéke (közüzemi díjak) (orvosi, óvoda, SAS)</t>
  </si>
  <si>
    <t>098171. Lekötött bankbetétek</t>
  </si>
  <si>
    <t>0511071. Béren kívüli juttatások ( cégtelefon)</t>
  </si>
  <si>
    <t>051211. Választott tisztségviselők juttatásai (polg;alpolg;képv;bizotts;ktg által)</t>
  </si>
  <si>
    <t xml:space="preserve"> - informatikai szoftverek (EDTR;Winszoc;Mikrovoks)</t>
  </si>
  <si>
    <t xml:space="preserve"> - éves windows licence KerSoft; tűzfal licence Interface</t>
  </si>
  <si>
    <t xml:space="preserve"> - Opten cégtár, jogtár előfízetés</t>
  </si>
  <si>
    <t xml:space="preserve"> - villamosenergia (közvilágítás, rendszerhasz. díj;sárga villogó, jelzőlámpa, szőkőkút, marestli...)  </t>
  </si>
  <si>
    <t xml:space="preserve"> - gázdíj (Fő; Baross tér;)</t>
  </si>
  <si>
    <t xml:space="preserve"> - víz- és csatornadíj  (közterületek locsolómérő;szökőkút;tájház)</t>
  </si>
  <si>
    <t xml:space="preserve"> - közterület, zöldter tisztántartás (ZöldKorona) , temető</t>
  </si>
  <si>
    <t xml:space="preserve"> - tűz- és munkavédelmi szolgáltatás, Atev szolg;szúnyoggyér, örzés védelem;</t>
  </si>
  <si>
    <t xml:space="preserve"> - szemét szállítás (temető)</t>
  </si>
  <si>
    <t xml:space="preserve"> - egyéb szolgáltatás (személy szállítás;érem készítés,földhiv;könyvkötés, egyéb)</t>
  </si>
  <si>
    <t>05471. Intézményi ellátottak pénzbeli juttatásai (Bursa)</t>
  </si>
  <si>
    <t>B817. Lekötött bankbetétek</t>
  </si>
  <si>
    <t>K914. Államháztartáson belüli megelőlegezések visszafizetése előirányzata (2017. 00. havi finansz)</t>
  </si>
  <si>
    <t>Sünivár Bőlcsöde</t>
  </si>
  <si>
    <t>Sünivár Bölcsőde</t>
  </si>
  <si>
    <t>Beruházási kiadások feladatonként (adatok Ft)</t>
  </si>
  <si>
    <t>Klima (2 db)</t>
  </si>
  <si>
    <t>bútor (tárgyaló)</t>
  </si>
  <si>
    <t>sorsz.</t>
  </si>
  <si>
    <t>Felújítási kiadások összesen</t>
  </si>
  <si>
    <t>Felújítási kiadások célonként (adatok Ft)</t>
  </si>
  <si>
    <t xml:space="preserve">  Kisgyermek nevelő</t>
  </si>
  <si>
    <t xml:space="preserve">  Technikai dolgozó</t>
  </si>
  <si>
    <t>Pénzeszközök, lekötött bankbetétként való elhelyezése</t>
  </si>
  <si>
    <t>B814. Államháztartáson belüli megelőlegezések</t>
  </si>
  <si>
    <t xml:space="preserve">  Műszaki irányító</t>
  </si>
  <si>
    <t>adatok Ft-ban</t>
  </si>
  <si>
    <t>Európai Uniós támogatással megvalósuló projektek (adatok Ft)</t>
  </si>
  <si>
    <t>Sünivár Bölcsőde kiadási előirányzata</t>
  </si>
  <si>
    <t>6.1</t>
  </si>
  <si>
    <t>051221. Munkavégzésre irányuló nem saját foglalkoztatottnak fizetett juttatás (gyermekorvos megbízási díj)</t>
  </si>
  <si>
    <t xml:space="preserve">  -szociális hozzájárulási adó (19,5 %)</t>
  </si>
  <si>
    <t xml:space="preserve">  - egészségügyi hozzájárulás (14%;  19,5%)</t>
  </si>
  <si>
    <t xml:space="preserve"> - egyéb üzemeltetési anyagok (textiliák,fertőtlenitő szer,gyermek étkészlet)</t>
  </si>
  <si>
    <t xml:space="preserve"> - munka- és védőruha 6fő*11 000 Ft/fő</t>
  </si>
  <si>
    <t>053361. Szakmai tevékenységet segítő szolgáltatások (foglalkozás eüi.vizsg)</t>
  </si>
  <si>
    <t xml:space="preserve"> - felelősség bizt.</t>
  </si>
  <si>
    <t xml:space="preserve"> - kisértékű informatikai és tárgyi eszközök (eüi. szűréshez eszközök)</t>
  </si>
  <si>
    <t>053331. Bérleti és lízingdíj (légvár)</t>
  </si>
  <si>
    <t xml:space="preserve"> - jogi tanácsadás</t>
  </si>
  <si>
    <t xml:space="preserve"> - szupervizó</t>
  </si>
  <si>
    <t xml:space="preserve"> - foglalkozás egészségügyi vizsgálat</t>
  </si>
  <si>
    <t xml:space="preserve"> - szemétszállítás, eüi. hulladék, fénymásolás, tüzoltó kész. ell stb</t>
  </si>
  <si>
    <t xml:space="preserve"> - szakmai felelősség biztosítás</t>
  </si>
  <si>
    <t xml:space="preserve"> - szakmai továbbképzések</t>
  </si>
  <si>
    <t>053551. Egyéb dologi kiadások ( gázmérő hitelesítés)</t>
  </si>
  <si>
    <t>05641. Egyéb tárgyi eszközök beszerzése (klima családsegítő 2 db) (mosogató szekrény)</t>
  </si>
  <si>
    <t xml:space="preserve"> - rendezvényi étkeztetés</t>
  </si>
  <si>
    <t xml:space="preserve"> - étkezési térítési díj (külsős;óvoda)</t>
  </si>
  <si>
    <t>0511011. Illetmények, munkabérek (8,5 áh)</t>
  </si>
  <si>
    <t xml:space="preserve"> - Konyha tisztasági festéshez anyag</t>
  </si>
  <si>
    <t xml:space="preserve"> - Érintésvédelmi hibák javításához anyag</t>
  </si>
  <si>
    <t>053331. Bérleti és lízingdíj (fénymásoló)</t>
  </si>
  <si>
    <t xml:space="preserve"> - elszívó karbantartás, takarítás</t>
  </si>
  <si>
    <t xml:space="preserve"> - konyhai gépek javítása</t>
  </si>
  <si>
    <t xml:space="preserve"> - fénymásoló szervízdíj</t>
  </si>
  <si>
    <t>053361. Szakmai tevékenységet segítő szolgáltatások (Foglalk.Eüi.vizsg)</t>
  </si>
  <si>
    <t xml:space="preserve"> - szakmai továbbképzés (élelmezésvezető)</t>
  </si>
  <si>
    <t>05631. Informatikai eszközök beszerzése (monitor)</t>
  </si>
  <si>
    <r>
      <t xml:space="preserve">Bevételi előirányzatok </t>
    </r>
    <r>
      <rPr>
        <b/>
        <u/>
        <sz val="11"/>
        <color theme="1"/>
        <rFont val="Times New Roman"/>
        <family val="1"/>
        <charset val="238"/>
      </rPr>
      <t>intézményüzemeltetés</t>
    </r>
  </si>
  <si>
    <r>
      <t>Kiadási előirányzatok</t>
    </r>
    <r>
      <rPr>
        <b/>
        <u/>
        <sz val="11"/>
        <color theme="1"/>
        <rFont val="Times New Roman"/>
        <family val="1"/>
        <charset val="238"/>
      </rPr>
      <t xml:space="preserve"> intézményüzemeltetés</t>
    </r>
  </si>
  <si>
    <t>0511011. Illetmények, munkabérek (11+2 áh)</t>
  </si>
  <si>
    <t xml:space="preserve"> - tüzelő-, hajtó-, és kenőanyag (munkagépekbe is)</t>
  </si>
  <si>
    <t xml:space="preserve"> - homok, kavics, murva, Kresz táblák pótlása </t>
  </si>
  <si>
    <t xml:space="preserve"> - Művház mosdó felújítás; nagyterem parketta csiszolás;színházterem;szikkasztó tartály;lámpatesetek felújítása</t>
  </si>
  <si>
    <t xml:space="preserve"> - PH folyosó burkolás; konyha csempe; udvar rendezés</t>
  </si>
  <si>
    <t xml:space="preserve"> - Településüzemeltető tereprendezés</t>
  </si>
  <si>
    <t xml:space="preserve"> - Tanösvény karbantartása</t>
  </si>
  <si>
    <t xml:space="preserve"> - légkondícionáló, víz-, gáz-;készülékek karbantartás</t>
  </si>
  <si>
    <t xml:space="preserve"> - szemét szállítás  (1 db 1 100 l)</t>
  </si>
  <si>
    <t>05641. Egyéb tárgyi eszközök beszerzése (minikotró;tehergk)</t>
  </si>
  <si>
    <t xml:space="preserve">  - szociális hozzájárulási adó (19,5 %)</t>
  </si>
  <si>
    <t>053211. Informatikai szolgáltatások igénybevétele (könyvtári szoftver, internet)</t>
  </si>
  <si>
    <t xml:space="preserve">  - fogalakozás eüi. Vizsgálat, rendezv. Eüi.bizt</t>
  </si>
  <si>
    <t xml:space="preserve"> - rendezvényekhez kapcsolodó egyéb dologi, </t>
  </si>
  <si>
    <t xml:space="preserve">053551. Egyéb dologi kiadások </t>
  </si>
  <si>
    <t>05641. Egyéb tárgyi eszközök beszerzése (klima színházterem 4 db)</t>
  </si>
  <si>
    <t>0511011. Illetmények, munkabérek     21 áh+1 áh közterületfelügyelő</t>
  </si>
  <si>
    <t xml:space="preserve">  - egészségügyi hozzájárulás (14%; 19,5%)</t>
  </si>
  <si>
    <t xml:space="preserve">  - szociális hozzájárulási adó (19,5%)</t>
  </si>
  <si>
    <t xml:space="preserve"> - könyv, folyóirat (kvi levelek;ASP infó; jó gyakorlat;)</t>
  </si>
  <si>
    <t xml:space="preserve"> - munka- és védőruha (közterületfelűgyelő)</t>
  </si>
  <si>
    <t>053331. Bérleti és lízingdíj (fénymásoló, víz adagoló)</t>
  </si>
  <si>
    <t>053341. Karbantartás, kisjavítás (fénym szerviz)</t>
  </si>
  <si>
    <t>053361. Szakmai tevékenységet segítő szolgáltatások (inform.bizt felülvizsg; Fogalak. Eüi vizsg;)</t>
  </si>
  <si>
    <t xml:space="preserve">   - irattárolás, fénym karbant;</t>
  </si>
  <si>
    <t xml:space="preserve">   - szemétszállítás,távfelügyelet, egyéb üzemeltetés</t>
  </si>
  <si>
    <t>053411. Kiküldetés (közterületfelügyelő)</t>
  </si>
  <si>
    <t>05641. Egyéb tárgyi eszközök beszerzése ( bútor (tárgyaló, pénzügy), mini konyha, klima 2 db (tárgyaló,szerverszoba)</t>
  </si>
  <si>
    <t/>
  </si>
  <si>
    <t>Jogcím száma</t>
  </si>
  <si>
    <t>Jogcím megnevezése</t>
  </si>
  <si>
    <t>Mennyiségi egység</t>
  </si>
  <si>
    <t>Mutató</t>
  </si>
  <si>
    <t>I.1.a</t>
  </si>
  <si>
    <t>Önkormányzati hivatal működésének támogatása - elismert hivatali létszám alapján</t>
  </si>
  <si>
    <t>elismert hivatali létszám</t>
  </si>
  <si>
    <t>I.1.a - V.</t>
  </si>
  <si>
    <t>Önkormányzati hivatal működésének támogatása - beszámítás után</t>
  </si>
  <si>
    <t>forint</t>
  </si>
  <si>
    <t>I.1.b Település-üzemeltetéshez kapcsolódó feladatellátás támogatása</t>
  </si>
  <si>
    <t>I.1.b</t>
  </si>
  <si>
    <t>Támogatás összesen</t>
  </si>
  <si>
    <t>I.1.ba</t>
  </si>
  <si>
    <t>A zöldterület-gazdálkodással kapcsolatos feladatok ellátásának támogatása</t>
  </si>
  <si>
    <t>hektár</t>
  </si>
  <si>
    <t>I.1.bb</t>
  </si>
  <si>
    <t>Közvilágítás fenntartásának támogatása</t>
  </si>
  <si>
    <t>I.1.bc</t>
  </si>
  <si>
    <t>Köztemető fenntartással kapcsolatos feladatok támogatása</t>
  </si>
  <si>
    <t>m2</t>
  </si>
  <si>
    <t>I.1.bd</t>
  </si>
  <si>
    <t>Közutak fenntartásának támogatása</t>
  </si>
  <si>
    <t>I.1.b - V.</t>
  </si>
  <si>
    <t>Támogatás összesen - beszámítás után</t>
  </si>
  <si>
    <t>I.1.ba - V.</t>
  </si>
  <si>
    <t>A zöldterület-gazdálkodással kapcsolatos feladatok ellátásának támogatása - beszámítás után</t>
  </si>
  <si>
    <t>I.1.bb - V.</t>
  </si>
  <si>
    <t>Közvilágítás fenntartásának támogatása - beszámítás után</t>
  </si>
  <si>
    <t>I.1.bc - V.</t>
  </si>
  <si>
    <t>Köztemető fenntartással kapcsolatos feladatok támogatása - beszámítás után</t>
  </si>
  <si>
    <t>I.1.bd - V.</t>
  </si>
  <si>
    <t>Közutak fenntartásának támogatása - beszámítás után</t>
  </si>
  <si>
    <t>I.1.c</t>
  </si>
  <si>
    <t>Egyéb önkormányzati feladatok támogatása</t>
  </si>
  <si>
    <t>I.1.c - V.</t>
  </si>
  <si>
    <t>Egyéb önkormányzati feladatok támogatása - beszámítás után</t>
  </si>
  <si>
    <t>I.1.d</t>
  </si>
  <si>
    <t>Lakott külterülettel kapcsolatos feladatok támogatása</t>
  </si>
  <si>
    <t>külterületi lakos</t>
  </si>
  <si>
    <t>I.1.d - V.</t>
  </si>
  <si>
    <t>Lakott külterülettel kapcsolatos feladatok támogatása - beszámítás után</t>
  </si>
  <si>
    <t>I.1.e</t>
  </si>
  <si>
    <t>Üdülőhelyi feladatok támogatása</t>
  </si>
  <si>
    <t xml:space="preserve">idegenforgalmi adóforint </t>
  </si>
  <si>
    <t>I.1.e - V.</t>
  </si>
  <si>
    <t>Üdülőhelyi feladatok támogatása - beszámítás után</t>
  </si>
  <si>
    <t>V. Info</t>
  </si>
  <si>
    <t>V. I.1. kiegészítés</t>
  </si>
  <si>
    <t>I.1. jogcímekhez kapcsolódó kiegészítés</t>
  </si>
  <si>
    <t>I.1. - V.</t>
  </si>
  <si>
    <t>A települési önkormányzatok működésének támogatása beszámítás és kiegészítés után</t>
  </si>
  <si>
    <t>V. Info 2</t>
  </si>
  <si>
    <t>Nem teljesült beszámítás/szolidaritási hozzájárulás alapja</t>
  </si>
  <si>
    <t>SZH</t>
  </si>
  <si>
    <t>Szolidaritási hozzájárulás</t>
  </si>
  <si>
    <t>I.2.</t>
  </si>
  <si>
    <t>Nem közművel összegyűjtött háztartási szennyvíz ártalmatlanítása</t>
  </si>
  <si>
    <t>m3</t>
  </si>
  <si>
    <t>I.3.</t>
  </si>
  <si>
    <t>Határátkelőhelyek fenntartásának támogatása</t>
  </si>
  <si>
    <t>ki- és belépési adatok</t>
  </si>
  <si>
    <t>I.5.</t>
  </si>
  <si>
    <t>I.6</t>
  </si>
  <si>
    <t>Polgármesteri illetmény támogatása</t>
  </si>
  <si>
    <t xml:space="preserve">I. </t>
  </si>
  <si>
    <t>III.2.</t>
  </si>
  <si>
    <t>A települési önkormányzatok szociális feladatainak egyéb támogatása</t>
  </si>
  <si>
    <t>III.3.a</t>
  </si>
  <si>
    <t>Család- és gyermekjóléti szolgálat</t>
  </si>
  <si>
    <t>számított létszám</t>
  </si>
  <si>
    <t>III.3.b</t>
  </si>
  <si>
    <t>Család- és gyermekjóléti központ</t>
  </si>
  <si>
    <t>III.3.c (1)</t>
  </si>
  <si>
    <t>III.3.c (2)</t>
  </si>
  <si>
    <t>szociális étkeztetés - társulás által történő feladatellátás</t>
  </si>
  <si>
    <t>III.3.da</t>
  </si>
  <si>
    <t>házi segítségnyújtás- szociális segítés</t>
  </si>
  <si>
    <t>III.3.db (1)</t>
  </si>
  <si>
    <t>házi segítségnyújtás- személyi gondozás</t>
  </si>
  <si>
    <t>III.3.db (2)</t>
  </si>
  <si>
    <t>házi segítségnyújtás- személyi gondozás -  társulás által történő feladatellátás</t>
  </si>
  <si>
    <t>III.3.e</t>
  </si>
  <si>
    <t>falugondnoki vagy tanyagondnoki szolgáltatás összesen</t>
  </si>
  <si>
    <t>működési hó</t>
  </si>
  <si>
    <t>III.3.f (1)</t>
  </si>
  <si>
    <t>időskorúak nappali intézményi ellátása</t>
  </si>
  <si>
    <t>III.3.f (2)</t>
  </si>
  <si>
    <t>időskorúak nappali intézményi ellátása - társulás által történő feladatellátás</t>
  </si>
  <si>
    <t>III.3.f (3)</t>
  </si>
  <si>
    <t>foglalkoztatási támogatásban részesülő időskorúak nappali intézményben ellátottak száma</t>
  </si>
  <si>
    <t>III.3.f (4)</t>
  </si>
  <si>
    <t>foglalkoztatási támogatásban részesülő időskorúak nappali intézményben ellátottak száma - társulás által történő feladatellátás</t>
  </si>
  <si>
    <t>III.3.g Fogyatékos és demens személyek nappali intézményi ellátása</t>
  </si>
  <si>
    <t>III.3.g (1)</t>
  </si>
  <si>
    <t>fogyatékos személyek nappali intézményi ellátása</t>
  </si>
  <si>
    <t>III.3.g (2)</t>
  </si>
  <si>
    <t>fogyatékos személyek nappali intézményi ellátása - társulás által történő feladatellátás</t>
  </si>
  <si>
    <t>III.3.g (3)</t>
  </si>
  <si>
    <t>foglalkoztatási támogatásban részesülő fogyatékos nappali intézményben ellátottak száma</t>
  </si>
  <si>
    <t>III.3.g (4)</t>
  </si>
  <si>
    <t>foglalkoztatási támogatásban részesülő fogyatékos nappali intézményben ellátottak száma - társulás által történő feladatellátás</t>
  </si>
  <si>
    <t>III.3.g (5)</t>
  </si>
  <si>
    <t>demens személyek nappali intézményi ellátása</t>
  </si>
  <si>
    <t>III.3.g (6)</t>
  </si>
  <si>
    <t>demens személyek nappali intézményi ellátása - társulás által történő feladatellátás</t>
  </si>
  <si>
    <t>III.3.g (7)</t>
  </si>
  <si>
    <t>foglalkoztatási támogatásban részesülő, nappali intézményben ellátott demens személyek száma</t>
  </si>
  <si>
    <t>III.3.g (8)</t>
  </si>
  <si>
    <t>foglalkoztatási támogatásban részesülő, nappali intézményben ellátott demens személyek száma - társulás által történő feladatellátás</t>
  </si>
  <si>
    <t>III.3.h Pszichiátriai és szenvedélybetegek nappali intézményi ellátása</t>
  </si>
  <si>
    <t>III.3.h (1)</t>
  </si>
  <si>
    <t>pszichiátriai betegek nappali intézményi ellátása</t>
  </si>
  <si>
    <t>III.3.h (2)</t>
  </si>
  <si>
    <t>pszichiátriai betegek nappali intézményi ellátása - társulás által történő feladatellátás</t>
  </si>
  <si>
    <t>III.3.h (3)</t>
  </si>
  <si>
    <t>foglalkoztatási támogatásban részesülő, nappali intézményben ellátott pszichiátriai betegek száma</t>
  </si>
  <si>
    <t>III.3.h (4)</t>
  </si>
  <si>
    <t>foglalkoztatási támogatásban részesülő, nappali intézményben ellátott pszichiátriai betegek száma - társulás által történő feladatellátás</t>
  </si>
  <si>
    <t>III.3.h (5)</t>
  </si>
  <si>
    <t>szenvedélybetegek nappali intézményi ellátása</t>
  </si>
  <si>
    <t>III.3.h (6)</t>
  </si>
  <si>
    <t>szenvedélybetegek nappali intézményi ellátása - társulás által történő feladatellátás</t>
  </si>
  <si>
    <t>III.3.h (7)</t>
  </si>
  <si>
    <t>foglalkoztatási támogatásban részesülő, nappali intézményben ellátott szenvedélybetegek száma</t>
  </si>
  <si>
    <t>III.3.h (8)</t>
  </si>
  <si>
    <t>foglalkoztatási támogatásban részesülő, nappali intézményben ellátott szenvedélybetegek száma - társulás által történő feladatellátás</t>
  </si>
  <si>
    <t>III.3.i (1)</t>
  </si>
  <si>
    <t>hajléktalanok nappali intézményi ellátása</t>
  </si>
  <si>
    <t>III.3.i (2)</t>
  </si>
  <si>
    <t>hajléktalanok nappali intézményi ellátása - társulás által történő feladatellátás</t>
  </si>
  <si>
    <t>III.3.j Családi bölcsőde</t>
  </si>
  <si>
    <t>III.3.j (1)</t>
  </si>
  <si>
    <t>családi bölcsőde</t>
  </si>
  <si>
    <t>III.3.j (2)</t>
  </si>
  <si>
    <t>családi bölcsőde - társulás által történő feladatellátás</t>
  </si>
  <si>
    <t>III.3.j (3)</t>
  </si>
  <si>
    <t>Gyvt. 145. § (2c) bekezdés b) pontja alapján befogadást nyert napközbeni gyermekfelügyelet</t>
  </si>
  <si>
    <t>III.3.k (1)</t>
  </si>
  <si>
    <t>hajléktalanok átmeneti szállása, éjjeli menedékhely összesen</t>
  </si>
  <si>
    <t>férőhely</t>
  </si>
  <si>
    <t>III.3.k (6)</t>
  </si>
  <si>
    <t>hajléktalanok átmeneti szállása, éjjeli menedékhely összesen - társulás által történő feladatellátás</t>
  </si>
  <si>
    <t>III.3.k (11)</t>
  </si>
  <si>
    <t xml:space="preserve">kizárólag lakhatási szolgáltatás </t>
  </si>
  <si>
    <t>III.3.l Támogató szolgáltatás</t>
  </si>
  <si>
    <t>III.3.l (1)</t>
  </si>
  <si>
    <t>támogató szolgáltatás - alaptámogatás</t>
  </si>
  <si>
    <t>III.3.l (2)</t>
  </si>
  <si>
    <t>támogató szolgáltatás - teljesítménytámogatás</t>
  </si>
  <si>
    <t>feladategység</t>
  </si>
  <si>
    <t>III.3.m Közösségi alapellátások</t>
  </si>
  <si>
    <t>III.3.ma (1)</t>
  </si>
  <si>
    <t>pszichiátriai betegek részére nyújtott közösségi alapellátás - alaptámogatás</t>
  </si>
  <si>
    <t>III.3.ma (2)</t>
  </si>
  <si>
    <t>pszichiátriai betegek részére nyújtott közösségi alapellátás - teljesítménytámogatás</t>
  </si>
  <si>
    <t>III.3.mb (1)</t>
  </si>
  <si>
    <t>szenvedélybetegek részére nyújtott közösségi alapellátás - alaptámogatás</t>
  </si>
  <si>
    <t>III.3.mb (2)</t>
  </si>
  <si>
    <t>szenvedélybetegek részére nyújtott közösségi alapellátás - teljesítménytámogatás</t>
  </si>
  <si>
    <t>III.3.n Óvodai és iskolai szociális segítő tevékenység támogatása</t>
  </si>
  <si>
    <t>III.3.n</t>
  </si>
  <si>
    <t>Óvodai és iskolai szociális segítő tevékenység támogatása</t>
  </si>
  <si>
    <t>III. 4. A települési önkormányzatok által biztosított egyes szociális szakosított ellátások, valamint a gyermekek átmeneti gondozásával kapcsolatos feladatok támogatása</t>
  </si>
  <si>
    <t>III.4.a</t>
  </si>
  <si>
    <t>A finanszírozás szempontjából elismert szakmai dolgozók bértámogatása</t>
  </si>
  <si>
    <t>III.4.b</t>
  </si>
  <si>
    <t>Intézmény-üzemeltetési támogatás</t>
  </si>
  <si>
    <t>III.5.a</t>
  </si>
  <si>
    <t>A finanszírozás szempontjából elismert dolgozók bértámogatása</t>
  </si>
  <si>
    <t>III.5.b</t>
  </si>
  <si>
    <t>Gyermekétkeztetés üzemeltetési támogatása</t>
  </si>
  <si>
    <t>III.6. A rászoruló gyermekek szünidei étkeztetésének támogatása</t>
  </si>
  <si>
    <t>III.6.</t>
  </si>
  <si>
    <t>A rászoruló gyermekek szünidei étkeztetésének támogatása</t>
  </si>
  <si>
    <t>III.7. Bölcsőde, mini bölcsőde támogatása</t>
  </si>
  <si>
    <t>III.7.a (1)</t>
  </si>
  <si>
    <t>A finanszírozás szempontjából elismert szakmai dolgozók bértámogatása: felsőfokú végzettségű kisgyermeknevelők, szaktanácsadók</t>
  </si>
  <si>
    <t>III.7.a (2)</t>
  </si>
  <si>
    <t>A finanszírozás szempontjából elismert szakmai dolgozók bértámogatása: bölcsődei dajkák, középfokú végzettségű kisgyermeknevelők, szaktanácsadók</t>
  </si>
  <si>
    <t>III.7.b</t>
  </si>
  <si>
    <t>Bölcsődei üzemeltetési támogatás</t>
  </si>
  <si>
    <t>Könyvtári, közművelődési és múzeumi feladatok támogatása</t>
  </si>
  <si>
    <t>IV.1.a</t>
  </si>
  <si>
    <t xml:space="preserve">Megyei hatókörű városi múzeumok feladatainak támogatása </t>
  </si>
  <si>
    <t>IV.1.b</t>
  </si>
  <si>
    <t>Megyei hatókörű városi könyvtárak feladatainak támogatása</t>
  </si>
  <si>
    <t>IV.1.c</t>
  </si>
  <si>
    <t xml:space="preserve">Megyeszékhely megyei jogú városok és Szentendre Város Önkormányzata közművelődési feladatainak támogatása </t>
  </si>
  <si>
    <t>IV.1.d</t>
  </si>
  <si>
    <t>Települési önkormányzatok nyilvános könyvtári és a közművelődési feladatainak támogatása</t>
  </si>
  <si>
    <t>IV.1.e</t>
  </si>
  <si>
    <t>Települési önkormányzatok muzeális intézményi feladatainak támogatása</t>
  </si>
  <si>
    <t>IV.1.f</t>
  </si>
  <si>
    <t xml:space="preserve">Budapest Főváros Önkormányzata múzeumi, könyvtári és közművelődési feladatainak támogatása </t>
  </si>
  <si>
    <t>IV.1.g</t>
  </si>
  <si>
    <t>Fővárosi kerületi önkormányzatok közművelődési feladatainak támogatása</t>
  </si>
  <si>
    <t>IV.1.h</t>
  </si>
  <si>
    <t xml:space="preserve">Megyei hatókörű városi könyvtár kistelepülési könyvtári célú kiegészítő támogatása </t>
  </si>
  <si>
    <t>IV.1.i</t>
  </si>
  <si>
    <t>A települési önkormányzatok könyvtári célú érdekeltségnövelő támogatása</t>
  </si>
  <si>
    <t>IV.1.</t>
  </si>
  <si>
    <t>Könyvtári, közművelődési és műzeumi feladatok támogatása összesen</t>
  </si>
  <si>
    <t>A települési önkormányzatok által fenntartott, illetve támogatott előadó-művészeti szervezetek támogatása</t>
  </si>
  <si>
    <t>IV.2.a</t>
  </si>
  <si>
    <t>Színházművészeti szervezetek támogatása</t>
  </si>
  <si>
    <t>IV.2.aa A nemzeti minősítésű színházművészeti szervezetek</t>
  </si>
  <si>
    <t>IV.2.aa</t>
  </si>
  <si>
    <t>támogatása összesen</t>
  </si>
  <si>
    <t>IV.2.aaa</t>
  </si>
  <si>
    <t xml:space="preserve">művészeti támogatása </t>
  </si>
  <si>
    <t>IV.2.aab</t>
  </si>
  <si>
    <t xml:space="preserve">létesítmény-gazdálkodási célú működési támogatása </t>
  </si>
  <si>
    <t>IV.2.ab A kiemelt minősítésű színházművészeti szervezetek</t>
  </si>
  <si>
    <t>IV.2.ab</t>
  </si>
  <si>
    <t>IV.2.aba</t>
  </si>
  <si>
    <t>művészeti támogatása</t>
  </si>
  <si>
    <t>IV.2.abb</t>
  </si>
  <si>
    <t>IV.2.b</t>
  </si>
  <si>
    <t>Táncművészeti szervezetek támogatása</t>
  </si>
  <si>
    <t>IV.2.ba A nemzeti minősítésű táncművészeti szervezetek</t>
  </si>
  <si>
    <t>IV.2.ba</t>
  </si>
  <si>
    <t>IV.2.baa</t>
  </si>
  <si>
    <t>IV.2.bab</t>
  </si>
  <si>
    <t>létesítmény-gazdálkodási célú működési támogatása</t>
  </si>
  <si>
    <t>IV.2.bb A kiemelt minősítésű táncművészeti szervezetek</t>
  </si>
  <si>
    <t>IV.2.bb</t>
  </si>
  <si>
    <t>IV.2.bba</t>
  </si>
  <si>
    <t>IV.2.bbb</t>
  </si>
  <si>
    <t>IV.2.c</t>
  </si>
  <si>
    <t>Zeneművészeti szervezetek támogatása</t>
  </si>
  <si>
    <t>IV.2.ca</t>
  </si>
  <si>
    <t>Nemzeti és kiemelt minősítésű zenekarok támogatása</t>
  </si>
  <si>
    <t>IV.2.cb</t>
  </si>
  <si>
    <t>Nemzeti és kiemelt minősítésű énekkarok támogatása</t>
  </si>
  <si>
    <t>IV.2.</t>
  </si>
  <si>
    <t>A települési önkormányzatok által fenntartott, illetve támogatott előadó-művészeti szervezetek támogatása összesen</t>
  </si>
  <si>
    <t>MINDÖSSZESEN</t>
  </si>
  <si>
    <t>Szoc</t>
  </si>
  <si>
    <t>Süni</t>
  </si>
  <si>
    <t>Étkeztetés</t>
  </si>
  <si>
    <t>Művház</t>
  </si>
  <si>
    <t>Beszámítás (-)</t>
  </si>
  <si>
    <t>A 2017. évről áthúzódó bérkompenzáció támogatása</t>
  </si>
  <si>
    <t xml:space="preserve"> - kulturális illetménypótlék</t>
  </si>
  <si>
    <t xml:space="preserve"> - RSD munkaszervezet támogatása</t>
  </si>
  <si>
    <t xml:space="preserve"> - Iskolaorvosi ellátás finanszírozása</t>
  </si>
  <si>
    <t xml:space="preserve"> - Családi támogatások (kieg. Gyermekvéd.; Erzsébet út)</t>
  </si>
  <si>
    <t xml:space="preserve"> - közterület használati díj; közútkezelői hozzájárulás</t>
  </si>
  <si>
    <t>09211. Felhalmozási célú önkormányzati támogatások (Dózsa, Petőfi ;AranyJ.szilárdurkolat támogatás)</t>
  </si>
  <si>
    <t>0511011. Illetmények, munkabérek (közfoglalkoztatott  14 fő 3 hó; 13 fő 9 hó)</t>
  </si>
  <si>
    <r>
      <t>051231. Egyéb külső személyi juttatás (építész;fotós;</t>
    </r>
    <r>
      <rPr>
        <sz val="11"/>
        <rFont val="Times New Roman"/>
        <family val="1"/>
        <charset val="238"/>
      </rPr>
      <t>hírharang h</t>
    </r>
    <r>
      <rPr>
        <sz val="11"/>
        <color theme="1"/>
        <rFont val="Times New Roman"/>
        <family val="1"/>
        <charset val="238"/>
      </rPr>
      <t>on;repi; RSD; tüdőszűrés, korcsolya; dijazott, KEHOP)</t>
    </r>
  </si>
  <si>
    <t xml:space="preserve"> - informatikai rendszer karbantartás (térfigyelő rendszer)</t>
  </si>
  <si>
    <t xml:space="preserve"> - infrastruktúra fejlesztés</t>
  </si>
  <si>
    <t>053331. Bérleti és lízingdíj (Budai Cs orvosi rendelő;korcsolyapálya, konténer)</t>
  </si>
  <si>
    <t xml:space="preserve"> - biztosítási díjak (elemi kár; szgép;KGFB;Casco;számítógép;)</t>
  </si>
  <si>
    <t xml:space="preserve"> - sikosságmentesítés </t>
  </si>
  <si>
    <t>053421. Reklám- és propaganda (hírharang,hírlevél, ünnepnaptár, grafikai munkák; Lakihegy Rádió;kistérségi naptár ,testvérvárosi kapcs, KEHOP;PMONKORM2016/58)</t>
  </si>
  <si>
    <r>
      <t>053521. Fizetendő ÁFA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(útépítés fordított ÁFA)</t>
    </r>
  </si>
  <si>
    <t>055131. Tartalékok (talajterh)</t>
  </si>
  <si>
    <t>05611. Immateriális javak beszerzése (HÉSZ, 51 út körforgalom enged.terv;gördülő fejl. terv )</t>
  </si>
  <si>
    <t xml:space="preserve"> - Taksony Fő 52.;54 ; Baross tér 7. bontás</t>
  </si>
  <si>
    <t xml:space="preserve">  - Játszótéri eszközök </t>
  </si>
  <si>
    <t xml:space="preserve"> - Önkormányzati int. Ép felújítás  munkálaltai </t>
  </si>
  <si>
    <t xml:space="preserve"> - Épületenergetikai korszerűsítés</t>
  </si>
  <si>
    <t xml:space="preserve"> - I. Vh emlékmű renováláv pályázati önrész</t>
  </si>
  <si>
    <t>05891. Egyéb felhalmozási célú támogatások államháztartáson kívülre (DPMV)</t>
  </si>
  <si>
    <r>
      <t xml:space="preserve"> - </t>
    </r>
    <r>
      <rPr>
        <sz val="11"/>
        <rFont val="Times New Roman"/>
        <family val="1"/>
        <charset val="238"/>
      </rPr>
      <t>Köztéri</t>
    </r>
    <r>
      <rPr>
        <sz val="11"/>
        <color theme="1"/>
        <rFont val="Times New Roman"/>
        <family val="1"/>
        <charset val="238"/>
      </rPr>
      <t xml:space="preserve"> táblák kihelyezése </t>
    </r>
  </si>
  <si>
    <t xml:space="preserve"> - Bursa Hungarica ösztöndíj</t>
  </si>
  <si>
    <t>2018. évi bevételi előirányzatok összesen</t>
  </si>
  <si>
    <t>2018. évi kiadási előirányzatok összesen</t>
  </si>
  <si>
    <t>51.sz. út körforgalomm engedélyezési terv</t>
  </si>
  <si>
    <t>DPMV gördülő fejlesztési terv 2018-2032</t>
  </si>
  <si>
    <t>bontási munkálatok (Fő u. 52,54, Baross tér 7.)</t>
  </si>
  <si>
    <t>1.8.</t>
  </si>
  <si>
    <t>1.9.</t>
  </si>
  <si>
    <t>1.10.</t>
  </si>
  <si>
    <t>1.11.</t>
  </si>
  <si>
    <t>klima 2 db</t>
  </si>
  <si>
    <t>számítógép 2 db</t>
  </si>
  <si>
    <t>számítógép 1 db</t>
  </si>
  <si>
    <t>klima szinházterem</t>
  </si>
  <si>
    <t>konyhai eszközök (kávégép, italadagoló,chafing, serpenyő)</t>
  </si>
  <si>
    <t>4.7.</t>
  </si>
  <si>
    <t>4.4.</t>
  </si>
  <si>
    <t>4.5.</t>
  </si>
  <si>
    <t>4.6.</t>
  </si>
  <si>
    <t>minikotró (+ raklapvilla, tolólap, sószóró)</t>
  </si>
  <si>
    <t>tehergépkocsi</t>
  </si>
  <si>
    <t>Művelődési Ház fűtés korszerűsítés</t>
  </si>
  <si>
    <t>Művelődési Ház járda</t>
  </si>
  <si>
    <t xml:space="preserve">Tájház mosdó </t>
  </si>
  <si>
    <t>Temető mosdó</t>
  </si>
  <si>
    <t>Épületenergetikai korszerűsítés</t>
  </si>
  <si>
    <t>I. Vh emlékmű renováláv pályázati önrész</t>
  </si>
  <si>
    <t>Épületenergetikai korszerűsítések Taksony Nagyközség Önkormányzatának épületein</t>
  </si>
  <si>
    <t>KEHOP-5.2.9-16-2016-00071</t>
  </si>
  <si>
    <t>Nemzeti Fejlesztési Minisztérium Környezeti és Energiahatékonysági Operatív Programok Irányító Hatósága</t>
  </si>
  <si>
    <t>2018.03.01-től</t>
  </si>
  <si>
    <t xml:space="preserve">Főfoglalkozású előadó </t>
  </si>
  <si>
    <t xml:space="preserve">  Takarító </t>
  </si>
  <si>
    <t xml:space="preserve">  Karbantartó </t>
  </si>
  <si>
    <t>2016. évi tényadat</t>
  </si>
  <si>
    <t>Közterület felügyelő</t>
  </si>
  <si>
    <t>2018.04.01-től</t>
  </si>
  <si>
    <t>051221. Munkavégzésre irányuló nem saját foglalkoztatottnak fizetett juttatás ( RSD megbízási díj, házasságkötés)</t>
  </si>
  <si>
    <t>053361. Szakmai tevékenységet segítő szolgáltatások (könyv;jogi;iskola eüi; belső ell (2017. szla 375000); közbeszerzés,  CEU, Kormos, eüi alkalmasság; KEHOP;szabályzat,PMONKORMUT2016/58;fordítás)</t>
  </si>
  <si>
    <t>05641. Egyéb tárgyi eszközök beszerzése  (billenős serpenyő / 2017)</t>
  </si>
  <si>
    <t>1.12.</t>
  </si>
  <si>
    <t>0511011. Illetmények, munkabérek (2,5+1,5 áh)</t>
  </si>
  <si>
    <t xml:space="preserve"> - egyéb üzemeltetési anyagok (érdekeltségnöv. önrész)</t>
  </si>
  <si>
    <t>Eredeti előirányzat (Ft)</t>
  </si>
  <si>
    <t>Módosított előirányzat (Ft)</t>
  </si>
  <si>
    <t>Teljesítés százalékban (%)</t>
  </si>
  <si>
    <t xml:space="preserve">0511031 Céljuttatás, projektprémium </t>
  </si>
  <si>
    <t>0511012. Normatív jutalmak</t>
  </si>
  <si>
    <t>0511013. Céljuttatás, projektprémium</t>
  </si>
  <si>
    <t xml:space="preserve"> - Helpynet Vezetői Infokommunikációs Rendszer (VIR) program</t>
  </si>
  <si>
    <t xml:space="preserve"> - Útépítés (Révész u. szilárd burkolat)</t>
  </si>
  <si>
    <t xml:space="preserve"> - csapadékvíz elvezetés (Fő út; Szent István tér)</t>
  </si>
  <si>
    <t xml:space="preserve"> - iskola B épület tetőfelújítás</t>
  </si>
  <si>
    <t xml:space="preserve"> - Útfelújításs (Dózsa, Petőfi;  Arany J.; u. szilárd burkolat)</t>
  </si>
  <si>
    <t xml:space="preserve"> - felújítás önrész</t>
  </si>
  <si>
    <t>A helyi önkormányzatok működésének általános támogatása összesen  B111</t>
  </si>
  <si>
    <t>III.1.</t>
  </si>
  <si>
    <t>Szociális ágazati összevont pótlék</t>
  </si>
  <si>
    <t>III.3.</t>
  </si>
  <si>
    <t>Egyes szociális és gyermekjóléti feladatoktámogatása</t>
  </si>
  <si>
    <t>A települési önkormányzatok szociális, gyermekjóléti és gyermekétkeztetési feladatainak támogatása B113</t>
  </si>
  <si>
    <t>2/EK/2</t>
  </si>
  <si>
    <t>Kulturális illetménypótlék</t>
  </si>
  <si>
    <t>A települési önkormányzatok kulturális feladatainak támogatása B114</t>
  </si>
  <si>
    <t>115/EK/1/1</t>
  </si>
  <si>
    <t>A költségvetési szerveknél foglalkoztatottak 2018. évi kompenzációja</t>
  </si>
  <si>
    <t>115/EK/4</t>
  </si>
  <si>
    <t>ASP rendszer működésének támogatása</t>
  </si>
  <si>
    <t xml:space="preserve">  - szinpadtechnikai szolgáltatások (fedés, látványtechnika, egyéb)</t>
  </si>
  <si>
    <t xml:space="preserve"> - gázmérő hitelesítés, fogyasztásmérő kiépítése</t>
  </si>
  <si>
    <t xml:space="preserve"> - közüzemi díj visszatérítés</t>
  </si>
  <si>
    <t xml:space="preserve">  - munkáltatói táppénz hozzájárulás</t>
  </si>
  <si>
    <t xml:space="preserve"> - fel nem használt cafateria juttatás visszautalása</t>
  </si>
  <si>
    <t xml:space="preserve"> - egyéb szolgáltatás</t>
  </si>
  <si>
    <t>2018. évi lakossági víz- és csatornadíj támogatás</t>
  </si>
  <si>
    <t>ÁSZ felülvizsgálat, 2016. évi tőke kiutalás</t>
  </si>
  <si>
    <t>2017. évi elszámolás alapján megállapított pótigény</t>
  </si>
  <si>
    <t>Elszámolásból származó bevételek B116</t>
  </si>
  <si>
    <t xml:space="preserve">belterületi utak szilárd burk. (Révész u.) </t>
  </si>
  <si>
    <t>1.13.</t>
  </si>
  <si>
    <t>6.1.</t>
  </si>
  <si>
    <t>6.2.</t>
  </si>
  <si>
    <t>porszívó</t>
  </si>
  <si>
    <t>6.3.</t>
  </si>
  <si>
    <t>bojler</t>
  </si>
  <si>
    <t>Iskola B épület tetőfelújítás</t>
  </si>
  <si>
    <t>Dunavarsány szennyvíztisztító telep technológiájának korszerűsítése</t>
  </si>
  <si>
    <t>KEHOP-2.2.2-15-2015-00039</t>
  </si>
  <si>
    <t xml:space="preserve">  Szociális munkatárs </t>
  </si>
  <si>
    <t>2018.10.01-től</t>
  </si>
  <si>
    <t>1.14.</t>
  </si>
  <si>
    <t>művház fénycsatorna beépítés</t>
  </si>
  <si>
    <t>Mobiltelefon beszerzés</t>
  </si>
  <si>
    <t>Hepa porszívó</t>
  </si>
  <si>
    <t>Halo PET chip olvasó + hálózati töltő beszerzés</t>
  </si>
  <si>
    <t>Bosch ipari porszívó</t>
  </si>
  <si>
    <t>falhoronymaró</t>
  </si>
  <si>
    <t>2.4.</t>
  </si>
  <si>
    <t>Mikrohullámú sütő</t>
  </si>
  <si>
    <t>3.3.</t>
  </si>
  <si>
    <t>fagyasztó szekrény, hűtővitrin, hűtőszekrény</t>
  </si>
  <si>
    <t>4.8.</t>
  </si>
  <si>
    <t>Kézi szerszámok (körfűrész, sarokcsiszoló)</t>
  </si>
  <si>
    <t>5.3.</t>
  </si>
  <si>
    <t>5.4.</t>
  </si>
  <si>
    <t>látásvizsgáló</t>
  </si>
  <si>
    <t>2017. évben</t>
  </si>
  <si>
    <t xml:space="preserve">Teljesített kiadás </t>
  </si>
  <si>
    <t>2017. évi tényadat</t>
  </si>
  <si>
    <t>Eredeti előirányzat</t>
  </si>
  <si>
    <t xml:space="preserve">Módosított előirányzat </t>
  </si>
  <si>
    <t>hűtőszekrény</t>
  </si>
  <si>
    <t xml:space="preserve">  - közfoglalkoztatási program (2017. évi 14 fő / 2018. évi 13 fő) + nyári diákmunka</t>
  </si>
  <si>
    <t xml:space="preserve"> - közérdekű védekezés </t>
  </si>
  <si>
    <t>094011. Készletértékesítés ellenértéke (könyv)</t>
  </si>
  <si>
    <t xml:space="preserve"> - egyéb</t>
  </si>
  <si>
    <t>09751 Egyéb felhalmozási célú átvett pénzeszközök (I.Vh. Emlékmű)</t>
  </si>
  <si>
    <t xml:space="preserve"> - könyv beszerzés ("Die Siedlungsgeschichte von Taksony")</t>
  </si>
  <si>
    <t xml:space="preserve"> - munka- és védőruha (közfoglalkoztatás)</t>
  </si>
  <si>
    <t xml:space="preserve"> - 2018. évi lakossági víz- és csatornadíj támogatás</t>
  </si>
  <si>
    <t xml:space="preserve"> - tervezési ktg, MűvHáz fénycsatorna beépítés</t>
  </si>
  <si>
    <t xml:space="preserve"> - Közvilágítási lámpatesetk bővítése, egyéb eszköz  beszerzés</t>
  </si>
  <si>
    <t>B75. Egyéb felhalmozási célú átvett pénzeszközök</t>
  </si>
  <si>
    <t>B411. Egyéb működési bevételek</t>
  </si>
  <si>
    <t>Közvetett támogatások</t>
  </si>
  <si>
    <t>Ssz.</t>
  </si>
  <si>
    <t>Jogcím megnevezés (368/2011. (XII.31.) Korm.rend. 28.§)</t>
  </si>
  <si>
    <t>Mentesség / Engedmény (Ft)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</si>
  <si>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</si>
  <si>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</si>
  <si>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</si>
  <si>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 xml:space="preserve"> - gépjárműadó</t>
  </si>
  <si>
    <t xml:space="preserve"> - egyéb közhatalmi bevételek</t>
  </si>
  <si>
    <t>Helyiségek, eszközök hasznosításából származó bevételből nyújtott kedvezmény, mentesség összege</t>
  </si>
  <si>
    <t>Egyéb nyújtott kedvezmény vagy kölcsön elengedésének összege</t>
  </si>
  <si>
    <t>Mindösszesen:</t>
  </si>
  <si>
    <t>Hitelállomány</t>
  </si>
  <si>
    <t>Folyószámla hitel</t>
  </si>
  <si>
    <t>Összesen (Ft)</t>
  </si>
  <si>
    <t>Hitelek év végi záróállománya</t>
  </si>
  <si>
    <t>Taksony Nagyközség Önkormányzatának a tulajdonában álló gazdálkodó szervezetek működéséből származó kötelezettségek, részesedések alakulása</t>
  </si>
  <si>
    <t>Szöveg</t>
  </si>
  <si>
    <t>Részesedés mértéke (%)</t>
  </si>
  <si>
    <t>Bekerülési érték (Ft)</t>
  </si>
  <si>
    <t>Üzletrész alakulása/értékveszés (Ft)</t>
  </si>
  <si>
    <t xml:space="preserve">Taksony Településüzemeltető Nonprofit Kft. </t>
  </si>
  <si>
    <t>51-es Ingatlanfejlesztő Kft./Forrás Kft.</t>
  </si>
  <si>
    <t>DPMV Zrt.</t>
  </si>
  <si>
    <t>0,48%</t>
  </si>
  <si>
    <t>Pénzeszköz változása</t>
  </si>
  <si>
    <t>Forrás Intézményüzem. Központ</t>
  </si>
  <si>
    <t>Petőfi S. Művelődési Ház</t>
  </si>
  <si>
    <t>Szoc. és Gyermekjóléti Szolg.</t>
  </si>
  <si>
    <t>Bevételek</t>
  </si>
  <si>
    <t>A 4/2013.(I.13.) Korm.rendeletben előírt korrekciók növelő</t>
  </si>
  <si>
    <t>A 4/2013.(I.13.) Korm.rendeletben előírt korrekciók csökkentő</t>
  </si>
  <si>
    <t>Forgatási célú hitelviszonyt megtestesítő értékpapírok (kincstárjegy)</t>
  </si>
  <si>
    <t>vagyonkimutatás</t>
  </si>
  <si>
    <t>Sorszám</t>
  </si>
  <si>
    <t>Bruttó érték (Ft)</t>
  </si>
  <si>
    <t>Nettó érték (Ft)</t>
  </si>
  <si>
    <t xml:space="preserve">ESZKÖZÖK  </t>
  </si>
  <si>
    <t>1. Korlátozottan forgalomképes immateriáis javak</t>
  </si>
  <si>
    <t xml:space="preserve">A/I Immateriális javak </t>
  </si>
  <si>
    <t xml:space="preserve">II/1. Törzsvagyon </t>
  </si>
  <si>
    <t xml:space="preserve">a./ Forgalomképtelen ingatlanok </t>
  </si>
  <si>
    <t>1.Forgalomképtelen ingatlanok</t>
  </si>
  <si>
    <t>2. Folyamatban lévő ingatlan beruházás, felújítás</t>
  </si>
  <si>
    <t>b./ Nemzetgazdasági szempontból kiemelt jelentőségű ingatlanok</t>
  </si>
  <si>
    <t>8.</t>
  </si>
  <si>
    <t xml:space="preserve">c./ Korlátozottan forgalomképes ingatlanok </t>
  </si>
  <si>
    <t>9.</t>
  </si>
  <si>
    <t>1. Korlátozottan forgalomképes ingatlanok</t>
  </si>
  <si>
    <t>10.</t>
  </si>
  <si>
    <t xml:space="preserve"> 2. Folyamatban lévő ingatlan beruházás</t>
  </si>
  <si>
    <t>11.</t>
  </si>
  <si>
    <t xml:space="preserve">II/2. Üzleti vagyon </t>
  </si>
  <si>
    <t>12.</t>
  </si>
  <si>
    <t xml:space="preserve">a./ Forgalomképes ingatlanok </t>
  </si>
  <si>
    <t>13.</t>
  </si>
  <si>
    <t>1. Forgalomképes ingatlanok</t>
  </si>
  <si>
    <t>14.</t>
  </si>
  <si>
    <t>2. Folyamatban lévő ingatlan beruházás</t>
  </si>
  <si>
    <t>15.</t>
  </si>
  <si>
    <t>b./ Egyéb tárgyi eszközök</t>
  </si>
  <si>
    <t>16.</t>
  </si>
  <si>
    <t>1. Gépek, berendezések, felszerelések, járművek</t>
  </si>
  <si>
    <t>17.</t>
  </si>
  <si>
    <t>2. Tenyészállatok</t>
  </si>
  <si>
    <t>18.</t>
  </si>
  <si>
    <t>3. Beruházások, felújítások</t>
  </si>
  <si>
    <t>19.</t>
  </si>
  <si>
    <t>4. Tárgyi eszközök értékhelyesbítése</t>
  </si>
  <si>
    <t>20.</t>
  </si>
  <si>
    <t xml:space="preserve">A/II. Tárgyi eszközök </t>
  </si>
  <si>
    <t>21.</t>
  </si>
  <si>
    <t xml:space="preserve">III/1. Törzsvagyon </t>
  </si>
  <si>
    <t>22.</t>
  </si>
  <si>
    <t>a./ Forgalomképtelen</t>
  </si>
  <si>
    <t>23.</t>
  </si>
  <si>
    <t>b./ Korlátozottan forgalomképes</t>
  </si>
  <si>
    <t>24.</t>
  </si>
  <si>
    <t>1. Tartós részesedések</t>
  </si>
  <si>
    <t>25.</t>
  </si>
  <si>
    <t xml:space="preserve">III/2. Üzleti vagyon </t>
  </si>
  <si>
    <t>26.</t>
  </si>
  <si>
    <t>1. Tartós hitelviszonyt megtestesítő értékpapírok</t>
  </si>
  <si>
    <t>27.</t>
  </si>
  <si>
    <t>2. Befektetett pénzügyi eszközök értékhelyesbítése</t>
  </si>
  <si>
    <t>28.</t>
  </si>
  <si>
    <t xml:space="preserve">A/III. Befektetett pénzügyi eszközök </t>
  </si>
  <si>
    <t>29.</t>
  </si>
  <si>
    <t>A/IV. Koncesszióba, vagyonkezelésbe adott eszközök</t>
  </si>
  <si>
    <t>30.</t>
  </si>
  <si>
    <t>A.) Nemzeti vagyonba tartozó befektetett  eszközök összesen (2+20+28+29)</t>
  </si>
  <si>
    <t>31.</t>
  </si>
  <si>
    <t>I.  Készletek</t>
  </si>
  <si>
    <t>32.</t>
  </si>
  <si>
    <t>II. Értékpapírok</t>
  </si>
  <si>
    <t>33.</t>
  </si>
  <si>
    <t>B.) Nemzeti vagyonba tartozó forgóeszközök (31+32)</t>
  </si>
  <si>
    <t>34.</t>
  </si>
  <si>
    <t>I.    Lekötött bankbetétek</t>
  </si>
  <si>
    <t>35.</t>
  </si>
  <si>
    <t>II.   Pénztárak, csekkek, betétkönyvek</t>
  </si>
  <si>
    <t>36.</t>
  </si>
  <si>
    <t>III.  Forintszámlák</t>
  </si>
  <si>
    <t>37.</t>
  </si>
  <si>
    <t>IV. Devizaszámlák</t>
  </si>
  <si>
    <t>38.</t>
  </si>
  <si>
    <t>C.) Pénzeszközök (34+..+37)</t>
  </si>
  <si>
    <t>39.</t>
  </si>
  <si>
    <t xml:space="preserve">1. Költségvetési évben esedékes követelések működési célú támogatások bevételeire államháztartáson belülről </t>
  </si>
  <si>
    <t>40.</t>
  </si>
  <si>
    <t xml:space="preserve">2. Költségvetési évben esedékes követelések felhalmozási célú támogatások bevételeire államháztartáson belülről </t>
  </si>
  <si>
    <t>41.</t>
  </si>
  <si>
    <t>3. Költségvetési évben esedékes követelések közhatalmi bevételre</t>
  </si>
  <si>
    <t>42.</t>
  </si>
  <si>
    <t>4. Költségvetési évben esedékes követelések működési bevételre</t>
  </si>
  <si>
    <t>43.</t>
  </si>
  <si>
    <t>5. Költségvetési évben esedékes követelések felhalmozási bevételre</t>
  </si>
  <si>
    <t>44.</t>
  </si>
  <si>
    <t>6. Költségvetési évben esedékes követelések működési célú átvett pénzeszközre</t>
  </si>
  <si>
    <t>45.</t>
  </si>
  <si>
    <t xml:space="preserve">7. Költségvetési évben esedékes követelések felhalmozási célú átvett pénzeszközre </t>
  </si>
  <si>
    <t>46.</t>
  </si>
  <si>
    <t xml:space="preserve">8. Költségvetési évben esedékes követelések finanszírozási bevételekre </t>
  </si>
  <si>
    <t>47.</t>
  </si>
  <si>
    <t xml:space="preserve">D/I.   Költségvetési évben esedékes követelések                                                                  </t>
  </si>
  <si>
    <t>48.</t>
  </si>
  <si>
    <t>1. Költségvetési évet követően esedékes követelések működési célú támogatások bevételeire államháztartáson belülről</t>
  </si>
  <si>
    <t>49.</t>
  </si>
  <si>
    <t>2. Költségvetési évet követően esedékes követelések felhalmozási célú támogatások bevételeire államháztartáson belülről</t>
  </si>
  <si>
    <t>50.</t>
  </si>
  <si>
    <t>3. Költségvetési évet követően esedékes követelések közhatalmi bevételre</t>
  </si>
  <si>
    <t>51.</t>
  </si>
  <si>
    <t>4. Költségvetési évet követően esedékes követelések működési bevételre</t>
  </si>
  <si>
    <t>52.</t>
  </si>
  <si>
    <t>5. Költségvetési évet követően esedékes követelések felhalmozási bevételre</t>
  </si>
  <si>
    <t>53.</t>
  </si>
  <si>
    <t xml:space="preserve">6. Költségvetési évet követően esedékes követelések működési célú átvett pénzeszközre </t>
  </si>
  <si>
    <t>54.</t>
  </si>
  <si>
    <t>7. Költségvetési évet követően esedékes követelések felhalmozási célú átvett pénzeszközre</t>
  </si>
  <si>
    <t>55.</t>
  </si>
  <si>
    <t>8. Költségvetési évet követően esedékes követelések finanszírozási bevételekre</t>
  </si>
  <si>
    <t>56.</t>
  </si>
  <si>
    <t xml:space="preserve">D/II.  Költségvetési évet követően esedékes követelések  </t>
  </si>
  <si>
    <t>57.</t>
  </si>
  <si>
    <t>D/III. Követelés jellegű sajátos elszámolások</t>
  </si>
  <si>
    <t>58.</t>
  </si>
  <si>
    <t>D.) Követelések összesen (47+56+57)</t>
  </si>
  <si>
    <t>59.</t>
  </si>
  <si>
    <t xml:space="preserve">E.) Egyéb sajátos eszközoldali elszámolások </t>
  </si>
  <si>
    <t>60.</t>
  </si>
  <si>
    <t>F.) Aktív időbeli elhatárolások</t>
  </si>
  <si>
    <t>61.</t>
  </si>
  <si>
    <t>Eszközök összesen: (30+33+38+58+59+60)</t>
  </si>
  <si>
    <t>62.</t>
  </si>
  <si>
    <t xml:space="preserve">FORRÁSOK  </t>
  </si>
  <si>
    <t>63.</t>
  </si>
  <si>
    <t>I.    Nemzeti vagyon induláskori értéke</t>
  </si>
  <si>
    <t>64.</t>
  </si>
  <si>
    <t>II.   Nemzeti vagyon változásai</t>
  </si>
  <si>
    <t>65.</t>
  </si>
  <si>
    <t>III.  Egyéb eszközök induláskori értéke és változásai</t>
  </si>
  <si>
    <t>66.</t>
  </si>
  <si>
    <t>IV. Felhalmozott eredmény</t>
  </si>
  <si>
    <t>67.</t>
  </si>
  <si>
    <t>V.  Eszközök értékhelyesbítésének forrása</t>
  </si>
  <si>
    <t>68.</t>
  </si>
  <si>
    <t>VI. Mérleg szerinti eredmény</t>
  </si>
  <si>
    <t>69.</t>
  </si>
  <si>
    <t>G.) Saját tőke összesen (63+..+68)</t>
  </si>
  <si>
    <t>70.</t>
  </si>
  <si>
    <t>1. Költségvetési évben esedékes kötelezettségek személyi juttatásokra</t>
  </si>
  <si>
    <t>71.</t>
  </si>
  <si>
    <t>2. Költségvetési évben esedékes kötelezettségek munkaadót terhelő járulékokra és szociális hozzájárulási adóra</t>
  </si>
  <si>
    <t>72.</t>
  </si>
  <si>
    <t>3. Költségvetési évben esedékes kötelezettségek dologi kiadásokra</t>
  </si>
  <si>
    <t>73.</t>
  </si>
  <si>
    <t>4. Költségvetési évben esedékes kötelezettségek ellátottak pénzbeli juttatásaira</t>
  </si>
  <si>
    <t>74.</t>
  </si>
  <si>
    <t>5. Költségvetési évben esedékes kötelezettségek egyéb működési célú kiadásokra</t>
  </si>
  <si>
    <t>75.</t>
  </si>
  <si>
    <t>6. Költségvetési évben esedékes kötelezettségek beruházásokra</t>
  </si>
  <si>
    <t>76.</t>
  </si>
  <si>
    <t>7. Költségvetési évben esedékes kötelezettségek felújításokra</t>
  </si>
  <si>
    <t>77.</t>
  </si>
  <si>
    <t>8. Költségvetési évben esedékes kötelezettségek egyéb felhalmozási célú kiadásokra</t>
  </si>
  <si>
    <t>78.</t>
  </si>
  <si>
    <t>9. Költségvetési évben esedékes kötelezettségek finanszírozási kiadásokra</t>
  </si>
  <si>
    <t>79.</t>
  </si>
  <si>
    <t xml:space="preserve">H/I. Költségvetési évben esedékes kötelezettségek                                                </t>
  </si>
  <si>
    <t>80.</t>
  </si>
  <si>
    <t>1. Költségvetési évet követően esedékes kötelezettségek személyi juttatásokra</t>
  </si>
  <si>
    <t>81.</t>
  </si>
  <si>
    <t>2. Költségvetési évet követően esedékes kötelezettségek munkaadót terhelő járulékokra és szociális hozzájárulási adóra</t>
  </si>
  <si>
    <t>82.</t>
  </si>
  <si>
    <t>3. Költségvetési évet követően esedékes kötelezettségek dologi kiadásokra</t>
  </si>
  <si>
    <t>83.</t>
  </si>
  <si>
    <t>4. Költségvetési évet követően esedékes kötelezettségek ellátottak pénzbeli juttatásaira</t>
  </si>
  <si>
    <t>84.</t>
  </si>
  <si>
    <t>5. Költségvetési évet követően esedékes kötelezettségek egyéb működési célú kiadásokra</t>
  </si>
  <si>
    <t>85.</t>
  </si>
  <si>
    <t>6. Költségvetési évet követően esedékes kötelezettségek beruházásokra</t>
  </si>
  <si>
    <t>86.</t>
  </si>
  <si>
    <t>7. Költségvetési évet követően esedékes kötelezettségek felújításokra</t>
  </si>
  <si>
    <t>87.</t>
  </si>
  <si>
    <t>8. Költségvetési évet követően esedékes kötelezettségek egyéb felhalmozási célú kiadásokra</t>
  </si>
  <si>
    <t>88.</t>
  </si>
  <si>
    <t>9. Költségvetési évet követően esedékes kötelezettségek finanszírozási kiadásokra</t>
  </si>
  <si>
    <t>89.</t>
  </si>
  <si>
    <t xml:space="preserve">H/II. Költségvetési évet követően esedékes kötelezettségek                                 </t>
  </si>
  <si>
    <t>90.</t>
  </si>
  <si>
    <t>H/III. Kötelezettség jellegű sajátos elszámolások</t>
  </si>
  <si>
    <t>91.</t>
  </si>
  <si>
    <t>H.) Kötelezettségek összesen (79+89+90)</t>
  </si>
  <si>
    <t>92.</t>
  </si>
  <si>
    <t>I.)  Kincstári számlavezetéssel kapcsolatos elszámolások</t>
  </si>
  <si>
    <t>93.</t>
  </si>
  <si>
    <t>J.)  Passzív időbeli elhatárolások</t>
  </si>
  <si>
    <t>94.</t>
  </si>
  <si>
    <t>Források összesen: (69+91+92+93)</t>
  </si>
  <si>
    <t>ESZKÖZÖK</t>
  </si>
  <si>
    <t>sor-
szám</t>
  </si>
  <si>
    <t xml:space="preserve">Önkormányzat VAGYONKIMUTATÁS a "0"-ra leírt eszközökről </t>
  </si>
  <si>
    <t>A/I. Immateriális javak (2+3)</t>
  </si>
  <si>
    <t>"0"-ra leírt, de használatban lévő</t>
  </si>
  <si>
    <t>"0"-ra leírt, használaton kívüli</t>
  </si>
  <si>
    <t>A/II. Tárgyi eszközök (5+8+11+14)</t>
  </si>
  <si>
    <t>1. Ingatlanok és kapcsolódó vagyoni értékű jogok (6+7)</t>
  </si>
  <si>
    <t>2. Gépek, berendezések, felszerelések és járművek (9+10)</t>
  </si>
  <si>
    <t>3. Tenyészállatok (12+13)</t>
  </si>
  <si>
    <t>A/IV. Koncesszióba, vagyonkezelésbe adott eszközök (15+16)</t>
  </si>
  <si>
    <t>ÖSSZESEN (1+4+14)</t>
  </si>
  <si>
    <t>Mennyiség (db)</t>
  </si>
  <si>
    <t>Érték (Ft)</t>
  </si>
  <si>
    <t xml:space="preserve">Önkormányzat VAGYONKIMUTATÁS a NVT. 1.§ (2) bekezdés g) és h) pontja szerinti kulturális javakról és régészeti leleltekről </t>
  </si>
  <si>
    <t>Kép- és hangarchívum</t>
  </si>
  <si>
    <t>Gyűjtemények</t>
  </si>
  <si>
    <t>Kulturális javak</t>
  </si>
  <si>
    <t>Régészeti leletek</t>
  </si>
  <si>
    <t>Összesen (1+2+3+4+5)</t>
  </si>
  <si>
    <t xml:space="preserve">Önkormányzat VAGYONKIMUTATÁS a függő követelésekről és kötelezettségekről, a biztos (jövőbeni) követelésekről </t>
  </si>
  <si>
    <t>I. Függő követelések (2+3)</t>
  </si>
  <si>
    <t>1. Támogatási célú előlegekkel kapcsolatos elszámolási követelések</t>
  </si>
  <si>
    <t>2. Egyéb függő követelések</t>
  </si>
  <si>
    <t>II. Biztos (jövőbeni) követelések</t>
  </si>
  <si>
    <t>III. Függő kötelezettségek (6+7+8+9+10)</t>
  </si>
  <si>
    <t>1. Kezességgel-, garanciavállalással kapcsolatos függő kötelezettségek</t>
  </si>
  <si>
    <t>2. Peres ügyekkel kapcsolatos függő kötelezettségek</t>
  </si>
  <si>
    <t>3. El nem ismert tartozások</t>
  </si>
  <si>
    <t>4. Támogatási célú előlegekkel kapcsolatos elszámolási kötelezettségek</t>
  </si>
  <si>
    <t>5. Egyéb függő Kötelezettségek</t>
  </si>
  <si>
    <t>Összesen (1+4+5)</t>
  </si>
  <si>
    <t>Mérleg</t>
  </si>
  <si>
    <t>Módosítások (+/-)</t>
  </si>
  <si>
    <t>Tárgyi időszak</t>
  </si>
  <si>
    <t>01</t>
  </si>
  <si>
    <t>A/I/1 Vagyoni értékű jogok</t>
  </si>
  <si>
    <t>02</t>
  </si>
  <si>
    <t>A/I/2 Szellemi termékek</t>
  </si>
  <si>
    <t>04</t>
  </si>
  <si>
    <t>A/I Immateriális javak (=A/I/1+A/I/2+A/I/3)</t>
  </si>
  <si>
    <t>05</t>
  </si>
  <si>
    <t>A/II/1 Ingatlanok és a kapcsolódó vagyoni értékű jogok</t>
  </si>
  <si>
    <t>06</t>
  </si>
  <si>
    <t>A/II/2 Gépek, berendezések, felszerelések, járművek</t>
  </si>
  <si>
    <t>08</t>
  </si>
  <si>
    <t>A/II/4 Beruházások, felújítások</t>
  </si>
  <si>
    <t>10</t>
  </si>
  <si>
    <t>A/II Tárgyi eszközök  (=A/II/1+...+A/II/5)</t>
  </si>
  <si>
    <t>11</t>
  </si>
  <si>
    <t>A/III/1 Tartós részesedések (=A/III/1a+…+A/III/1e)</t>
  </si>
  <si>
    <t>13</t>
  </si>
  <si>
    <t>A/III/1b - ebből: tartós részesedések nem pénzügyi vállalkozásban</t>
  </si>
  <si>
    <t>16</t>
  </si>
  <si>
    <t>A/III/1e - ebből: egyéb tartós részesedések</t>
  </si>
  <si>
    <t>21</t>
  </si>
  <si>
    <t>A/III Befektetett pénzügyi eszközök (=A/III/1+A/III/2+A/III/3)</t>
  </si>
  <si>
    <t>22</t>
  </si>
  <si>
    <t>A/IV/1 Koncesszióba, vagyonkezelésbe adott eszközök (=A/IV/1a+A/IV/1b+A/IV/1c)</t>
  </si>
  <si>
    <t>24</t>
  </si>
  <si>
    <t>A/IV/1b - ebből: tárgyi eszközök</t>
  </si>
  <si>
    <t>27</t>
  </si>
  <si>
    <t>A/IV Koncesszióba, vagyonkezelésbe adott eszközök (=A/IV/1+A/IV/2)</t>
  </si>
  <si>
    <t>28</t>
  </si>
  <si>
    <t>A) NEMZETI VAGYONBA TARTOZÓ BEFEKTETETT ESZKÖZÖK (=A/I+A/II+A/III+A/IV)</t>
  </si>
  <si>
    <t>29</t>
  </si>
  <si>
    <t>B/I/1 Vásárolt készletek</t>
  </si>
  <si>
    <t>34</t>
  </si>
  <si>
    <t>B/I Készletek (=B/I/1+…+B/I/5)</t>
  </si>
  <si>
    <t>42</t>
  </si>
  <si>
    <t>B/II Értékpapírok (=B/II/1+B/II/2)</t>
  </si>
  <si>
    <t>43</t>
  </si>
  <si>
    <t>B) NEMZETI VAGYONBA TARTOZÓ FORGÓESZKÖZÖK (= B/I+B/II)</t>
  </si>
  <si>
    <t>44</t>
  </si>
  <si>
    <t>C/I/1 Éven túli lejáratú forint lekötött bankbetétek</t>
  </si>
  <si>
    <t>46</t>
  </si>
  <si>
    <t>C/I Lekötött bankbetétek (=C/I/1+…+C/I/2)</t>
  </si>
  <si>
    <t>47</t>
  </si>
  <si>
    <t>C/II/1 Forintpénztár</t>
  </si>
  <si>
    <t>50</t>
  </si>
  <si>
    <t>C/II Pénztárak, csekkek, betétkönyvek (=C/II/1+C/II/2+C/II/3)</t>
  </si>
  <si>
    <t>51</t>
  </si>
  <si>
    <t>C/III/1 Kincstáron kívüli forintszámlák</t>
  </si>
  <si>
    <t>53</t>
  </si>
  <si>
    <t>C/III Forintszámlák (=C/III/1+C/III/2)</t>
  </si>
  <si>
    <t>56</t>
  </si>
  <si>
    <t>C/IV Devizaszámlák (=CIV/1+C/IV/2)</t>
  </si>
  <si>
    <t>57</t>
  </si>
  <si>
    <t>C) PÉNZESZKÖZÖK (=C/I+…+C/IV)</t>
  </si>
  <si>
    <t>62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</si>
  <si>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</si>
  <si>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</si>
  <si>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</si>
  <si>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</si>
  <si>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</si>
  <si>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68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</si>
  <si>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</si>
  <si>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</si>
  <si>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</si>
  <si>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</si>
  <si>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</si>
  <si>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71</t>
  </si>
  <si>
    <t>D/I/4b - ebből: költségvetési évben esedékes követelések tulajdonosi bevételekre</t>
  </si>
  <si>
    <t>72</t>
  </si>
  <si>
    <t>D/I/4c - ebből: költségvetési évben esedékes követelések ellátási díjakra</t>
  </si>
  <si>
    <t>73</t>
  </si>
  <si>
    <t>D/I/4d - ebből: költségvetési évben esedékes követelések kiszámlázott általános forgalmi adóra</t>
  </si>
  <si>
    <t>74</t>
  </si>
  <si>
    <t>D/I/4e - ebből: költségvetési évben esedékes követelések általános forgalmi adó visszatérítésére</t>
  </si>
  <si>
    <t>79</t>
  </si>
  <si>
    <t>D/I/5 Költségvetési évben esedékes követelések felhalmozási bevételre (=D/I/5a+…+D/I/5e)</t>
  </si>
  <si>
    <t>81</t>
  </si>
  <si>
    <t>D/I/5b - ebből: költségvetési évben esedékes követelések ingatlanok értékesítésére</t>
  </si>
  <si>
    <t>85</t>
  </si>
  <si>
    <t>D/I/6 Költségvetési évben esedékes követelések működési célú átvett pénzeszközre (&gt;=D/I/6a+D/I/6b+D/I/6c)</t>
  </si>
  <si>
    <t>89</t>
  </si>
  <si>
    <t>D/I/7 Költségvetési évben esedékes követelések felhalmozási célú átvett pénzeszközre (&gt;=D/I/7a+D/I/7b+D/I/7c)</t>
  </si>
  <si>
    <t>101</t>
  </si>
  <si>
    <t>D/I Költségvetési évben esedékes követelések (=D/I/1+…+D/I/8)</t>
  </si>
  <si>
    <t>123</t>
  </si>
  <si>
    <t>D/II/5 Költségvetési évet követően esedékes követelések felhalmozási bevételre (=D/II/5a+…+D/II/5e)</t>
  </si>
  <si>
    <t>125</t>
  </si>
  <si>
    <t>D/II/5b - ebből: költségvetési évet követően esedékes követelések ingatlanok értékesítésére</t>
  </si>
  <si>
    <t>129</t>
  </si>
  <si>
    <t>D/II/6 Költségvetési évet követően esedékes követelések működési célú átvett pénzeszközre (&gt;=D/II/6a+D/II/6b+D/II/6c)</t>
  </si>
  <si>
    <t>142</t>
  </si>
  <si>
    <t>D/II Költségvetési évet követően esedékes követelések (=D/II/1+…+D/II/8)</t>
  </si>
  <si>
    <t>143</t>
  </si>
  <si>
    <t>D/III/1 Adott előlegek (=D/III/1a+…+D/III/1f)</t>
  </si>
  <si>
    <t>144</t>
  </si>
  <si>
    <t>D/III/1b - ebből: beruházásokra, felújításokra adott előlegek</t>
  </si>
  <si>
    <t>147</t>
  </si>
  <si>
    <t>D/III/1d - ebből: igénybe vett szolgáltatásra adott előlegek</t>
  </si>
  <si>
    <t>148</t>
  </si>
  <si>
    <t>153</t>
  </si>
  <si>
    <t>D/III/5 Vagyonkezelésbe adott eszközökkel kapcsolatos visszapótlási követelés elszámolása</t>
  </si>
  <si>
    <t>158</t>
  </si>
  <si>
    <t>D/III Követelés jellegű sajátos elszámolások (=D/III/1+…+D/III/9)</t>
  </si>
  <si>
    <t>159</t>
  </si>
  <si>
    <t>D) KÖVETELÉSEK  (=D/I+D/II+D/III)</t>
  </si>
  <si>
    <t>161</t>
  </si>
  <si>
    <t>E/I/2 Más előzetesen felszámított levonható általános forgalmi adó</t>
  </si>
  <si>
    <t>164</t>
  </si>
  <si>
    <t>E/I Előzetesen felszámított általános forgalmi adó elszámolása (=E/I/1+…+E/I/4)</t>
  </si>
  <si>
    <t>166</t>
  </si>
  <si>
    <t>E/II/2 Más fizetendő általános forgalmi adó</t>
  </si>
  <si>
    <t>167</t>
  </si>
  <si>
    <t>E/II Fizetendő általános forgalmi adó elszámolása (=E/II/1+E/II/2)</t>
  </si>
  <si>
    <t>168</t>
  </si>
  <si>
    <t>E/III/1 December havi illetmények, munkabérek elszámolása</t>
  </si>
  <si>
    <t>169</t>
  </si>
  <si>
    <t>E/III/2 Utalványok, bérletek és más hasonló, készpénz-helyettesítő fizetési eszköznek nem minősülő eszközök elszámolásai</t>
  </si>
  <si>
    <t>170</t>
  </si>
  <si>
    <t>E/III Egyéb sajátos eszközoldali elszámolások (=E/III/1+E/III/2)</t>
  </si>
  <si>
    <t>171</t>
  </si>
  <si>
    <t>E) EGYÉB SAJÁTOS ELSZÁMOLÁSOK (=E/I+E/II+E/III)</t>
  </si>
  <si>
    <t>172</t>
  </si>
  <si>
    <t>F/1  Eredményszemléletű bevételek aktív időbeli elhatárolása</t>
  </si>
  <si>
    <t>173</t>
  </si>
  <si>
    <t>F/2 Költségek, ráfordítások aktív időbeli elhatárolása</t>
  </si>
  <si>
    <t>175</t>
  </si>
  <si>
    <t>F) AKTÍV IDŐBELI  ELHATÁROLÁSOK  (=F/1+F/2+F/3)</t>
  </si>
  <si>
    <t>176</t>
  </si>
  <si>
    <t>ESZKÖZÖK ÖSSZESEN (=A+B+C+D+E+F)</t>
  </si>
  <si>
    <t>177</t>
  </si>
  <si>
    <t>G/I  Nemzeti vagyon induláskori értéke</t>
  </si>
  <si>
    <t>178</t>
  </si>
  <si>
    <t>G/II Nemzeti vagyon változásai</t>
  </si>
  <si>
    <t>181</t>
  </si>
  <si>
    <t>G/III/3 Pénzeszközön kívüli egyéb eszközök induláskori értéke és változásai</t>
  </si>
  <si>
    <t>182</t>
  </si>
  <si>
    <t>G/III Egyéb eszközök induláskori értéke és változásai (=G/III/1+G/III/2+G/III/3)</t>
  </si>
  <si>
    <t>183</t>
  </si>
  <si>
    <t>G/IV Felhalmozott eredmény</t>
  </si>
  <si>
    <t>185</t>
  </si>
  <si>
    <t>G/VI Mérleg szerinti eredmény</t>
  </si>
  <si>
    <t>186</t>
  </si>
  <si>
    <t>G/ SAJÁT TŐKE  (= G/I+…+G/VI)</t>
  </si>
  <si>
    <t>189</t>
  </si>
  <si>
    <t>H/I/3 Költségvetési évben esedékes kötelezettségek dologi kiadásokra</t>
  </si>
  <si>
    <t>H/I/4 Költségvetési évben esedékes kötelezettségek ellátottak pénzbeli juttatásaira</t>
  </si>
  <si>
    <t>194</t>
  </si>
  <si>
    <t>H/I/6 Költségvetési évben esedékes kötelezettségek beruházásokra</t>
  </si>
  <si>
    <t>195</t>
  </si>
  <si>
    <t>H/I/7 Költségvetési évben esedékes kötelezettségek felújításokra</t>
  </si>
  <si>
    <t>212</t>
  </si>
  <si>
    <t>H/I Költségvetési évben esedékes kötelezettségek (=H/I/1+…+H/I/9)</t>
  </si>
  <si>
    <t>215</t>
  </si>
  <si>
    <t>H/II/3 Költségvetési évet követően esedékes kötelezettségek dologi kiadásokra</t>
  </si>
  <si>
    <t>H/II/5 Költségvetési évet követően esedékes kötelezettségek egyéb működési célú kiadásokra (&gt;=H/II/5a+H/II/5b)</t>
  </si>
  <si>
    <t>220</t>
  </si>
  <si>
    <t>H/II/6 Költségvetési évet követően esedékes kötelezettségek beruházásokra</t>
  </si>
  <si>
    <t>225</t>
  </si>
  <si>
    <t>H/II/9 Költségvetési évet követően esedékes kötelezettségek finanszírozási kiadásokra (&gt;=H/II/9a+…+H/II/9j)</t>
  </si>
  <si>
    <t>230</t>
  </si>
  <si>
    <t>H/II/9e - ebből: költségvetési évet követően esedékes kötelezettségek államháztartáson belüli megelőlegezések visszafizetésére</t>
  </si>
  <si>
    <t>236</t>
  </si>
  <si>
    <t>H/II Költségvetési évet követően esedékes kötelezettségek (=H/II/1+…+H/II/9)</t>
  </si>
  <si>
    <t>237</t>
  </si>
  <si>
    <t>H/III/1 Kapott előlegek</t>
  </si>
  <si>
    <t>239</t>
  </si>
  <si>
    <t>H/III/3 Más szervezetet megillető bevételek elszámolása</t>
  </si>
  <si>
    <t>244</t>
  </si>
  <si>
    <t>H/III/8 Letétre, megőrzésre, fedezetkezelésre átvett pénzeszközök, biztosítékok</t>
  </si>
  <si>
    <t>247</t>
  </si>
  <si>
    <t>H/III Kötelezettség jellegű sajátos elszámolások (=H/III/1+…+H/III/10)</t>
  </si>
  <si>
    <t>248</t>
  </si>
  <si>
    <t>H) KÖTELEZETTSÉGEK (=H/I+H/II+H/III)</t>
  </si>
  <si>
    <t>249</t>
  </si>
  <si>
    <t>I) KINCSTÁRI SZÁMLAVEZETÉSSEL KAPCSOLATOS ELSZÁMOLÁSOK</t>
  </si>
  <si>
    <t>250</t>
  </si>
  <si>
    <t>J/1 Eredményszemléletű bevételek passzív időbeli elhatárolása</t>
  </si>
  <si>
    <t>251</t>
  </si>
  <si>
    <t>J/2 Költségek, ráfordítások passzív időbeli elhatárolása</t>
  </si>
  <si>
    <t>252</t>
  </si>
  <si>
    <t>J/3 Halasztott eredményszemléletű bevételek</t>
  </si>
  <si>
    <t>253</t>
  </si>
  <si>
    <t>J) PASSZÍV IDŐBELI ELHATÁROLÁSOK (=J/1+J/2+J/3)</t>
  </si>
  <si>
    <t>254</t>
  </si>
  <si>
    <t>FORRÁSOK ÖSSZESEN (=G+H+I+J)</t>
  </si>
  <si>
    <t>eredménykimutatás</t>
  </si>
  <si>
    <t>Sor-szám</t>
  </si>
  <si>
    <t>Önkormányzat összesen (Ft)</t>
  </si>
  <si>
    <t>Közhatalmi eredményszemléletű bevételek</t>
  </si>
  <si>
    <t>Eszközök és szolgáltatások értékesítése nettó eredményszemléletű bevételei</t>
  </si>
  <si>
    <t>03</t>
  </si>
  <si>
    <t>Tevékenység egyéb nettó eredményszemléletű bevételei</t>
  </si>
  <si>
    <t>I</t>
  </si>
  <si>
    <t>Tevékenység nettó eredményszemléletű bevétele (=01+02+03)</t>
  </si>
  <si>
    <t>Saját termelésű készletek állományváltozása</t>
  </si>
  <si>
    <t>Saját előállítású eszközök aktivált értéke</t>
  </si>
  <si>
    <t>II</t>
  </si>
  <si>
    <t>Aktivált saját teljesítmények értéke (=±04+05)</t>
  </si>
  <si>
    <t>Központi működési célú támogatások eredményszemléletű bevételei</t>
  </si>
  <si>
    <t>07</t>
  </si>
  <si>
    <t>Egyéb működési célú támogatások eredményszemléletű bevételei</t>
  </si>
  <si>
    <t>Felhalmozási célú támogatások eredményszemléletű bevételei</t>
  </si>
  <si>
    <t>09</t>
  </si>
  <si>
    <t>Különféle egyéb eredményszemléletű bevételek</t>
  </si>
  <si>
    <t>III</t>
  </si>
  <si>
    <t>Egyéb eredményszemléletű bevételek (=06+07+08+09)</t>
  </si>
  <si>
    <t>Anyagköltség</t>
  </si>
  <si>
    <t>Igénybe vett szolgáltatások értéke</t>
  </si>
  <si>
    <t>12</t>
  </si>
  <si>
    <t>Eladott áruk beszerzési értéke</t>
  </si>
  <si>
    <t xml:space="preserve">Eladott (közvetített) szolgáltatások értéke </t>
  </si>
  <si>
    <t>IV</t>
  </si>
  <si>
    <t>Anyagjellegű ráfordítások (=09+10+11+12)</t>
  </si>
  <si>
    <t>Bérköltség</t>
  </si>
  <si>
    <t>14</t>
  </si>
  <si>
    <t>Személyi jellegű egyéb kifizetések</t>
  </si>
  <si>
    <t>15</t>
  </si>
  <si>
    <t>Bérjárulékok</t>
  </si>
  <si>
    <t>V</t>
  </si>
  <si>
    <t>Személyi jellegű ráfordítások (=13+14+15)</t>
  </si>
  <si>
    <t>VI</t>
  </si>
  <si>
    <t>Értékcsökkenési leírás</t>
  </si>
  <si>
    <t>VII</t>
  </si>
  <si>
    <t>Egyéb ráfordítások</t>
  </si>
  <si>
    <t xml:space="preserve">A) </t>
  </si>
  <si>
    <t xml:space="preserve">TEVÉKENYSÉGEK EREDMÉNYE  (=I±II+III-IV-V-VI-VII) </t>
  </si>
  <si>
    <t>Kapott (járó) osztalék és részesedés</t>
  </si>
  <si>
    <t>17</t>
  </si>
  <si>
    <t>Kapott (járó) kamatok és kamatjellegű eredményszemléletű bevételek</t>
  </si>
  <si>
    <t>18</t>
  </si>
  <si>
    <t>Pénzügyi műveletek egyéb eredményszemléletű bevételei (&gt;=18a)</t>
  </si>
  <si>
    <t>18a</t>
  </si>
  <si>
    <t>- ebből: árfolyamnyereség</t>
  </si>
  <si>
    <t>VIII</t>
  </si>
  <si>
    <t>Pénzügyi műveletek eredményszemléletű bevételei (=16+17+18)</t>
  </si>
  <si>
    <t>19</t>
  </si>
  <si>
    <t>Fizetendő kamatok és kamatjellegű ráfordítások</t>
  </si>
  <si>
    <t>20</t>
  </si>
  <si>
    <t>Részesedések, értékpapírok, pénzeszközök értékvesztése</t>
  </si>
  <si>
    <t>Pénzügyi műveletek egyéb ráfordításai (&gt;=21a)</t>
  </si>
  <si>
    <t>21a</t>
  </si>
  <si>
    <t>- ebből: árfolyamveszteség</t>
  </si>
  <si>
    <t>IX</t>
  </si>
  <si>
    <t>Pénzügyi műveletek ráfordításai (=19+20+21)</t>
  </si>
  <si>
    <t xml:space="preserve">B) </t>
  </si>
  <si>
    <t>PÉNZÜGYI MŰVELETEK EREDMÉNYE (=VIII-IX)</t>
  </si>
  <si>
    <t xml:space="preserve">C) </t>
  </si>
  <si>
    <t>MÉRLEG SZERINTI EREDMÉNY (=±A±B)</t>
  </si>
  <si>
    <t>maradványkimutatás</t>
  </si>
  <si>
    <t>Összesen</t>
  </si>
  <si>
    <t>Alaptevékenység költségvetési bevételei</t>
  </si>
  <si>
    <t>Alaptevékenység költésgvetési kiadásai</t>
  </si>
  <si>
    <t>Alaptevékenység költségvetési egyenlege</t>
  </si>
  <si>
    <t>Alaptevékenység finanszírozási bevételei</t>
  </si>
  <si>
    <t>Alaptevékenység finanszírozási kiadásai</t>
  </si>
  <si>
    <t>Alaptevékenység finanszírozási egyenlege</t>
  </si>
  <si>
    <t>Alaptevékenység maradványa</t>
  </si>
  <si>
    <t>Vállalkozási tevékenység költségvetési bevételei</t>
  </si>
  <si>
    <t>Vállalkozási tevékenység költésgvetési kiadásai</t>
  </si>
  <si>
    <t>Vállalkozási tevékenység költségvetési egyenlege</t>
  </si>
  <si>
    <t>Vállalkozási tevékenység finanszírozási bevételei</t>
  </si>
  <si>
    <t>Vállalkozási tevékenység finanszírozási kiadásai</t>
  </si>
  <si>
    <t>Vállalkozási tevékenység finanszírozási egyenlege</t>
  </si>
  <si>
    <t>Vállalkozási tevékenység maradványa</t>
  </si>
  <si>
    <t>Összes maradvány</t>
  </si>
  <si>
    <t>Alaptevékenység kötelezettségvállalással terhelt maradványa</t>
  </si>
  <si>
    <t>Alaptevékenység szabad maradványa I.</t>
  </si>
  <si>
    <t>Vállalkozási tevékenységet terhelő befizetési kötelezettség</t>
  </si>
  <si>
    <t>Vállalkozási tevékenység felhasználható maradványa</t>
  </si>
  <si>
    <t>Teljesítés 2018.12.31. (Ft)</t>
  </si>
  <si>
    <t>6.4.</t>
  </si>
  <si>
    <t>játékok beszerzése</t>
  </si>
  <si>
    <t xml:space="preserve"> - egyéb szakmai szolgáltatás</t>
  </si>
  <si>
    <t>bútor (konyhaszekrény</t>
  </si>
  <si>
    <t xml:space="preserve"> - egyéb üzemeltetési anyag</t>
  </si>
  <si>
    <t xml:space="preserve"> - Bölcsőde padló javítás, karbantartás</t>
  </si>
  <si>
    <t>monitor 2db</t>
  </si>
  <si>
    <t>fözőüst 200 l (1. részszla )</t>
  </si>
  <si>
    <t>szék 4 db, vasalódeszka</t>
  </si>
  <si>
    <t xml:space="preserve"> - szemétszállítás;távfelügyelet;tűzoltó kész ell;</t>
  </si>
  <si>
    <t xml:space="preserve">bútor </t>
  </si>
  <si>
    <t xml:space="preserve"> - tandíj visszafizetés</t>
  </si>
  <si>
    <t>tűzfal beszerzés</t>
  </si>
  <si>
    <t>2.5.</t>
  </si>
  <si>
    <t xml:space="preserve"> - "Népi építészeti Program" tájház felújítása támogatás</t>
  </si>
  <si>
    <t>0940811. Befektetett pénzügyi eszközökből származó bevételek</t>
  </si>
  <si>
    <t xml:space="preserve">0981231. Befektetési célú belföldi értékpapírok beváltása, értékesítése  </t>
  </si>
  <si>
    <t xml:space="preserve"> - Közvilágítási lámpatesetk bővítése (Arany; Ybl)</t>
  </si>
  <si>
    <t xml:space="preserve"> - egyéb (telefon, chip olvasó, pórszívó)</t>
  </si>
  <si>
    <t>05731. Egyéb tárgyi eszközök felújítása  (I. Vh emlékmű)</t>
  </si>
  <si>
    <t>0591221 Befektetési célú belföldi értékpapírok vásárlása</t>
  </si>
  <si>
    <t xml:space="preserve">B8123. Befektetési célú belföldi értékpapírok beváltása, értékesítése  </t>
  </si>
  <si>
    <t>Teljesítés (Ft) 2018.12.31.</t>
  </si>
  <si>
    <t>115/3/I/</t>
  </si>
  <si>
    <t>115/EK/8</t>
  </si>
  <si>
    <t>Téli rezsicsökkentéssel kapcsolatos támogatás</t>
  </si>
  <si>
    <t>116/3/III/3/1</t>
  </si>
  <si>
    <t>116/3/III/3/2</t>
  </si>
  <si>
    <t>Lemondás miatt keletkezett tartozás</t>
  </si>
  <si>
    <t>Teljesítés 2018.12.31 (Ft)</t>
  </si>
  <si>
    <t>2018. év</t>
  </si>
  <si>
    <t>Az Önkormányzat 2018.12.31-én hitelállománnyal nem rendelkezik.</t>
  </si>
  <si>
    <t>2018.01.01.     Nyitó pénzkészlet</t>
  </si>
  <si>
    <t>Záró pénzkészlet  ( 2018.12.31.)</t>
  </si>
  <si>
    <t>Tartós hitelviszonyt megtestesítő értékpapírok (államkötvény)</t>
  </si>
  <si>
    <t>Kötelezettségek alakulása</t>
  </si>
  <si>
    <t>2018.12.31. könyvszerinti érték (Ft)</t>
  </si>
  <si>
    <t>Teljesítés 2018.12.31.</t>
  </si>
  <si>
    <t>Ózon ballonhűtő beszerzés</t>
  </si>
  <si>
    <t xml:space="preserve">Belterületi utak szilárd burk. (Arany) </t>
  </si>
  <si>
    <t xml:space="preserve">Belterületi utak szilárd burk. (Dózsa,Petőfi) </t>
  </si>
  <si>
    <t xml:space="preserve">Szennyvíztelep felújítás </t>
  </si>
  <si>
    <t>2018.12.31.-ig</t>
  </si>
  <si>
    <t xml:space="preserve"> -  magánszemélyek kommunális adója (167 db)</t>
  </si>
  <si>
    <t xml:space="preserve"> - építményadó (1 db)</t>
  </si>
  <si>
    <t xml:space="preserve"> - telekadó (22 db)</t>
  </si>
  <si>
    <t xml:space="preserve"> - iparűzési adó (79 db)</t>
  </si>
  <si>
    <t>Elözői időszak</t>
  </si>
  <si>
    <t>A/III/2 Tartós hitelviszonyt megtestesítő értékpapírok (államkötvények)</t>
  </si>
  <si>
    <t>D/III/4 Forgótőke elszámolása</t>
  </si>
  <si>
    <t>E/II/1 Kapott előleghez kapcsolódó fizetendő általános forgalmi adó</t>
  </si>
  <si>
    <t>Képzőművészeti alkotások (131132 fkv)</t>
  </si>
  <si>
    <t>Taksony Nagyközség Önkormányzat 2018. évi jóváhagyott  álláshelyek száma</t>
  </si>
  <si>
    <t>Működéscélú költségvetési támogatások és kiegészítő támogatások B115</t>
  </si>
  <si>
    <t xml:space="preserve"> - PM_ONKORMUT_2016/58  támogatás  (Dózsa, Petőfi)</t>
  </si>
  <si>
    <t xml:space="preserve"> - KEHOP-2.2.2-15-2015 projekt (Dvarsány szennyvíztisztító)</t>
  </si>
  <si>
    <t xml:space="preserve"> - PM_CSAPVIZGAZD_2017/34  támogatás (Fő u. Szent István tér)</t>
  </si>
  <si>
    <t xml:space="preserve">09814. Államháztartáson belüli megelőlegezések  </t>
  </si>
  <si>
    <t xml:space="preserve">B814. Államháztartáson belüli megelőlegezések  </t>
  </si>
  <si>
    <t xml:space="preserve">05914. Államháztartáson belüli megelőlegezések visszafizetése előirányzata </t>
  </si>
  <si>
    <t xml:space="preserve"> - egyéb üzemeltetési anyagok ( építési anyagok;zászló; külkapcs)</t>
  </si>
  <si>
    <t>K91221 Befektetési célú belföldi értékpapírok vásárlása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</si>
</sst>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F_t_-;\-* #,##0\ _F_t_-;_-* &quot;-&quot;\ _F_t_-;_-@_-"/>
    <numFmt numFmtId="43" formatCode="_-* #,##0.00\ _F_t_-;\-* #,##0.00\ _F_t_-;_-* &quot;-&quot;??\ _F_t_-;_-@_-"/>
    <numFmt numFmtId="164" formatCode="#,##0.0"/>
    <numFmt numFmtId="165" formatCode="_-* #,##0\ _F_t_-;\-* #,##0\ _F_t_-;_-* &quot;-&quot;??\ _F_t_-;_-@_-"/>
    <numFmt numFmtId="166" formatCode="yyyy/mm/dd;@"/>
    <numFmt numFmtId="167" formatCode="#,##0_ ;\-#,##0\ "/>
    <numFmt numFmtId="168" formatCode="_-* #,##0.00000\ _F_t_-;\-* #,##0.00000\ _F_t_-;_-* &quot;-&quot;??\ _F_t_-;_-@_-"/>
  </numFmts>
  <fonts count="6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11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indexed="81"/>
      <name val="Segoe UI"/>
      <family val="2"/>
      <charset val="238"/>
    </font>
    <font>
      <sz val="11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5" tint="-0.499984740745262"/>
      <name val="Times New Roman"/>
      <family val="1"/>
      <charset val="238"/>
    </font>
    <font>
      <sz val="10"/>
      <color theme="5" tint="-0.499984740745262"/>
      <name val="Times New Roman CE"/>
      <charset val="238"/>
    </font>
    <font>
      <sz val="10"/>
      <color theme="5" tint="-0.499984740745262"/>
      <name val="Times New Roman"/>
      <family val="1"/>
      <charset val="238"/>
    </font>
    <font>
      <sz val="10"/>
      <color theme="5" tint="-0.499984740745262"/>
      <name val="Times New Roman CE"/>
      <family val="1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indexed="81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15" fillId="0" borderId="0"/>
    <xf numFmtId="0" fontId="16" fillId="0" borderId="0"/>
    <xf numFmtId="0" fontId="10" fillId="0" borderId="0"/>
    <xf numFmtId="0" fontId="26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4" fillId="0" borderId="0"/>
    <xf numFmtId="0" fontId="14" fillId="0" borderId="0"/>
    <xf numFmtId="0" fontId="16" fillId="0" borderId="0"/>
  </cellStyleXfs>
  <cellXfs count="9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 applyAlignment="1">
      <alignment wrapText="1"/>
    </xf>
    <xf numFmtId="0" fontId="0" fillId="0" borderId="1" xfId="0" quotePrefix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7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wrapText="1"/>
    </xf>
    <xf numFmtId="0" fontId="1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38" xfId="1" applyNumberFormat="1" applyFont="1" applyBorder="1" applyAlignment="1">
      <alignment horizontal="right" vertical="center" wrapText="1"/>
    </xf>
    <xf numFmtId="0" fontId="12" fillId="0" borderId="37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right" vertical="center" wrapText="1"/>
    </xf>
    <xf numFmtId="3" fontId="13" fillId="0" borderId="38" xfId="1" applyNumberFormat="1" applyFont="1" applyBorder="1" applyAlignment="1">
      <alignment horizontal="right" vertical="center" wrapText="1"/>
    </xf>
    <xf numFmtId="0" fontId="13" fillId="0" borderId="37" xfId="1" applyFont="1" applyBorder="1"/>
    <xf numFmtId="0" fontId="12" fillId="0" borderId="37" xfId="1" applyFont="1" applyBorder="1"/>
    <xf numFmtId="0" fontId="13" fillId="0" borderId="39" xfId="1" applyFont="1" applyFill="1" applyBorder="1"/>
    <xf numFmtId="0" fontId="12" fillId="0" borderId="40" xfId="1" applyFont="1" applyFill="1" applyBorder="1" applyAlignment="1">
      <alignment horizontal="center"/>
    </xf>
    <xf numFmtId="49" fontId="13" fillId="0" borderId="4" xfId="1" applyNumberFormat="1" applyFont="1" applyBorder="1" applyAlignment="1">
      <alignment horizontal="left" vertical="center"/>
    </xf>
    <xf numFmtId="0" fontId="17" fillId="0" borderId="1" xfId="5" applyFont="1" applyBorder="1" applyAlignment="1"/>
    <xf numFmtId="49" fontId="13" fillId="0" borderId="4" xfId="1" applyNumberFormat="1" applyFont="1" applyBorder="1" applyAlignment="1">
      <alignment horizontal="center" vertical="center"/>
    </xf>
    <xf numFmtId="49" fontId="14" fillId="0" borderId="4" xfId="1" applyNumberFormat="1" applyFont="1" applyBorder="1"/>
    <xf numFmtId="49" fontId="13" fillId="0" borderId="4" xfId="1" applyNumberFormat="1" applyFont="1" applyBorder="1"/>
    <xf numFmtId="3" fontId="13" fillId="0" borderId="1" xfId="1" applyNumberFormat="1" applyFont="1" applyFill="1" applyBorder="1" applyAlignment="1">
      <alignment horizontal="right" vertical="center" wrapText="1"/>
    </xf>
    <xf numFmtId="3" fontId="13" fillId="0" borderId="38" xfId="1" applyNumberFormat="1" applyFont="1" applyFill="1" applyBorder="1" applyAlignment="1">
      <alignment horizontal="right" vertical="center" wrapText="1"/>
    </xf>
    <xf numFmtId="49" fontId="12" fillId="0" borderId="4" xfId="1" applyNumberFormat="1" applyFont="1" applyBorder="1"/>
    <xf numFmtId="49" fontId="13" fillId="0" borderId="42" xfId="1" applyNumberFormat="1" applyFont="1" applyFill="1" applyBorder="1"/>
    <xf numFmtId="3" fontId="12" fillId="0" borderId="40" xfId="1" applyNumberFormat="1" applyFont="1" applyFill="1" applyBorder="1"/>
    <xf numFmtId="3" fontId="12" fillId="0" borderId="41" xfId="1" applyNumberFormat="1" applyFont="1" applyFill="1" applyBorder="1"/>
    <xf numFmtId="0" fontId="17" fillId="0" borderId="1" xfId="5" applyFont="1" applyBorder="1" applyAlignment="1">
      <alignment horizontal="center"/>
    </xf>
    <xf numFmtId="0" fontId="17" fillId="0" borderId="0" xfId="5" applyFont="1" applyBorder="1"/>
    <xf numFmtId="3" fontId="18" fillId="0" borderId="0" xfId="5" applyNumberFormat="1" applyFont="1" applyBorder="1" applyAlignment="1">
      <alignment horizontal="right"/>
    </xf>
    <xf numFmtId="0" fontId="17" fillId="0" borderId="0" xfId="5" applyFont="1"/>
    <xf numFmtId="0" fontId="20" fillId="0" borderId="0" xfId="5" applyFont="1" applyBorder="1" applyAlignment="1">
      <alignment horizontal="center" vertical="top" wrapText="1"/>
    </xf>
    <xf numFmtId="0" fontId="20" fillId="0" borderId="0" xfId="5" applyFont="1"/>
    <xf numFmtId="0" fontId="21" fillId="0" borderId="0" xfId="4" applyFont="1" applyAlignment="1">
      <alignment vertical="center" wrapText="1"/>
    </xf>
    <xf numFmtId="0" fontId="18" fillId="0" borderId="0" xfId="4" applyFont="1" applyAlignment="1">
      <alignment vertical="center" wrapText="1"/>
    </xf>
    <xf numFmtId="3" fontId="13" fillId="0" borderId="6" xfId="1" applyNumberFormat="1" applyFont="1" applyBorder="1"/>
    <xf numFmtId="0" fontId="13" fillId="0" borderId="0" xfId="1" applyFont="1"/>
    <xf numFmtId="0" fontId="13" fillId="0" borderId="52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 indent="1"/>
    </xf>
    <xf numFmtId="164" fontId="13" fillId="0" borderId="1" xfId="1" applyNumberFormat="1" applyFont="1" applyBorder="1" applyAlignment="1">
      <alignment horizontal="right" vertical="center" indent="1"/>
    </xf>
    <xf numFmtId="0" fontId="13" fillId="0" borderId="0" xfId="1" applyFont="1" applyAlignment="1">
      <alignment vertical="center"/>
    </xf>
    <xf numFmtId="0" fontId="23" fillId="0" borderId="52" xfId="1" applyFont="1" applyBorder="1" applyAlignment="1">
      <alignment horizontal="left"/>
    </xf>
    <xf numFmtId="0" fontId="23" fillId="0" borderId="4" xfId="1" applyFont="1" applyBorder="1" applyAlignment="1">
      <alignment horizontal="center"/>
    </xf>
    <xf numFmtId="164" fontId="23" fillId="0" borderId="1" xfId="1" applyNumberFormat="1" applyFont="1" applyBorder="1" applyAlignment="1">
      <alignment horizontal="right" vertical="center" indent="1"/>
    </xf>
    <xf numFmtId="3" fontId="23" fillId="0" borderId="38" xfId="1" applyNumberFormat="1" applyFont="1" applyBorder="1" applyAlignment="1">
      <alignment vertical="center"/>
    </xf>
    <xf numFmtId="0" fontId="23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right" vertical="center" indent="1"/>
    </xf>
    <xf numFmtId="0" fontId="24" fillId="0" borderId="52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/>
    </xf>
    <xf numFmtId="164" fontId="24" fillId="0" borderId="1" xfId="1" applyNumberFormat="1" applyFont="1" applyBorder="1" applyAlignment="1">
      <alignment horizontal="right" vertical="center" indent="1"/>
    </xf>
    <xf numFmtId="0" fontId="24" fillId="0" borderId="0" xfId="1" applyFont="1" applyAlignment="1">
      <alignment vertical="center"/>
    </xf>
    <xf numFmtId="164" fontId="13" fillId="0" borderId="1" xfId="1" applyNumberFormat="1" applyFont="1" applyBorder="1" applyAlignment="1">
      <alignment horizontal="right" indent="1"/>
    </xf>
    <xf numFmtId="0" fontId="12" fillId="0" borderId="4" xfId="1" applyFont="1" applyBorder="1" applyAlignment="1">
      <alignment horizontal="center"/>
    </xf>
    <xf numFmtId="0" fontId="13" fillId="0" borderId="4" xfId="1" applyFont="1" applyBorder="1" applyAlignment="1">
      <alignment horizontal="left"/>
    </xf>
    <xf numFmtId="0" fontId="13" fillId="0" borderId="4" xfId="1" applyFont="1" applyBorder="1" applyAlignment="1"/>
    <xf numFmtId="0" fontId="25" fillId="0" borderId="4" xfId="1" applyFont="1" applyBorder="1" applyAlignment="1">
      <alignment vertical="center"/>
    </xf>
    <xf numFmtId="0" fontId="23" fillId="0" borderId="52" xfId="1" applyFont="1" applyBorder="1" applyAlignment="1">
      <alignment vertical="center"/>
    </xf>
    <xf numFmtId="0" fontId="24" fillId="0" borderId="47" xfId="1" applyFont="1" applyBorder="1" applyAlignment="1">
      <alignment vertical="center"/>
    </xf>
    <xf numFmtId="0" fontId="13" fillId="0" borderId="42" xfId="1" applyFont="1" applyBorder="1" applyAlignment="1">
      <alignment horizontal="left" vertical="center"/>
    </xf>
    <xf numFmtId="164" fontId="24" fillId="0" borderId="40" xfId="1" applyNumberFormat="1" applyFont="1" applyBorder="1" applyAlignment="1">
      <alignment horizontal="right" vertical="center" indent="1"/>
    </xf>
    <xf numFmtId="3" fontId="24" fillId="0" borderId="41" xfId="1" applyNumberFormat="1" applyFont="1" applyBorder="1" applyAlignment="1">
      <alignment vertical="center"/>
    </xf>
    <xf numFmtId="0" fontId="24" fillId="0" borderId="0" xfId="1" applyFont="1" applyBorder="1" applyAlignment="1">
      <alignment horizontal="left" vertical="center"/>
    </xf>
    <xf numFmtId="3" fontId="24" fillId="0" borderId="0" xfId="1" applyNumberFormat="1" applyFont="1" applyBorder="1" applyAlignment="1">
      <alignment vertical="center"/>
    </xf>
    <xf numFmtId="0" fontId="17" fillId="0" borderId="0" xfId="5" applyFont="1" applyBorder="1" applyAlignment="1">
      <alignment horizontal="center"/>
    </xf>
    <xf numFmtId="3" fontId="17" fillId="0" borderId="0" xfId="5" applyNumberFormat="1" applyFont="1" applyBorder="1"/>
    <xf numFmtId="164" fontId="13" fillId="0" borderId="1" xfId="1" applyNumberFormat="1" applyFont="1" applyFill="1" applyBorder="1" applyAlignment="1">
      <alignment horizontal="right" vertical="center" indent="1"/>
    </xf>
    <xf numFmtId="0" fontId="10" fillId="0" borderId="0" xfId="1" applyBorder="1"/>
    <xf numFmtId="3" fontId="10" fillId="0" borderId="0" xfId="1" applyNumberFormat="1"/>
    <xf numFmtId="0" fontId="10" fillId="0" borderId="0" xfId="1" applyFont="1" applyBorder="1"/>
    <xf numFmtId="3" fontId="10" fillId="0" borderId="0" xfId="1" applyNumberFormat="1" applyFont="1" applyBorder="1"/>
    <xf numFmtId="0" fontId="10" fillId="0" borderId="0" xfId="1" applyFont="1"/>
    <xf numFmtId="3" fontId="10" fillId="0" borderId="0" xfId="5" applyNumberFormat="1" applyFont="1" applyBorder="1" applyAlignment="1">
      <alignment horizontal="right"/>
    </xf>
    <xf numFmtId="0" fontId="21" fillId="0" borderId="0" xfId="1" applyFont="1" applyAlignment="1">
      <alignment horizontal="center"/>
    </xf>
    <xf numFmtId="0" fontId="21" fillId="0" borderId="0" xfId="1" applyFont="1" applyAlignment="1"/>
    <xf numFmtId="0" fontId="20" fillId="0" borderId="0" xfId="1" applyFont="1"/>
    <xf numFmtId="3" fontId="20" fillId="0" borderId="0" xfId="1" applyNumberFormat="1" applyFont="1"/>
    <xf numFmtId="0" fontId="10" fillId="0" borderId="52" xfId="1" applyBorder="1"/>
    <xf numFmtId="0" fontId="17" fillId="0" borderId="52" xfId="4" applyNumberFormat="1" applyFont="1" applyBorder="1" applyAlignment="1">
      <alignment horizontal="left"/>
    </xf>
    <xf numFmtId="3" fontId="10" fillId="0" borderId="1" xfId="1" applyNumberFormat="1" applyBorder="1"/>
    <xf numFmtId="0" fontId="10" fillId="0" borderId="52" xfId="5" applyFont="1" applyBorder="1" applyAlignment="1"/>
    <xf numFmtId="3" fontId="10" fillId="0" borderId="52" xfId="4" applyNumberFormat="1" applyFont="1" applyBorder="1" applyAlignment="1"/>
    <xf numFmtId="0" fontId="10" fillId="0" borderId="52" xfId="4" applyNumberFormat="1" applyFont="1" applyBorder="1" applyAlignment="1">
      <alignment horizontal="left"/>
    </xf>
    <xf numFmtId="0" fontId="10" fillId="0" borderId="52" xfId="5" applyFont="1" applyBorder="1" applyAlignment="1">
      <alignment horizontal="left"/>
    </xf>
    <xf numFmtId="0" fontId="28" fillId="0" borderId="0" xfId="1" applyFont="1"/>
    <xf numFmtId="3" fontId="29" fillId="0" borderId="1" xfId="1" applyNumberFormat="1" applyFont="1" applyBorder="1"/>
    <xf numFmtId="0" fontId="27" fillId="0" borderId="0" xfId="1" applyFont="1"/>
    <xf numFmtId="0" fontId="27" fillId="0" borderId="47" xfId="1" applyFont="1" applyBorder="1" applyAlignment="1">
      <alignment horizontal="center"/>
    </xf>
    <xf numFmtId="0" fontId="10" fillId="0" borderId="47" xfId="1" applyFont="1" applyFill="1" applyBorder="1"/>
    <xf numFmtId="0" fontId="20" fillId="0" borderId="0" xfId="1" applyFont="1" applyFill="1"/>
    <xf numFmtId="3" fontId="20" fillId="0" borderId="0" xfId="1" applyNumberFormat="1" applyFont="1" applyFill="1"/>
    <xf numFmtId="0" fontId="10" fillId="0" borderId="43" xfId="1" applyBorder="1"/>
    <xf numFmtId="0" fontId="21" fillId="0" borderId="0" xfId="1" applyFont="1" applyBorder="1"/>
    <xf numFmtId="0" fontId="21" fillId="0" borderId="0" xfId="1" applyFont="1"/>
    <xf numFmtId="3" fontId="10" fillId="0" borderId="0" xfId="4" applyNumberFormat="1" applyFont="1" applyBorder="1" applyAlignment="1"/>
    <xf numFmtId="3" fontId="3" fillId="2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31" fillId="2" borderId="1" xfId="0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vertical="center" wrapText="1"/>
    </xf>
    <xf numFmtId="3" fontId="31" fillId="0" borderId="1" xfId="0" applyNumberFormat="1" applyFont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10" fillId="0" borderId="0" xfId="1"/>
    <xf numFmtId="0" fontId="12" fillId="0" borderId="1" xfId="1" applyFont="1" applyBorder="1"/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3" fillId="0" borderId="6" xfId="1" applyFont="1" applyBorder="1"/>
    <xf numFmtId="3" fontId="10" fillId="0" borderId="36" xfId="1" applyNumberForma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3" fontId="10" fillId="0" borderId="4" xfId="4" applyNumberFormat="1" applyFont="1" applyFill="1" applyBorder="1" applyAlignment="1"/>
    <xf numFmtId="3" fontId="10" fillId="0" borderId="4" xfId="1" applyNumberFormat="1" applyFill="1" applyBorder="1"/>
    <xf numFmtId="0" fontId="21" fillId="0" borderId="0" xfId="1" applyFont="1" applyFill="1" applyAlignment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12" fillId="0" borderId="1" xfId="1" applyNumberFormat="1" applyFont="1" applyFill="1" applyBorder="1" applyAlignment="1">
      <alignment horizontal="right" vertical="center" indent="1"/>
    </xf>
    <xf numFmtId="0" fontId="17" fillId="0" borderId="1" xfId="5" applyFont="1" applyFill="1" applyBorder="1" applyAlignment="1"/>
    <xf numFmtId="0" fontId="25" fillId="0" borderId="4" xfId="1" applyFont="1" applyBorder="1" applyAlignment="1">
      <alignment horizontal="left"/>
    </xf>
    <xf numFmtId="0" fontId="2" fillId="8" borderId="1" xfId="0" applyFont="1" applyFill="1" applyBorder="1" applyAlignment="1">
      <alignment horizontal="left" vertical="center" wrapText="1"/>
    </xf>
    <xf numFmtId="3" fontId="2" fillId="8" borderId="1" xfId="0" applyNumberFormat="1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3" fontId="2" fillId="9" borderId="1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/>
    </xf>
    <xf numFmtId="3" fontId="2" fillId="8" borderId="1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3" fontId="30" fillId="10" borderId="1" xfId="0" applyNumberFormat="1" applyFont="1" applyFill="1" applyBorder="1" applyAlignment="1">
      <alignment vertical="center"/>
    </xf>
    <xf numFmtId="3" fontId="32" fillId="10" borderId="1" xfId="0" applyNumberFormat="1" applyFont="1" applyFill="1" applyBorder="1" applyAlignment="1">
      <alignment vertical="center"/>
    </xf>
    <xf numFmtId="165" fontId="3" fillId="0" borderId="0" xfId="9" applyNumberFormat="1" applyFont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9" fontId="13" fillId="7" borderId="4" xfId="1" applyNumberFormat="1" applyFont="1" applyFill="1" applyBorder="1" applyAlignment="1">
      <alignment horizontal="center" vertical="center"/>
    </xf>
    <xf numFmtId="0" fontId="17" fillId="7" borderId="1" xfId="5" applyFont="1" applyFill="1" applyBorder="1" applyAlignment="1"/>
    <xf numFmtId="3" fontId="13" fillId="7" borderId="1" xfId="1" applyNumberFormat="1" applyFont="1" applyFill="1" applyBorder="1" applyAlignment="1">
      <alignment horizontal="right" vertical="center" wrapText="1"/>
    </xf>
    <xf numFmtId="3" fontId="13" fillId="7" borderId="38" xfId="1" applyNumberFormat="1" applyFont="1" applyFill="1" applyBorder="1" applyAlignment="1">
      <alignment horizontal="right" vertical="center" wrapText="1"/>
    </xf>
    <xf numFmtId="49" fontId="13" fillId="7" borderId="4" xfId="1" applyNumberFormat="1" applyFont="1" applyFill="1" applyBorder="1"/>
    <xf numFmtId="0" fontId="13" fillId="7" borderId="1" xfId="1" applyFont="1" applyFill="1" applyBorder="1"/>
    <xf numFmtId="0" fontId="12" fillId="7" borderId="37" xfId="1" applyFont="1" applyFill="1" applyBorder="1" applyAlignment="1">
      <alignment horizontal="center" vertical="center"/>
    </xf>
    <xf numFmtId="0" fontId="13" fillId="7" borderId="37" xfId="1" applyFont="1" applyFill="1" applyBorder="1"/>
    <xf numFmtId="49" fontId="13" fillId="10" borderId="42" xfId="1" applyNumberFormat="1" applyFont="1" applyFill="1" applyBorder="1"/>
    <xf numFmtId="0" fontId="12" fillId="10" borderId="40" xfId="1" applyFont="1" applyFill="1" applyBorder="1" applyAlignment="1">
      <alignment horizontal="center"/>
    </xf>
    <xf numFmtId="3" fontId="12" fillId="10" borderId="40" xfId="1" applyNumberFormat="1" applyFont="1" applyFill="1" applyBorder="1"/>
    <xf numFmtId="0" fontId="13" fillId="10" borderId="39" xfId="1" applyFont="1" applyFill="1" applyBorder="1"/>
    <xf numFmtId="3" fontId="28" fillId="0" borderId="1" xfId="1" applyNumberFormat="1" applyFont="1" applyBorder="1" applyAlignment="1"/>
    <xf numFmtId="0" fontId="10" fillId="0" borderId="47" xfId="1" applyBorder="1"/>
    <xf numFmtId="0" fontId="10" fillId="0" borderId="43" xfId="4" applyNumberFormat="1" applyFont="1" applyBorder="1" applyAlignment="1">
      <alignment horizontal="left"/>
    </xf>
    <xf numFmtId="3" fontId="10" fillId="0" borderId="1" xfId="5" applyNumberFormat="1" applyFont="1" applyFill="1" applyBorder="1" applyAlignment="1"/>
    <xf numFmtId="3" fontId="10" fillId="0" borderId="1" xfId="4" applyNumberFormat="1" applyFont="1" applyFill="1" applyBorder="1" applyAlignment="1"/>
    <xf numFmtId="3" fontId="10" fillId="0" borderId="40" xfId="1" applyNumberFormat="1" applyFill="1" applyBorder="1"/>
    <xf numFmtId="3" fontId="27" fillId="0" borderId="40" xfId="1" applyNumberFormat="1" applyFont="1" applyBorder="1"/>
    <xf numFmtId="0" fontId="22" fillId="0" borderId="52" xfId="1" applyFont="1" applyBorder="1" applyAlignment="1">
      <alignment horizontal="center"/>
    </xf>
    <xf numFmtId="3" fontId="20" fillId="0" borderId="1" xfId="4" applyNumberFormat="1" applyFont="1" applyBorder="1" applyAlignment="1">
      <alignment vertical="center"/>
    </xf>
    <xf numFmtId="0" fontId="10" fillId="0" borderId="52" xfId="1" applyFont="1" applyBorder="1"/>
    <xf numFmtId="3" fontId="10" fillId="0" borderId="54" xfId="1" applyNumberFormat="1" applyFont="1" applyFill="1" applyBorder="1"/>
    <xf numFmtId="3" fontId="10" fillId="0" borderId="36" xfId="1" applyNumberFormat="1" applyFont="1" applyFill="1" applyBorder="1"/>
    <xf numFmtId="3" fontId="10" fillId="0" borderId="1" xfId="1" applyNumberFormat="1" applyFont="1" applyFill="1" applyBorder="1"/>
    <xf numFmtId="3" fontId="10" fillId="0" borderId="1" xfId="1" applyNumberFormat="1" applyFont="1" applyBorder="1"/>
    <xf numFmtId="3" fontId="20" fillId="0" borderId="4" xfId="4" applyNumberFormat="1" applyFont="1" applyFill="1" applyBorder="1" applyAlignment="1">
      <alignment vertical="center"/>
    </xf>
    <xf numFmtId="3" fontId="10" fillId="0" borderId="1" xfId="1" applyNumberFormat="1" applyFont="1" applyBorder="1" applyAlignment="1">
      <alignment vertical="center"/>
    </xf>
    <xf numFmtId="0" fontId="29" fillId="0" borderId="52" xfId="1" applyFont="1" applyBorder="1" applyAlignment="1">
      <alignment horizontal="center"/>
    </xf>
    <xf numFmtId="3" fontId="29" fillId="0" borderId="4" xfId="1" applyNumberFormat="1" applyFont="1" applyFill="1" applyBorder="1" applyAlignment="1"/>
    <xf numFmtId="3" fontId="29" fillId="0" borderId="1" xfId="1" applyNumberFormat="1" applyFont="1" applyBorder="1" applyAlignment="1"/>
    <xf numFmtId="3" fontId="29" fillId="0" borderId="1" xfId="1" applyNumberFormat="1" applyFont="1" applyFill="1" applyBorder="1" applyAlignment="1"/>
    <xf numFmtId="0" fontId="22" fillId="6" borderId="0" xfId="1" applyFont="1" applyFill="1" applyAlignment="1">
      <alignment vertical="center"/>
    </xf>
    <xf numFmtId="3" fontId="22" fillId="6" borderId="0" xfId="1" applyNumberFormat="1" applyFont="1" applyFill="1" applyAlignment="1">
      <alignment vertical="center"/>
    </xf>
    <xf numFmtId="0" fontId="10" fillId="7" borderId="47" xfId="1" applyFont="1" applyFill="1" applyBorder="1"/>
    <xf numFmtId="3" fontId="10" fillId="7" borderId="42" xfId="1" applyNumberFormat="1" applyFont="1" applyFill="1" applyBorder="1"/>
    <xf numFmtId="0" fontId="10" fillId="7" borderId="57" xfId="1" applyFont="1" applyFill="1" applyBorder="1"/>
    <xf numFmtId="3" fontId="10" fillId="7" borderId="40" xfId="1" applyNumberFormat="1" applyFont="1" applyFill="1" applyBorder="1"/>
    <xf numFmtId="0" fontId="22" fillId="10" borderId="47" xfId="1" applyFont="1" applyFill="1" applyBorder="1" applyAlignment="1">
      <alignment horizontal="left"/>
    </xf>
    <xf numFmtId="3" fontId="22" fillId="10" borderId="40" xfId="1" applyNumberFormat="1" applyFont="1" applyFill="1" applyBorder="1"/>
    <xf numFmtId="3" fontId="30" fillId="8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30" fillId="0" borderId="1" xfId="0" applyNumberFormat="1" applyFont="1" applyFill="1" applyBorder="1" applyAlignment="1">
      <alignment vertical="center" wrapText="1"/>
    </xf>
    <xf numFmtId="3" fontId="30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30" fillId="0" borderId="1" xfId="0" applyNumberFormat="1" applyFont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165" fontId="7" fillId="0" borderId="0" xfId="9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4" fillId="0" borderId="0" xfId="0" applyFont="1" applyFill="1" applyBorder="1"/>
    <xf numFmtId="166" fontId="34" fillId="0" borderId="0" xfId="0" applyNumberFormat="1" applyFont="1" applyFill="1" applyBorder="1" applyAlignment="1">
      <alignment horizontal="center"/>
    </xf>
    <xf numFmtId="165" fontId="7" fillId="0" borderId="0" xfId="0" applyNumberFormat="1" applyFont="1" applyAlignment="1">
      <alignment vertical="center"/>
    </xf>
    <xf numFmtId="0" fontId="33" fillId="0" borderId="0" xfId="0" applyFont="1" applyBorder="1" applyAlignment="1"/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/>
    </xf>
    <xf numFmtId="3" fontId="2" fillId="11" borderId="1" xfId="0" applyNumberFormat="1" applyFont="1" applyFill="1" applyBorder="1" applyAlignment="1">
      <alignment vertical="center"/>
    </xf>
    <xf numFmtId="0" fontId="3" fillId="11" borderId="0" xfId="0" applyFont="1" applyFill="1" applyAlignment="1">
      <alignment vertical="center"/>
    </xf>
    <xf numFmtId="0" fontId="2" fillId="11" borderId="1" xfId="0" applyFont="1" applyFill="1" applyBorder="1" applyAlignment="1">
      <alignment horizontal="left" vertical="center"/>
    </xf>
    <xf numFmtId="3" fontId="30" fillId="11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165" fontId="7" fillId="0" borderId="1" xfId="9" applyNumberFormat="1" applyFont="1" applyFill="1" applyBorder="1" applyAlignment="1">
      <alignment vertical="center" wrapText="1"/>
    </xf>
    <xf numFmtId="3" fontId="10" fillId="0" borderId="1" xfId="1" applyNumberFormat="1" applyFill="1" applyBorder="1"/>
    <xf numFmtId="3" fontId="5" fillId="0" borderId="1" xfId="0" applyNumberFormat="1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3" fontId="30" fillId="11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0" xfId="9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3" fontId="3" fillId="0" borderId="0" xfId="9" applyNumberFormat="1" applyFont="1" applyAlignment="1">
      <alignment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3" fontId="2" fillId="0" borderId="63" xfId="9" applyNumberFormat="1" applyFont="1" applyBorder="1" applyAlignment="1">
      <alignment horizontal="center" vertical="center" wrapText="1"/>
    </xf>
    <xf numFmtId="3" fontId="2" fillId="0" borderId="64" xfId="9" applyNumberFormat="1" applyFont="1" applyBorder="1" applyAlignment="1">
      <alignment horizontal="center" vertical="center" wrapText="1"/>
    </xf>
    <xf numFmtId="0" fontId="2" fillId="0" borderId="65" xfId="0" applyFont="1" applyBorder="1" applyAlignment="1">
      <alignment vertical="center" wrapText="1"/>
    </xf>
    <xf numFmtId="3" fontId="2" fillId="0" borderId="65" xfId="9" applyNumberFormat="1" applyFont="1" applyBorder="1" applyAlignment="1">
      <alignment vertical="center" wrapText="1"/>
    </xf>
    <xf numFmtId="4" fontId="2" fillId="0" borderId="65" xfId="0" applyNumberFormat="1" applyFont="1" applyBorder="1" applyAlignment="1">
      <alignment vertical="center" wrapText="1"/>
    </xf>
    <xf numFmtId="0" fontId="3" fillId="0" borderId="66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 wrapText="1"/>
    </xf>
    <xf numFmtId="3" fontId="3" fillId="0" borderId="66" xfId="9" applyNumberFormat="1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 wrapText="1"/>
    </xf>
    <xf numFmtId="3" fontId="2" fillId="0" borderId="66" xfId="9" applyNumberFormat="1" applyFont="1" applyFill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6" xfId="0" applyFont="1" applyBorder="1" applyAlignment="1">
      <alignment vertical="center" wrapText="1"/>
    </xf>
    <xf numFmtId="3" fontId="2" fillId="0" borderId="66" xfId="9" applyNumberFormat="1" applyFont="1" applyBorder="1" applyAlignment="1">
      <alignment vertical="center"/>
    </xf>
    <xf numFmtId="0" fontId="3" fillId="0" borderId="66" xfId="0" applyFont="1" applyBorder="1"/>
    <xf numFmtId="0" fontId="3" fillId="0" borderId="66" xfId="0" applyFont="1" applyBorder="1" applyAlignment="1">
      <alignment vertical="center"/>
    </xf>
    <xf numFmtId="0" fontId="3" fillId="0" borderId="66" xfId="0" applyFont="1" applyBorder="1" applyAlignment="1">
      <alignment vertical="center" wrapText="1"/>
    </xf>
    <xf numFmtId="3" fontId="3" fillId="0" borderId="66" xfId="9" applyNumberFormat="1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6" xfId="0" applyFont="1" applyBorder="1" applyAlignment="1">
      <alignment vertical="center" wrapText="1"/>
    </xf>
    <xf numFmtId="3" fontId="4" fillId="0" borderId="66" xfId="9" applyNumberFormat="1" applyFont="1" applyBorder="1" applyAlignment="1">
      <alignment vertical="center"/>
    </xf>
    <xf numFmtId="0" fontId="2" fillId="7" borderId="66" xfId="0" applyFont="1" applyFill="1" applyBorder="1" applyAlignment="1">
      <alignment vertical="center" wrapText="1"/>
    </xf>
    <xf numFmtId="3" fontId="2" fillId="7" borderId="66" xfId="9" applyNumberFormat="1" applyFont="1" applyFill="1" applyBorder="1" applyAlignment="1">
      <alignment vertical="center" wrapText="1"/>
    </xf>
    <xf numFmtId="3" fontId="3" fillId="0" borderId="66" xfId="0" applyNumberFormat="1" applyFont="1" applyBorder="1" applyAlignment="1">
      <alignment vertical="center"/>
    </xf>
    <xf numFmtId="0" fontId="2" fillId="7" borderId="66" xfId="0" applyFont="1" applyFill="1" applyBorder="1"/>
    <xf numFmtId="0" fontId="2" fillId="7" borderId="66" xfId="0" applyFont="1" applyFill="1" applyBorder="1" applyAlignment="1">
      <alignment vertical="center"/>
    </xf>
    <xf numFmtId="3" fontId="2" fillId="7" borderId="66" xfId="9" applyNumberFormat="1" applyFont="1" applyFill="1" applyBorder="1" applyAlignment="1">
      <alignment vertical="center"/>
    </xf>
    <xf numFmtId="3" fontId="2" fillId="7" borderId="66" xfId="0" applyNumberFormat="1" applyFont="1" applyFill="1" applyBorder="1" applyAlignment="1">
      <alignment vertical="center"/>
    </xf>
    <xf numFmtId="0" fontId="2" fillId="10" borderId="66" xfId="0" applyFont="1" applyFill="1" applyBorder="1" applyAlignment="1">
      <alignment vertical="center"/>
    </xf>
    <xf numFmtId="0" fontId="2" fillId="10" borderId="66" xfId="0" applyFont="1" applyFill="1" applyBorder="1" applyAlignment="1">
      <alignment vertical="center" wrapText="1"/>
    </xf>
    <xf numFmtId="3" fontId="2" fillId="10" borderId="66" xfId="9" applyNumberFormat="1" applyFont="1" applyFill="1" applyBorder="1" applyAlignment="1">
      <alignment vertical="center"/>
    </xf>
    <xf numFmtId="0" fontId="41" fillId="12" borderId="67" xfId="0" applyFont="1" applyFill="1" applyBorder="1" applyAlignment="1">
      <alignment vertical="center"/>
    </xf>
    <xf numFmtId="0" fontId="41" fillId="12" borderId="67" xfId="0" applyFont="1" applyFill="1" applyBorder="1" applyAlignment="1">
      <alignment vertical="center" wrapText="1"/>
    </xf>
    <xf numFmtId="3" fontId="41" fillId="12" borderId="67" xfId="9" applyNumberFormat="1" applyFont="1" applyFill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3" fontId="3" fillId="0" borderId="68" xfId="9" applyNumberFormat="1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42" fillId="0" borderId="0" xfId="0" applyFont="1" applyAlignment="1">
      <alignment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65" xfId="0" applyFont="1" applyBorder="1" applyAlignment="1">
      <alignment vertical="center" wrapText="1"/>
    </xf>
    <xf numFmtId="0" fontId="42" fillId="0" borderId="66" xfId="0" applyFont="1" applyFill="1" applyBorder="1" applyAlignment="1">
      <alignment vertical="center" wrapText="1"/>
    </xf>
    <xf numFmtId="0" fontId="43" fillId="0" borderId="66" xfId="0" applyFont="1" applyFill="1" applyBorder="1" applyAlignment="1">
      <alignment vertical="center" wrapText="1"/>
    </xf>
    <xf numFmtId="0" fontId="43" fillId="0" borderId="66" xfId="0" applyFont="1" applyBorder="1" applyAlignment="1">
      <alignment vertical="center" wrapText="1"/>
    </xf>
    <xf numFmtId="0" fontId="42" fillId="0" borderId="66" xfId="0" applyFont="1" applyBorder="1" applyAlignment="1">
      <alignment vertical="center" wrapText="1"/>
    </xf>
    <xf numFmtId="0" fontId="44" fillId="0" borderId="66" xfId="0" applyFont="1" applyBorder="1" applyAlignment="1">
      <alignment vertical="center" wrapText="1"/>
    </xf>
    <xf numFmtId="0" fontId="43" fillId="7" borderId="66" xfId="0" applyFont="1" applyFill="1" applyBorder="1" applyAlignment="1">
      <alignment vertical="center" wrapText="1"/>
    </xf>
    <xf numFmtId="0" fontId="43" fillId="10" borderId="66" xfId="0" applyFont="1" applyFill="1" applyBorder="1" applyAlignment="1">
      <alignment vertical="center" wrapText="1"/>
    </xf>
    <xf numFmtId="0" fontId="45" fillId="12" borderId="67" xfId="0" applyFont="1" applyFill="1" applyBorder="1" applyAlignment="1">
      <alignment horizontal="center" vertical="center" wrapText="1"/>
    </xf>
    <xf numFmtId="0" fontId="42" fillId="0" borderId="68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3" fontId="2" fillId="11" borderId="1" xfId="0" applyNumberFormat="1" applyFont="1" applyFill="1" applyBorder="1" applyAlignment="1">
      <alignment horizontal="right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 wrapText="1"/>
    </xf>
    <xf numFmtId="165" fontId="2" fillId="11" borderId="1" xfId="9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3" fontId="30" fillId="1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1" xfId="1" applyFont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vertical="center" wrapText="1"/>
    </xf>
    <xf numFmtId="0" fontId="17" fillId="0" borderId="1" xfId="5" applyFont="1" applyBorder="1" applyAlignment="1">
      <alignment horizontal="left" vertical="center"/>
    </xf>
    <xf numFmtId="3" fontId="13" fillId="0" borderId="1" xfId="1" applyNumberFormat="1" applyFont="1" applyBorder="1" applyAlignment="1">
      <alignment horizontal="right" vertical="center"/>
    </xf>
    <xf numFmtId="165" fontId="10" fillId="0" borderId="0" xfId="1" applyNumberFormat="1"/>
    <xf numFmtId="165" fontId="10" fillId="0" borderId="0" xfId="9" applyNumberFormat="1" applyFont="1"/>
    <xf numFmtId="0" fontId="2" fillId="11" borderId="1" xfId="0" applyFont="1" applyFill="1" applyBorder="1" applyAlignment="1">
      <alignment vertical="center" wrapText="1"/>
    </xf>
    <xf numFmtId="9" fontId="2" fillId="3" borderId="1" xfId="1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8" fillId="0" borderId="66" xfId="0" applyFont="1" applyBorder="1" applyAlignment="1">
      <alignment wrapText="1"/>
    </xf>
    <xf numFmtId="3" fontId="0" fillId="0" borderId="66" xfId="2" applyNumberFormat="1" applyFont="1" applyBorder="1"/>
    <xf numFmtId="0" fontId="0" fillId="0" borderId="66" xfId="0" applyBorder="1"/>
    <xf numFmtId="165" fontId="0" fillId="0" borderId="0" xfId="9" applyNumberFormat="1" applyFont="1"/>
    <xf numFmtId="0" fontId="12" fillId="0" borderId="53" xfId="1" applyFont="1" applyBorder="1" applyAlignment="1">
      <alignment horizontal="center" vertical="center"/>
    </xf>
    <xf numFmtId="49" fontId="12" fillId="0" borderId="54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9" fontId="2" fillId="11" borderId="1" xfId="10" applyFont="1" applyFill="1" applyBorder="1" applyAlignment="1">
      <alignment vertical="center"/>
    </xf>
    <xf numFmtId="9" fontId="2" fillId="8" borderId="1" xfId="10" applyFont="1" applyFill="1" applyBorder="1" applyAlignment="1">
      <alignment vertical="center" wrapText="1"/>
    </xf>
    <xf numFmtId="9" fontId="3" fillId="0" borderId="1" xfId="10" applyFont="1" applyBorder="1" applyAlignment="1">
      <alignment vertical="center" wrapText="1"/>
    </xf>
    <xf numFmtId="9" fontId="3" fillId="2" borderId="1" xfId="10" applyFont="1" applyFill="1" applyBorder="1" applyAlignment="1">
      <alignment vertical="center" wrapText="1"/>
    </xf>
    <xf numFmtId="9" fontId="3" fillId="0" borderId="1" xfId="10" applyFont="1" applyFill="1" applyBorder="1" applyAlignment="1">
      <alignment vertical="center" wrapText="1"/>
    </xf>
    <xf numFmtId="9" fontId="2" fillId="0" borderId="1" xfId="10" applyFont="1" applyFill="1" applyBorder="1" applyAlignment="1">
      <alignment vertical="center" wrapText="1"/>
    </xf>
    <xf numFmtId="9" fontId="2" fillId="2" borderId="1" xfId="10" applyFont="1" applyFill="1" applyBorder="1" applyAlignment="1">
      <alignment vertical="center" wrapText="1"/>
    </xf>
    <xf numFmtId="9" fontId="3" fillId="2" borderId="1" xfId="10" applyFont="1" applyFill="1" applyBorder="1" applyAlignment="1">
      <alignment vertical="center"/>
    </xf>
    <xf numFmtId="9" fontId="3" fillId="0" borderId="1" xfId="10" applyFont="1" applyBorder="1" applyAlignment="1">
      <alignment vertical="center"/>
    </xf>
    <xf numFmtId="9" fontId="2" fillId="0" borderId="1" xfId="10" applyFont="1" applyBorder="1" applyAlignment="1">
      <alignment vertical="center"/>
    </xf>
    <xf numFmtId="9" fontId="3" fillId="4" borderId="1" xfId="10" applyFont="1" applyFill="1" applyBorder="1" applyAlignment="1">
      <alignment vertical="center"/>
    </xf>
    <xf numFmtId="9" fontId="32" fillId="10" borderId="1" xfId="10" applyFont="1" applyFill="1" applyBorder="1" applyAlignment="1">
      <alignment vertical="center"/>
    </xf>
    <xf numFmtId="9" fontId="3" fillId="0" borderId="0" xfId="10" applyFont="1" applyAlignment="1">
      <alignment vertical="center"/>
    </xf>
    <xf numFmtId="9" fontId="3" fillId="0" borderId="1" xfId="10" applyFont="1" applyFill="1" applyBorder="1" applyAlignment="1">
      <alignment vertical="center"/>
    </xf>
    <xf numFmtId="9" fontId="7" fillId="0" borderId="1" xfId="10" applyFont="1" applyFill="1" applyBorder="1" applyAlignment="1">
      <alignment vertical="center"/>
    </xf>
    <xf numFmtId="9" fontId="2" fillId="8" borderId="1" xfId="10" applyFont="1" applyFill="1" applyBorder="1" applyAlignment="1">
      <alignment vertical="center"/>
    </xf>
    <xf numFmtId="9" fontId="3" fillId="0" borderId="1" xfId="10" applyFont="1" applyBorder="1" applyAlignment="1">
      <alignment horizontal="center" vertical="center"/>
    </xf>
    <xf numFmtId="9" fontId="2" fillId="2" borderId="1" xfId="10" applyFont="1" applyFill="1" applyBorder="1" applyAlignment="1">
      <alignment horizontal="left" vertical="center" wrapText="1"/>
    </xf>
    <xf numFmtId="9" fontId="2" fillId="0" borderId="1" xfId="10" applyFont="1" applyBorder="1" applyAlignment="1">
      <alignment vertical="center" wrapText="1"/>
    </xf>
    <xf numFmtId="9" fontId="2" fillId="2" borderId="1" xfId="10" applyFont="1" applyFill="1" applyBorder="1" applyAlignment="1">
      <alignment vertical="center"/>
    </xf>
    <xf numFmtId="9" fontId="2" fillId="9" borderId="1" xfId="10" applyFont="1" applyFill="1" applyBorder="1" applyAlignment="1">
      <alignment vertical="center"/>
    </xf>
    <xf numFmtId="9" fontId="5" fillId="0" borderId="1" xfId="10" applyFont="1" applyBorder="1" applyAlignment="1">
      <alignment vertical="center" wrapText="1"/>
    </xf>
    <xf numFmtId="9" fontId="30" fillId="0" borderId="1" xfId="10" applyFont="1" applyFill="1" applyBorder="1" applyAlignment="1">
      <alignment vertical="center"/>
    </xf>
    <xf numFmtId="9" fontId="2" fillId="0" borderId="1" xfId="10" applyFont="1" applyFill="1" applyBorder="1" applyAlignment="1">
      <alignment vertical="center"/>
    </xf>
    <xf numFmtId="0" fontId="18" fillId="0" borderId="0" xfId="5" applyFont="1" applyBorder="1" applyAlignment="1">
      <alignment wrapText="1"/>
    </xf>
    <xf numFmtId="3" fontId="3" fillId="0" borderId="0" xfId="0" applyNumberFormat="1" applyFont="1" applyBorder="1" applyAlignment="1">
      <alignment vertical="center"/>
    </xf>
    <xf numFmtId="9" fontId="30" fillId="10" borderId="1" xfId="10" applyFont="1" applyFill="1" applyBorder="1" applyAlignment="1">
      <alignment vertical="center"/>
    </xf>
    <xf numFmtId="9" fontId="7" fillId="0" borderId="1" xfId="10" applyFont="1" applyFill="1" applyBorder="1" applyAlignment="1">
      <alignment vertical="center" wrapText="1"/>
    </xf>
    <xf numFmtId="9" fontId="2" fillId="11" borderId="1" xfId="10" applyFont="1" applyFill="1" applyBorder="1" applyAlignment="1">
      <alignment horizontal="right" vertical="center" wrapText="1"/>
    </xf>
    <xf numFmtId="9" fontId="2" fillId="8" borderId="1" xfId="10" applyFont="1" applyFill="1" applyBorder="1" applyAlignment="1">
      <alignment horizontal="right" vertical="center" wrapText="1"/>
    </xf>
    <xf numFmtId="9" fontId="3" fillId="0" borderId="1" xfId="10" applyFont="1" applyFill="1" applyBorder="1" applyAlignment="1">
      <alignment horizontal="right" vertical="center"/>
    </xf>
    <xf numFmtId="9" fontId="3" fillId="0" borderId="1" xfId="10" applyFont="1" applyBorder="1" applyAlignment="1">
      <alignment horizontal="right" vertical="center"/>
    </xf>
    <xf numFmtId="9" fontId="3" fillId="0" borderId="1" xfId="10" applyFont="1" applyBorder="1" applyAlignment="1">
      <alignment horizontal="right" vertical="center" wrapText="1"/>
    </xf>
    <xf numFmtId="9" fontId="3" fillId="0" borderId="6" xfId="10" applyFont="1" applyBorder="1" applyAlignment="1">
      <alignment horizontal="right" vertical="center"/>
    </xf>
    <xf numFmtId="9" fontId="2" fillId="0" borderId="1" xfId="10" applyFont="1" applyBorder="1" applyAlignment="1">
      <alignment horizontal="right" vertical="center"/>
    </xf>
    <xf numFmtId="9" fontId="3" fillId="4" borderId="1" xfId="10" applyFont="1" applyFill="1" applyBorder="1" applyAlignment="1">
      <alignment horizontal="right" vertical="center"/>
    </xf>
    <xf numFmtId="9" fontId="3" fillId="0" borderId="0" xfId="10" applyFont="1" applyAlignment="1">
      <alignment horizontal="right" vertical="center"/>
    </xf>
    <xf numFmtId="9" fontId="30" fillId="11" borderId="1" xfId="10" applyFont="1" applyFill="1" applyBorder="1" applyAlignment="1">
      <alignment vertical="center" wrapText="1"/>
    </xf>
    <xf numFmtId="9" fontId="30" fillId="8" borderId="1" xfId="10" applyFont="1" applyFill="1" applyBorder="1" applyAlignment="1">
      <alignment vertical="center" wrapText="1"/>
    </xf>
    <xf numFmtId="9" fontId="7" fillId="0" borderId="1" xfId="10" applyFont="1" applyBorder="1" applyAlignment="1">
      <alignment vertical="center" wrapText="1"/>
    </xf>
    <xf numFmtId="9" fontId="7" fillId="2" borderId="1" xfId="10" applyFont="1" applyFill="1" applyBorder="1" applyAlignment="1">
      <alignment vertical="center" wrapText="1"/>
    </xf>
    <xf numFmtId="9" fontId="30" fillId="2" borderId="1" xfId="10" applyFont="1" applyFill="1" applyBorder="1" applyAlignment="1">
      <alignment vertical="center" wrapText="1"/>
    </xf>
    <xf numFmtId="9" fontId="7" fillId="2" borderId="1" xfId="10" applyFont="1" applyFill="1" applyBorder="1" applyAlignment="1">
      <alignment vertical="center"/>
    </xf>
    <xf numFmtId="9" fontId="7" fillId="0" borderId="1" xfId="10" applyFont="1" applyBorder="1" applyAlignment="1">
      <alignment vertical="center"/>
    </xf>
    <xf numFmtId="9" fontId="30" fillId="0" borderId="1" xfId="10" applyFont="1" applyBorder="1" applyAlignment="1">
      <alignment vertical="center"/>
    </xf>
    <xf numFmtId="9" fontId="7" fillId="4" borderId="1" xfId="10" applyFont="1" applyFill="1" applyBorder="1" applyAlignment="1">
      <alignment vertical="center"/>
    </xf>
    <xf numFmtId="9" fontId="7" fillId="0" borderId="0" xfId="10" applyFont="1" applyAlignment="1">
      <alignment vertical="center"/>
    </xf>
    <xf numFmtId="9" fontId="2" fillId="8" borderId="1" xfId="10" applyFont="1" applyFill="1" applyBorder="1" applyAlignment="1">
      <alignment horizontal="left" vertical="center" wrapText="1"/>
    </xf>
    <xf numFmtId="0" fontId="3" fillId="0" borderId="71" xfId="0" applyFont="1" applyBorder="1" applyAlignment="1">
      <alignment vertical="center"/>
    </xf>
    <xf numFmtId="0" fontId="42" fillId="0" borderId="71" xfId="0" applyFont="1" applyBorder="1" applyAlignment="1">
      <alignment vertical="center" wrapText="1"/>
    </xf>
    <xf numFmtId="0" fontId="3" fillId="0" borderId="71" xfId="0" applyFont="1" applyBorder="1" applyAlignment="1">
      <alignment vertical="center" wrapText="1"/>
    </xf>
    <xf numFmtId="3" fontId="3" fillId="0" borderId="71" xfId="9" applyNumberFormat="1" applyFont="1" applyBorder="1" applyAlignment="1">
      <alignment vertical="center"/>
    </xf>
    <xf numFmtId="0" fontId="49" fillId="0" borderId="37" xfId="1" applyFont="1" applyBorder="1" applyAlignment="1">
      <alignment horizontal="center" vertical="center"/>
    </xf>
    <xf numFmtId="0" fontId="50" fillId="0" borderId="0" xfId="1" applyFont="1"/>
    <xf numFmtId="49" fontId="51" fillId="0" borderId="4" xfId="1" applyNumberFormat="1" applyFont="1" applyBorder="1" applyAlignment="1">
      <alignment horizontal="left" vertical="center"/>
    </xf>
    <xf numFmtId="0" fontId="52" fillId="0" borderId="1" xfId="5" applyFont="1" applyBorder="1" applyAlignment="1"/>
    <xf numFmtId="3" fontId="51" fillId="0" borderId="1" xfId="1" applyNumberFormat="1" applyFont="1" applyBorder="1" applyAlignment="1">
      <alignment horizontal="right" vertical="center" wrapText="1"/>
    </xf>
    <xf numFmtId="3" fontId="51" fillId="0" borderId="38" xfId="1" applyNumberFormat="1" applyFont="1" applyBorder="1" applyAlignment="1">
      <alignment horizontal="right" vertical="center" wrapText="1"/>
    </xf>
    <xf numFmtId="0" fontId="13" fillId="0" borderId="26" xfId="1" applyFont="1" applyBorder="1"/>
    <xf numFmtId="0" fontId="13" fillId="0" borderId="2" xfId="1" applyFont="1" applyBorder="1"/>
    <xf numFmtId="3" fontId="13" fillId="0" borderId="2" xfId="1" applyNumberFormat="1" applyFont="1" applyBorder="1" applyAlignment="1">
      <alignment horizontal="right" vertical="center" wrapText="1"/>
    </xf>
    <xf numFmtId="0" fontId="12" fillId="0" borderId="74" xfId="1" applyFont="1" applyBorder="1" applyAlignment="1">
      <alignment horizontal="center" vertical="center" wrapText="1"/>
    </xf>
    <xf numFmtId="0" fontId="12" fillId="0" borderId="75" xfId="1" applyFont="1" applyBorder="1" applyAlignment="1">
      <alignment horizontal="center" vertical="center" wrapText="1"/>
    </xf>
    <xf numFmtId="167" fontId="13" fillId="0" borderId="1" xfId="9" applyNumberFormat="1" applyFont="1" applyBorder="1" applyAlignment="1">
      <alignment horizontal="right" vertical="center"/>
    </xf>
    <xf numFmtId="167" fontId="10" fillId="0" borderId="0" xfId="1" applyNumberFormat="1"/>
    <xf numFmtId="0" fontId="12" fillId="0" borderId="1" xfId="1" applyFont="1" applyBorder="1" applyAlignment="1">
      <alignment vertical="center"/>
    </xf>
    <xf numFmtId="14" fontId="12" fillId="0" borderId="1" xfId="1" applyNumberFormat="1" applyFont="1" applyBorder="1" applyAlignment="1">
      <alignment horizontal="center" vertical="center"/>
    </xf>
    <xf numFmtId="0" fontId="10" fillId="0" borderId="0" xfId="1" applyAlignment="1">
      <alignment vertical="top"/>
    </xf>
    <xf numFmtId="3" fontId="13" fillId="0" borderId="51" xfId="1" applyNumberFormat="1" applyFont="1" applyBorder="1" applyAlignment="1">
      <alignment horizontal="right"/>
    </xf>
    <xf numFmtId="3" fontId="13" fillId="0" borderId="38" xfId="1" applyNumberFormat="1" applyFont="1" applyBorder="1" applyAlignment="1">
      <alignment horizontal="right" vertical="center"/>
    </xf>
    <xf numFmtId="3" fontId="23" fillId="0" borderId="38" xfId="1" applyNumberFormat="1" applyFont="1" applyBorder="1" applyAlignment="1">
      <alignment horizontal="right" vertical="center"/>
    </xf>
    <xf numFmtId="3" fontId="24" fillId="0" borderId="38" xfId="1" applyNumberFormat="1" applyFont="1" applyBorder="1" applyAlignment="1">
      <alignment horizontal="right" vertical="center"/>
    </xf>
    <xf numFmtId="3" fontId="13" fillId="0" borderId="38" xfId="1" applyNumberFormat="1" applyFont="1" applyBorder="1" applyAlignment="1">
      <alignment horizontal="right"/>
    </xf>
    <xf numFmtId="0" fontId="25" fillId="0" borderId="4" xfId="1" applyFont="1" applyFill="1" applyBorder="1" applyAlignment="1">
      <alignment vertical="center"/>
    </xf>
    <xf numFmtId="3" fontId="13" fillId="0" borderId="38" xfId="1" applyNumberFormat="1" applyFont="1" applyFill="1" applyBorder="1" applyAlignment="1">
      <alignment horizontal="right" vertical="center"/>
    </xf>
    <xf numFmtId="3" fontId="10" fillId="0" borderId="40" xfId="1" applyNumberFormat="1" applyBorder="1"/>
    <xf numFmtId="3" fontId="10" fillId="0" borderId="36" xfId="1" applyNumberFormat="1" applyBorder="1"/>
    <xf numFmtId="3" fontId="17" fillId="0" borderId="1" xfId="4" applyNumberFormat="1" applyFont="1" applyFill="1" applyBorder="1" applyAlignment="1"/>
    <xf numFmtId="0" fontId="10" fillId="0" borderId="1" xfId="1" applyFill="1" applyBorder="1"/>
    <xf numFmtId="0" fontId="10" fillId="0" borderId="1" xfId="4" applyNumberFormat="1" applyFont="1" applyFill="1" applyBorder="1" applyAlignment="1"/>
    <xf numFmtId="0" fontId="27" fillId="0" borderId="52" xfId="1" applyFont="1" applyBorder="1" applyAlignment="1">
      <alignment horizontal="center"/>
    </xf>
    <xf numFmtId="3" fontId="28" fillId="0" borderId="1" xfId="1" applyNumberFormat="1" applyFont="1" applyFill="1" applyBorder="1" applyAlignment="1"/>
    <xf numFmtId="3" fontId="10" fillId="0" borderId="40" xfId="1" applyNumberFormat="1" applyFont="1" applyFill="1" applyBorder="1"/>
    <xf numFmtId="3" fontId="10" fillId="0" borderId="36" xfId="1" applyNumberFormat="1" applyFont="1" applyBorder="1" applyAlignment="1">
      <alignment vertical="center"/>
    </xf>
    <xf numFmtId="3" fontId="10" fillId="0" borderId="36" xfId="4" applyNumberFormat="1" applyFont="1" applyFill="1" applyBorder="1" applyAlignment="1"/>
    <xf numFmtId="0" fontId="10" fillId="0" borderId="58" xfId="1" applyBorder="1"/>
    <xf numFmtId="3" fontId="10" fillId="0" borderId="6" xfId="1" applyNumberFormat="1" applyBorder="1"/>
    <xf numFmtId="3" fontId="10" fillId="0" borderId="6" xfId="4" applyNumberFormat="1" applyFont="1" applyFill="1" applyBorder="1" applyAlignment="1"/>
    <xf numFmtId="9" fontId="30" fillId="11" borderId="1" xfId="10" applyFont="1" applyFill="1" applyBorder="1" applyAlignment="1">
      <alignment vertical="center"/>
    </xf>
    <xf numFmtId="9" fontId="7" fillId="2" borderId="1" xfId="10" applyFont="1" applyFill="1" applyBorder="1" applyAlignment="1">
      <alignment horizontal="right" vertical="center" wrapText="1"/>
    </xf>
    <xf numFmtId="9" fontId="33" fillId="0" borderId="0" xfId="10" applyFont="1" applyBorder="1" applyAlignment="1"/>
    <xf numFmtId="9" fontId="30" fillId="0" borderId="1" xfId="10" applyFont="1" applyBorder="1" applyAlignment="1">
      <alignment vertical="center" wrapText="1"/>
    </xf>
    <xf numFmtId="9" fontId="2" fillId="3" borderId="1" xfId="10" applyNumberFormat="1" applyFont="1" applyFill="1" applyBorder="1" applyAlignment="1">
      <alignment horizontal="center" vertical="center" wrapText="1"/>
    </xf>
    <xf numFmtId="9" fontId="2" fillId="11" borderId="1" xfId="0" applyNumberFormat="1" applyFont="1" applyFill="1" applyBorder="1" applyAlignment="1">
      <alignment vertical="center"/>
    </xf>
    <xf numFmtId="9" fontId="3" fillId="0" borderId="1" xfId="0" applyNumberFormat="1" applyFont="1" applyBorder="1" applyAlignment="1">
      <alignment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/>
    </xf>
    <xf numFmtId="9" fontId="31" fillId="2" borderId="1" xfId="0" applyNumberFormat="1" applyFont="1" applyFill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9" fontId="3" fillId="4" borderId="1" xfId="0" applyNumberFormat="1" applyFont="1" applyFill="1" applyBorder="1" applyAlignment="1">
      <alignment vertical="center"/>
    </xf>
    <xf numFmtId="9" fontId="30" fillId="10" borderId="1" xfId="0" applyNumberFormat="1" applyFont="1" applyFill="1" applyBorder="1" applyAlignment="1">
      <alignment vertical="center"/>
    </xf>
    <xf numFmtId="9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25" fillId="0" borderId="0" xfId="5" applyNumberFormat="1" applyFont="1" applyBorder="1" applyAlignment="1">
      <alignment horizontal="right" wrapText="1"/>
    </xf>
    <xf numFmtId="0" fontId="30" fillId="0" borderId="52" xfId="4" applyFont="1" applyFill="1" applyBorder="1" applyAlignment="1">
      <alignment horizontal="center" vertical="center" wrapText="1"/>
    </xf>
    <xf numFmtId="0" fontId="30" fillId="0" borderId="1" xfId="4" applyNumberFormat="1" applyFont="1" applyFill="1" applyBorder="1" applyAlignment="1">
      <alignment horizontal="left" vertical="top" wrapText="1"/>
    </xf>
    <xf numFmtId="165" fontId="30" fillId="0" borderId="38" xfId="9" applyNumberFormat="1" applyFont="1" applyFill="1" applyBorder="1" applyAlignment="1">
      <alignment vertical="center" wrapText="1"/>
    </xf>
    <xf numFmtId="0" fontId="30" fillId="0" borderId="1" xfId="4" applyNumberFormat="1" applyFont="1" applyFill="1" applyBorder="1" applyAlignment="1">
      <alignment vertical="center" wrapText="1"/>
    </xf>
    <xf numFmtId="0" fontId="30" fillId="0" borderId="52" xfId="4" applyFont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left" vertical="center" wrapText="1"/>
    </xf>
    <xf numFmtId="165" fontId="7" fillId="0" borderId="38" xfId="9" applyNumberFormat="1" applyFont="1" applyBorder="1" applyAlignment="1">
      <alignment vertical="center" wrapText="1"/>
    </xf>
    <xf numFmtId="0" fontId="3" fillId="0" borderId="1" xfId="4" applyNumberFormat="1" applyFont="1" applyBorder="1" applyAlignment="1">
      <alignment horizontal="left" vertical="center" wrapText="1"/>
    </xf>
    <xf numFmtId="49" fontId="3" fillId="0" borderId="1" xfId="4" applyNumberFormat="1" applyFont="1" applyBorder="1" applyAlignment="1">
      <alignment horizontal="left" vertical="center" wrapText="1"/>
    </xf>
    <xf numFmtId="165" fontId="30" fillId="7" borderId="64" xfId="4" applyNumberFormat="1" applyFont="1" applyFill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top" wrapText="1"/>
    </xf>
    <xf numFmtId="0" fontId="30" fillId="7" borderId="43" xfId="0" applyFont="1" applyFill="1" applyBorder="1" applyAlignment="1">
      <alignment horizontal="center" vertical="center"/>
    </xf>
    <xf numFmtId="0" fontId="30" fillId="7" borderId="78" xfId="0" applyFont="1" applyFill="1" applyBorder="1" applyAlignment="1">
      <alignment horizontal="center" vertical="center" wrapText="1"/>
    </xf>
    <xf numFmtId="0" fontId="30" fillId="7" borderId="17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vertical="center" wrapText="1"/>
    </xf>
    <xf numFmtId="3" fontId="7" fillId="0" borderId="3" xfId="11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/>
    </xf>
    <xf numFmtId="0" fontId="7" fillId="0" borderId="52" xfId="0" applyFont="1" applyBorder="1" applyAlignment="1">
      <alignment vertical="top" wrapText="1"/>
    </xf>
    <xf numFmtId="0" fontId="7" fillId="0" borderId="79" xfId="0" applyFont="1" applyBorder="1" applyAlignment="1">
      <alignment vertical="center" wrapText="1"/>
    </xf>
    <xf numFmtId="3" fontId="7" fillId="0" borderId="80" xfId="11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/>
    </xf>
    <xf numFmtId="0" fontId="30" fillId="0" borderId="69" xfId="0" applyFont="1" applyBorder="1" applyAlignment="1">
      <alignment horizontal="center" vertical="center"/>
    </xf>
    <xf numFmtId="3" fontId="30" fillId="0" borderId="64" xfId="11" applyNumberFormat="1" applyFont="1" applyBorder="1" applyAlignment="1">
      <alignment horizontal="right" vertical="center"/>
    </xf>
    <xf numFmtId="0" fontId="3" fillId="0" borderId="0" xfId="0" applyFont="1"/>
    <xf numFmtId="0" fontId="8" fillId="5" borderId="0" xfId="0" applyFont="1" applyFill="1" applyBorder="1" applyAlignment="1" applyProtection="1">
      <alignment horizontal="center" vertical="center" wrapText="1"/>
    </xf>
    <xf numFmtId="0" fontId="54" fillId="7" borderId="43" xfId="0" applyFont="1" applyFill="1" applyBorder="1" applyAlignment="1" applyProtection="1">
      <alignment horizontal="center" vertical="center" wrapText="1"/>
    </xf>
    <xf numFmtId="0" fontId="54" fillId="7" borderId="36" xfId="0" applyFont="1" applyFill="1" applyBorder="1" applyAlignment="1" applyProtection="1">
      <alignment horizontal="center" vertical="center" wrapText="1"/>
    </xf>
    <xf numFmtId="0" fontId="54" fillId="7" borderId="81" xfId="0" applyFont="1" applyFill="1" applyBorder="1" applyAlignment="1" applyProtection="1">
      <alignment horizontal="center" vertical="center" wrapText="1"/>
    </xf>
    <xf numFmtId="0" fontId="55" fillId="5" borderId="52" xfId="0" applyFont="1" applyFill="1" applyBorder="1" applyAlignment="1" applyProtection="1">
      <alignment horizontal="left" wrapText="1"/>
    </xf>
    <xf numFmtId="9" fontId="55" fillId="5" borderId="1" xfId="10" applyFont="1" applyFill="1" applyBorder="1" applyAlignment="1" applyProtection="1">
      <alignment horizontal="center" vertical="top" wrapText="1"/>
    </xf>
    <xf numFmtId="165" fontId="55" fillId="5" borderId="1" xfId="9" applyNumberFormat="1" applyFont="1" applyFill="1" applyBorder="1" applyAlignment="1" applyProtection="1">
      <alignment horizontal="right" wrapText="1"/>
    </xf>
    <xf numFmtId="165" fontId="55" fillId="5" borderId="1" xfId="9" applyNumberFormat="1" applyFont="1" applyFill="1" applyBorder="1" applyAlignment="1" applyProtection="1">
      <alignment horizontal="center" wrapText="1"/>
    </xf>
    <xf numFmtId="3" fontId="55" fillId="5" borderId="38" xfId="0" applyNumberFormat="1" applyFont="1" applyFill="1" applyBorder="1" applyAlignment="1" applyProtection="1">
      <alignment horizontal="right" wrapText="1"/>
    </xf>
    <xf numFmtId="9" fontId="55" fillId="5" borderId="1" xfId="0" applyNumberFormat="1" applyFont="1" applyFill="1" applyBorder="1" applyAlignment="1" applyProtection="1">
      <alignment horizontal="center" vertical="top" wrapText="1"/>
    </xf>
    <xf numFmtId="0" fontId="55" fillId="5" borderId="82" xfId="0" applyFont="1" applyFill="1" applyBorder="1" applyAlignment="1" applyProtection="1">
      <alignment horizontal="left" vertical="top" wrapText="1"/>
    </xf>
    <xf numFmtId="49" fontId="55" fillId="5" borderId="83" xfId="0" applyNumberFormat="1" applyFont="1" applyFill="1" applyBorder="1" applyAlignment="1" applyProtection="1">
      <alignment horizontal="center" vertical="top" wrapText="1"/>
    </xf>
    <xf numFmtId="165" fontId="55" fillId="5" borderId="83" xfId="9" applyNumberFormat="1" applyFont="1" applyFill="1" applyBorder="1" applyAlignment="1" applyProtection="1">
      <alignment horizontal="right" wrapText="1"/>
    </xf>
    <xf numFmtId="165" fontId="55" fillId="5" borderId="83" xfId="9" applyNumberFormat="1" applyFont="1" applyFill="1" applyBorder="1" applyAlignment="1" applyProtection="1">
      <alignment horizontal="center" wrapText="1"/>
    </xf>
    <xf numFmtId="3" fontId="55" fillId="5" borderId="84" xfId="0" applyNumberFormat="1" applyFont="1" applyFill="1" applyBorder="1" applyAlignment="1" applyProtection="1">
      <alignment horizontal="right" wrapText="1"/>
    </xf>
    <xf numFmtId="165" fontId="56" fillId="5" borderId="49" xfId="0" applyNumberFormat="1" applyFont="1" applyFill="1" applyBorder="1" applyAlignment="1" applyProtection="1">
      <alignment horizontal="right" wrapText="1"/>
    </xf>
    <xf numFmtId="165" fontId="56" fillId="5" borderId="50" xfId="0" applyNumberFormat="1" applyFont="1" applyFill="1" applyBorder="1" applyAlignment="1" applyProtection="1">
      <alignment horizontal="right" wrapText="1"/>
    </xf>
    <xf numFmtId="165" fontId="3" fillId="0" borderId="0" xfId="0" applyNumberFormat="1" applyFont="1"/>
    <xf numFmtId="0" fontId="57" fillId="0" borderId="0" xfId="0" applyFont="1" applyAlignment="1">
      <alignment horizontal="right"/>
    </xf>
    <xf numFmtId="0" fontId="2" fillId="7" borderId="69" xfId="0" applyFont="1" applyFill="1" applyBorder="1" applyAlignment="1">
      <alignment horizontal="center" vertical="center" wrapText="1"/>
    </xf>
    <xf numFmtId="0" fontId="41" fillId="0" borderId="58" xfId="0" applyFont="1" applyBorder="1" applyAlignment="1">
      <alignment horizontal="left" wrapText="1"/>
    </xf>
    <xf numFmtId="167" fontId="41" fillId="0" borderId="6" xfId="9" applyNumberFormat="1" applyFont="1" applyBorder="1" applyAlignment="1"/>
    <xf numFmtId="167" fontId="41" fillId="0" borderId="86" xfId="9" applyNumberFormat="1" applyFont="1" applyBorder="1" applyAlignment="1"/>
    <xf numFmtId="167" fontId="2" fillId="0" borderId="51" xfId="0" applyNumberFormat="1" applyFont="1" applyBorder="1" applyAlignment="1"/>
    <xf numFmtId="0" fontId="3" fillId="0" borderId="52" xfId="0" applyFont="1" applyBorder="1" applyAlignment="1">
      <alignment horizontal="left" vertical="center" wrapText="1"/>
    </xf>
    <xf numFmtId="167" fontId="3" fillId="0" borderId="1" xfId="9" applyNumberFormat="1" applyFont="1" applyBorder="1" applyAlignment="1"/>
    <xf numFmtId="167" fontId="3" fillId="0" borderId="3" xfId="9" applyNumberFormat="1" applyFont="1" applyBorder="1" applyAlignment="1"/>
    <xf numFmtId="0" fontId="2" fillId="4" borderId="47" xfId="0" applyFont="1" applyFill="1" applyBorder="1" applyAlignment="1">
      <alignment horizontal="left" vertical="center" wrapText="1"/>
    </xf>
    <xf numFmtId="167" fontId="2" fillId="4" borderId="40" xfId="9" applyNumberFormat="1" applyFont="1" applyFill="1" applyBorder="1" applyAlignment="1">
      <alignment vertical="center"/>
    </xf>
    <xf numFmtId="167" fontId="2" fillId="4" borderId="4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7" fontId="3" fillId="0" borderId="0" xfId="0" applyNumberFormat="1" applyFont="1"/>
    <xf numFmtId="0" fontId="9" fillId="0" borderId="0" xfId="0" applyFont="1"/>
    <xf numFmtId="165" fontId="9" fillId="0" borderId="0" xfId="9" applyNumberFormat="1" applyFont="1"/>
    <xf numFmtId="165" fontId="7" fillId="0" borderId="0" xfId="9" applyNumberFormat="1" applyFont="1" applyBorder="1" applyAlignment="1">
      <alignment horizontal="center" vertical="center"/>
    </xf>
    <xf numFmtId="165" fontId="30" fillId="0" borderId="0" xfId="9" applyNumberFormat="1" applyFont="1" applyBorder="1" applyAlignment="1">
      <alignment vertical="center" wrapText="1"/>
    </xf>
    <xf numFmtId="165" fontId="2" fillId="7" borderId="69" xfId="9" applyNumberFormat="1" applyFont="1" applyFill="1" applyBorder="1" applyAlignment="1">
      <alignment horizontal="center" vertical="center" wrapText="1"/>
    </xf>
    <xf numFmtId="165" fontId="2" fillId="7" borderId="12" xfId="9" applyNumberFormat="1" applyFont="1" applyFill="1" applyBorder="1" applyAlignment="1">
      <alignment horizontal="center" vertical="center" wrapText="1"/>
    </xf>
    <xf numFmtId="165" fontId="30" fillId="4" borderId="87" xfId="9" applyNumberFormat="1" applyFont="1" applyFill="1" applyBorder="1" applyAlignment="1">
      <alignment horizontal="left" vertical="center" wrapText="1"/>
    </xf>
    <xf numFmtId="165" fontId="30" fillId="4" borderId="61" xfId="9" applyNumberFormat="1" applyFont="1" applyFill="1" applyBorder="1" applyAlignment="1">
      <alignment horizontal="left" vertical="center" wrapText="1"/>
    </xf>
    <xf numFmtId="167" fontId="30" fillId="4" borderId="61" xfId="9" applyNumberFormat="1" applyFont="1" applyFill="1" applyBorder="1" applyAlignment="1">
      <alignment horizontal="right" vertical="center" wrapText="1"/>
    </xf>
    <xf numFmtId="167" fontId="30" fillId="4" borderId="88" xfId="9" applyNumberFormat="1" applyFont="1" applyFill="1" applyBorder="1" applyAlignment="1">
      <alignment horizontal="right" vertical="center" wrapText="1"/>
    </xf>
    <xf numFmtId="165" fontId="7" fillId="0" borderId="52" xfId="9" applyNumberFormat="1" applyFont="1" applyBorder="1" applyAlignment="1">
      <alignment horizontal="center" vertical="center" wrapText="1"/>
    </xf>
    <xf numFmtId="165" fontId="7" fillId="0" borderId="1" xfId="9" applyNumberFormat="1" applyFont="1" applyBorder="1" applyAlignment="1">
      <alignment horizontal="left" wrapText="1"/>
    </xf>
    <xf numFmtId="167" fontId="7" fillId="0" borderId="6" xfId="9" applyNumberFormat="1" applyFont="1" applyBorder="1" applyAlignment="1">
      <alignment horizontal="right"/>
    </xf>
    <xf numFmtId="167" fontId="7" fillId="0" borderId="51" xfId="9" applyNumberFormat="1" applyFont="1" applyBorder="1" applyAlignment="1">
      <alignment horizontal="right"/>
    </xf>
    <xf numFmtId="0" fontId="30" fillId="4" borderId="52" xfId="0" applyFont="1" applyFill="1" applyBorder="1" applyAlignment="1">
      <alignment horizontal="center" vertical="center" wrapText="1"/>
    </xf>
    <xf numFmtId="165" fontId="30" fillId="4" borderId="1" xfId="9" applyNumberFormat="1" applyFont="1" applyFill="1" applyBorder="1" applyAlignment="1">
      <alignment wrapText="1"/>
    </xf>
    <xf numFmtId="167" fontId="30" fillId="4" borderId="6" xfId="9" applyNumberFormat="1" applyFont="1" applyFill="1" applyBorder="1" applyAlignment="1">
      <alignment horizontal="right"/>
    </xf>
    <xf numFmtId="167" fontId="30" fillId="4" borderId="51" xfId="9" applyNumberFormat="1" applyFont="1" applyFill="1" applyBorder="1" applyAlignment="1">
      <alignment horizontal="right"/>
    </xf>
    <xf numFmtId="165" fontId="30" fillId="0" borderId="52" xfId="9" applyNumberFormat="1" applyFont="1" applyBorder="1" applyAlignment="1">
      <alignment horizontal="center" vertical="center" wrapText="1"/>
    </xf>
    <xf numFmtId="165" fontId="30" fillId="0" borderId="1" xfId="9" applyNumberFormat="1" applyFont="1" applyBorder="1" applyAlignment="1">
      <alignment wrapText="1"/>
    </xf>
    <xf numFmtId="167" fontId="30" fillId="0" borderId="1" xfId="9" applyNumberFormat="1" applyFont="1" applyBorder="1" applyAlignment="1">
      <alignment horizontal="right"/>
    </xf>
    <xf numFmtId="167" fontId="30" fillId="0" borderId="38" xfId="9" applyNumberFormat="1" applyFont="1" applyBorder="1" applyAlignment="1">
      <alignment horizontal="right"/>
    </xf>
    <xf numFmtId="167" fontId="7" fillId="0" borderId="1" xfId="9" applyNumberFormat="1" applyFont="1" applyBorder="1" applyAlignment="1">
      <alignment horizontal="right"/>
    </xf>
    <xf numFmtId="167" fontId="7" fillId="0" borderId="38" xfId="9" applyNumberFormat="1" applyFont="1" applyBorder="1" applyAlignment="1">
      <alignment horizontal="right"/>
    </xf>
    <xf numFmtId="167" fontId="9" fillId="0" borderId="0" xfId="0" applyNumberFormat="1" applyFont="1"/>
    <xf numFmtId="165" fontId="53" fillId="0" borderId="0" xfId="9" applyNumberFormat="1" applyFont="1"/>
    <xf numFmtId="165" fontId="30" fillId="4" borderId="52" xfId="9" applyNumberFormat="1" applyFont="1" applyFill="1" applyBorder="1" applyAlignment="1">
      <alignment horizontal="center" vertical="center" wrapText="1"/>
    </xf>
    <xf numFmtId="167" fontId="30" fillId="4" borderId="1" xfId="9" applyNumberFormat="1" applyFont="1" applyFill="1" applyBorder="1" applyAlignment="1">
      <alignment horizontal="right"/>
    </xf>
    <xf numFmtId="167" fontId="30" fillId="4" borderId="38" xfId="9" applyNumberFormat="1" applyFont="1" applyFill="1" applyBorder="1" applyAlignment="1">
      <alignment horizontal="right"/>
    </xf>
    <xf numFmtId="165" fontId="30" fillId="7" borderId="52" xfId="9" applyNumberFormat="1" applyFont="1" applyFill="1" applyBorder="1" applyAlignment="1">
      <alignment horizontal="center" vertical="center" wrapText="1"/>
    </xf>
    <xf numFmtId="165" fontId="30" fillId="7" borderId="1" xfId="9" applyNumberFormat="1" applyFont="1" applyFill="1" applyBorder="1" applyAlignment="1">
      <alignment vertical="top" wrapText="1"/>
    </xf>
    <xf numFmtId="167" fontId="30" fillId="7" borderId="1" xfId="9" applyNumberFormat="1" applyFont="1" applyFill="1" applyBorder="1" applyAlignment="1">
      <alignment horizontal="right" vertical="top"/>
    </xf>
    <xf numFmtId="167" fontId="30" fillId="7" borderId="38" xfId="9" applyNumberFormat="1" applyFont="1" applyFill="1" applyBorder="1" applyAlignment="1">
      <alignment horizontal="right" vertical="top"/>
    </xf>
    <xf numFmtId="165" fontId="7" fillId="0" borderId="1" xfId="9" applyNumberFormat="1" applyFont="1" applyBorder="1" applyAlignment="1">
      <alignment wrapText="1"/>
    </xf>
    <xf numFmtId="165" fontId="30" fillId="7" borderId="1" xfId="9" applyNumberFormat="1" applyFont="1" applyFill="1" applyBorder="1" applyAlignment="1">
      <alignment vertical="center" wrapText="1"/>
    </xf>
    <xf numFmtId="167" fontId="30" fillId="7" borderId="1" xfId="9" applyNumberFormat="1" applyFont="1" applyFill="1" applyBorder="1" applyAlignment="1">
      <alignment horizontal="right"/>
    </xf>
    <xf numFmtId="167" fontId="30" fillId="7" borderId="38" xfId="9" applyNumberFormat="1" applyFont="1" applyFill="1" applyBorder="1" applyAlignment="1">
      <alignment horizontal="right"/>
    </xf>
    <xf numFmtId="165" fontId="30" fillId="8" borderId="82" xfId="9" applyNumberFormat="1" applyFont="1" applyFill="1" applyBorder="1" applyAlignment="1">
      <alignment horizontal="center" vertical="center" wrapText="1"/>
    </xf>
    <xf numFmtId="165" fontId="30" fillId="8" borderId="83" xfId="9" applyNumberFormat="1" applyFont="1" applyFill="1" applyBorder="1" applyAlignment="1">
      <alignment vertical="center" wrapText="1"/>
    </xf>
    <xf numFmtId="167" fontId="30" fillId="8" borderId="83" xfId="9" applyNumberFormat="1" applyFont="1" applyFill="1" applyBorder="1" applyAlignment="1">
      <alignment horizontal="right" vertical="center"/>
    </xf>
    <xf numFmtId="167" fontId="30" fillId="8" borderId="84" xfId="9" applyNumberFormat="1" applyFont="1" applyFill="1" applyBorder="1" applyAlignment="1">
      <alignment horizontal="right" vertical="center"/>
    </xf>
    <xf numFmtId="165" fontId="30" fillId="4" borderId="87" xfId="9" applyNumberFormat="1" applyFont="1" applyFill="1" applyBorder="1" applyAlignment="1">
      <alignment horizontal="center" vertical="center" wrapText="1"/>
    </xf>
    <xf numFmtId="165" fontId="30" fillId="4" borderId="61" xfId="9" applyNumberFormat="1" applyFont="1" applyFill="1" applyBorder="1" applyAlignment="1">
      <alignment vertical="center" wrapText="1"/>
    </xf>
    <xf numFmtId="167" fontId="30" fillId="4" borderId="61" xfId="9" applyNumberFormat="1" applyFont="1" applyFill="1" applyBorder="1" applyAlignment="1">
      <alignment horizontal="right" vertical="center"/>
    </xf>
    <xf numFmtId="167" fontId="30" fillId="4" borderId="88" xfId="9" applyNumberFormat="1" applyFont="1" applyFill="1" applyBorder="1" applyAlignment="1">
      <alignment horizontal="right" vertical="center"/>
    </xf>
    <xf numFmtId="165" fontId="7" fillId="0" borderId="58" xfId="9" applyNumberFormat="1" applyFont="1" applyBorder="1" applyAlignment="1">
      <alignment horizontal="center" vertical="center" wrapText="1"/>
    </xf>
    <xf numFmtId="165" fontId="7" fillId="0" borderId="6" xfId="9" applyNumberFormat="1" applyFont="1" applyBorder="1" applyAlignment="1">
      <alignment wrapText="1"/>
    </xf>
    <xf numFmtId="167" fontId="7" fillId="13" borderId="6" xfId="9" applyNumberFormat="1" applyFont="1" applyFill="1" applyBorder="1" applyAlignment="1">
      <alignment horizontal="right"/>
    </xf>
    <xf numFmtId="167" fontId="7" fillId="13" borderId="1" xfId="9" applyNumberFormat="1" applyFont="1" applyFill="1" applyBorder="1" applyAlignment="1">
      <alignment horizontal="right"/>
    </xf>
    <xf numFmtId="167" fontId="30" fillId="7" borderId="29" xfId="9" applyNumberFormat="1" applyFont="1" applyFill="1" applyBorder="1" applyAlignment="1">
      <alignment horizontal="right" vertical="top"/>
    </xf>
    <xf numFmtId="167" fontId="7" fillId="13" borderId="1" xfId="9" applyNumberFormat="1" applyFont="1" applyFill="1" applyBorder="1" applyAlignment="1">
      <alignment horizontal="right" wrapText="1" indent="1"/>
    </xf>
    <xf numFmtId="167" fontId="7" fillId="0" borderId="38" xfId="9" applyNumberFormat="1" applyFont="1" applyBorder="1" applyAlignment="1">
      <alignment horizontal="right" wrapText="1" indent="1"/>
    </xf>
    <xf numFmtId="167" fontId="30" fillId="4" borderId="29" xfId="9" applyNumberFormat="1" applyFont="1" applyFill="1" applyBorder="1" applyAlignment="1">
      <alignment horizontal="right"/>
    </xf>
    <xf numFmtId="165" fontId="30" fillId="4" borderId="1" xfId="9" applyNumberFormat="1" applyFont="1" applyFill="1" applyBorder="1" applyAlignment="1">
      <alignment horizontal="left" wrapText="1"/>
    </xf>
    <xf numFmtId="165" fontId="30" fillId="7" borderId="1" xfId="9" applyNumberFormat="1" applyFont="1" applyFill="1" applyBorder="1" applyAlignment="1">
      <alignment horizontal="left" vertical="top" wrapText="1"/>
    </xf>
    <xf numFmtId="165" fontId="30" fillId="7" borderId="1" xfId="9" applyNumberFormat="1" applyFont="1" applyFill="1" applyBorder="1" applyAlignment="1">
      <alignment horizontal="left" vertical="center" wrapText="1"/>
    </xf>
    <xf numFmtId="167" fontId="30" fillId="7" borderId="1" xfId="9" applyNumberFormat="1" applyFont="1" applyFill="1" applyBorder="1" applyAlignment="1">
      <alignment horizontal="right" vertical="center"/>
    </xf>
    <xf numFmtId="167" fontId="30" fillId="7" borderId="38" xfId="9" applyNumberFormat="1" applyFont="1" applyFill="1" applyBorder="1" applyAlignment="1">
      <alignment horizontal="right" vertical="center"/>
    </xf>
    <xf numFmtId="165" fontId="30" fillId="8" borderId="47" xfId="9" applyNumberFormat="1" applyFont="1" applyFill="1" applyBorder="1" applyAlignment="1">
      <alignment horizontal="center" vertical="center" wrapText="1"/>
    </xf>
    <xf numFmtId="165" fontId="30" fillId="8" borderId="40" xfId="9" applyNumberFormat="1" applyFont="1" applyFill="1" applyBorder="1" applyAlignment="1">
      <alignment vertical="center" wrapText="1"/>
    </xf>
    <xf numFmtId="167" fontId="30" fillId="8" borderId="40" xfId="9" applyNumberFormat="1" applyFont="1" applyFill="1" applyBorder="1" applyAlignment="1">
      <alignment horizontal="right" vertical="center"/>
    </xf>
    <xf numFmtId="167" fontId="30" fillId="8" borderId="41" xfId="9" applyNumberFormat="1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0" fontId="58" fillId="0" borderId="0" xfId="0" applyFont="1"/>
    <xf numFmtId="0" fontId="7" fillId="0" borderId="0" xfId="12" applyFont="1" applyBorder="1"/>
    <xf numFmtId="0" fontId="30" fillId="0" borderId="0" xfId="12" applyFont="1" applyBorder="1" applyAlignment="1">
      <alignment vertical="center"/>
    </xf>
    <xf numFmtId="165" fontId="3" fillId="0" borderId="0" xfId="9" applyNumberFormat="1" applyFont="1" applyBorder="1" applyAlignment="1"/>
    <xf numFmtId="0" fontId="7" fillId="0" borderId="0" xfId="12" applyFont="1" applyBorder="1" applyAlignment="1">
      <alignment horizontal="center"/>
    </xf>
    <xf numFmtId="0" fontId="7" fillId="0" borderId="0" xfId="12" applyFont="1" applyBorder="1" applyAlignment="1">
      <alignment horizontal="center" vertical="center"/>
    </xf>
    <xf numFmtId="3" fontId="7" fillId="0" borderId="0" xfId="12" applyNumberFormat="1" applyFont="1" applyBorder="1" applyAlignment="1">
      <alignment horizontal="center" vertical="center"/>
    </xf>
    <xf numFmtId="3" fontId="30" fillId="0" borderId="0" xfId="13" applyNumberFormat="1" applyFont="1" applyFill="1" applyBorder="1" applyAlignment="1">
      <alignment horizontal="center" vertical="center" wrapText="1"/>
    </xf>
    <xf numFmtId="0" fontId="30" fillId="0" borderId="0" xfId="3" applyFont="1" applyFill="1" applyBorder="1" applyAlignment="1">
      <alignment vertical="center"/>
    </xf>
    <xf numFmtId="0" fontId="30" fillId="0" borderId="76" xfId="3" applyFont="1" applyBorder="1" applyAlignment="1">
      <alignment vertical="center"/>
    </xf>
    <xf numFmtId="0" fontId="30" fillId="0" borderId="12" xfId="13" applyFont="1" applyFill="1" applyBorder="1" applyAlignment="1">
      <alignment horizontal="center" vertical="center"/>
    </xf>
    <xf numFmtId="3" fontId="30" fillId="0" borderId="12" xfId="3" applyNumberFormat="1" applyFont="1" applyBorder="1" applyAlignment="1">
      <alignment vertical="center"/>
    </xf>
    <xf numFmtId="3" fontId="30" fillId="0" borderId="0" xfId="3" applyNumberFormat="1" applyFont="1" applyBorder="1" applyAlignment="1">
      <alignment vertical="center"/>
    </xf>
    <xf numFmtId="0" fontId="7" fillId="0" borderId="53" xfId="3" applyFont="1" applyBorder="1" applyAlignment="1">
      <alignment vertical="center"/>
    </xf>
    <xf numFmtId="0" fontId="7" fillId="0" borderId="15" xfId="13" applyFont="1" applyFill="1" applyBorder="1" applyAlignment="1">
      <alignment horizontal="center" vertical="center"/>
    </xf>
    <xf numFmtId="3" fontId="7" fillId="0" borderId="15" xfId="3" applyNumberFormat="1" applyFont="1" applyBorder="1" applyAlignment="1">
      <alignment vertical="center"/>
    </xf>
    <xf numFmtId="3" fontId="7" fillId="0" borderId="0" xfId="3" applyNumberFormat="1" applyFont="1" applyBorder="1" applyAlignment="1">
      <alignment vertical="center"/>
    </xf>
    <xf numFmtId="0" fontId="7" fillId="0" borderId="26" xfId="3" applyFont="1" applyBorder="1" applyAlignment="1">
      <alignment vertical="center"/>
    </xf>
    <xf numFmtId="0" fontId="7" fillId="0" borderId="19" xfId="13" applyFont="1" applyFill="1" applyBorder="1" applyAlignment="1">
      <alignment horizontal="center" vertical="center"/>
    </xf>
    <xf numFmtId="3" fontId="7" fillId="0" borderId="19" xfId="3" applyNumberFormat="1" applyFont="1" applyBorder="1" applyAlignment="1">
      <alignment vertical="center"/>
    </xf>
    <xf numFmtId="0" fontId="7" fillId="0" borderId="34" xfId="3" applyFont="1" applyBorder="1" applyAlignment="1">
      <alignment vertical="center"/>
    </xf>
    <xf numFmtId="0" fontId="7" fillId="0" borderId="17" xfId="13" applyFont="1" applyFill="1" applyBorder="1" applyAlignment="1">
      <alignment horizontal="center" vertical="center"/>
    </xf>
    <xf numFmtId="3" fontId="7" fillId="0" borderId="17" xfId="3" applyNumberFormat="1" applyFont="1" applyBorder="1" applyAlignment="1">
      <alignment vertical="center"/>
    </xf>
    <xf numFmtId="0" fontId="7" fillId="0" borderId="37" xfId="3" applyFont="1" applyBorder="1" applyAlignment="1">
      <alignment vertical="center"/>
    </xf>
    <xf numFmtId="0" fontId="7" fillId="0" borderId="18" xfId="13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/>
    </xf>
    <xf numFmtId="0" fontId="30" fillId="0" borderId="76" xfId="3" applyFont="1" applyBorder="1" applyAlignment="1">
      <alignment vertical="center" wrapText="1"/>
    </xf>
    <xf numFmtId="0" fontId="7" fillId="0" borderId="39" xfId="3" applyFont="1" applyBorder="1" applyAlignment="1">
      <alignment vertical="center"/>
    </xf>
    <xf numFmtId="0" fontId="7" fillId="0" borderId="16" xfId="13" applyFont="1" applyFill="1" applyBorder="1" applyAlignment="1">
      <alignment horizontal="center" vertical="center"/>
    </xf>
    <xf numFmtId="3" fontId="7" fillId="0" borderId="16" xfId="3" applyNumberFormat="1" applyFont="1" applyBorder="1" applyAlignment="1">
      <alignment vertical="center"/>
    </xf>
    <xf numFmtId="0" fontId="30" fillId="14" borderId="12" xfId="3" applyFont="1" applyFill="1" applyBorder="1" applyAlignment="1">
      <alignment vertical="center"/>
    </xf>
    <xf numFmtId="0" fontId="30" fillId="14" borderId="12" xfId="13" applyFont="1" applyFill="1" applyBorder="1" applyAlignment="1">
      <alignment horizontal="center" vertical="center"/>
    </xf>
    <xf numFmtId="3" fontId="30" fillId="14" borderId="12" xfId="3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13" applyFont="1" applyFill="1" applyBorder="1" applyAlignment="1">
      <alignment vertical="center"/>
    </xf>
    <xf numFmtId="3" fontId="7" fillId="0" borderId="0" xfId="3" applyNumberFormat="1" applyFont="1" applyAlignment="1">
      <alignment vertical="center"/>
    </xf>
    <xf numFmtId="3" fontId="30" fillId="0" borderId="0" xfId="12" applyNumberFormat="1" applyFont="1" applyBorder="1" applyAlignment="1">
      <alignment vertical="center"/>
    </xf>
    <xf numFmtId="4" fontId="7" fillId="0" borderId="0" xfId="12" applyNumberFormat="1" applyFont="1" applyBorder="1" applyAlignment="1">
      <alignment horizontal="right"/>
    </xf>
    <xf numFmtId="0" fontId="30" fillId="7" borderId="21" xfId="13" applyFont="1" applyFill="1" applyBorder="1" applyAlignment="1">
      <alignment horizontal="center" vertical="center"/>
    </xf>
    <xf numFmtId="0" fontId="30" fillId="7" borderId="21" xfId="13" applyFont="1" applyFill="1" applyBorder="1" applyAlignment="1">
      <alignment horizontal="center" vertical="center" wrapText="1"/>
    </xf>
    <xf numFmtId="3" fontId="30" fillId="7" borderId="21" xfId="13" applyNumberFormat="1" applyFont="1" applyFill="1" applyBorder="1" applyAlignment="1">
      <alignment horizontal="center" vertical="center" wrapText="1"/>
    </xf>
    <xf numFmtId="0" fontId="7" fillId="0" borderId="15" xfId="3" applyFont="1" applyBorder="1" applyAlignment="1">
      <alignment vertical="center"/>
    </xf>
    <xf numFmtId="0" fontId="30" fillId="0" borderId="15" xfId="3" applyFont="1" applyBorder="1" applyAlignment="1">
      <alignment horizontal="center" vertical="center"/>
    </xf>
    <xf numFmtId="3" fontId="7" fillId="0" borderId="15" xfId="3" applyNumberFormat="1" applyFont="1" applyBorder="1" applyAlignment="1">
      <alignment horizontal="center" vertical="center"/>
    </xf>
    <xf numFmtId="3" fontId="7" fillId="0" borderId="89" xfId="3" applyNumberFormat="1" applyFont="1" applyFill="1" applyBorder="1" applyAlignment="1">
      <alignment horizontal="center" vertical="center"/>
    </xf>
    <xf numFmtId="0" fontId="7" fillId="0" borderId="18" xfId="3" applyFont="1" applyBorder="1" applyAlignment="1">
      <alignment vertical="center"/>
    </xf>
    <xf numFmtId="0" fontId="30" fillId="0" borderId="18" xfId="3" applyFont="1" applyBorder="1" applyAlignment="1">
      <alignment horizontal="center" vertical="center"/>
    </xf>
    <xf numFmtId="3" fontId="7" fillId="0" borderId="18" xfId="3" applyNumberFormat="1" applyFont="1" applyBorder="1" applyAlignment="1">
      <alignment horizontal="center" vertical="center"/>
    </xf>
    <xf numFmtId="3" fontId="7" fillId="0" borderId="29" xfId="3" applyNumberFormat="1" applyFont="1" applyFill="1" applyBorder="1" applyAlignment="1">
      <alignment horizontal="center" vertical="center"/>
    </xf>
    <xf numFmtId="11" fontId="7" fillId="0" borderId="18" xfId="3" applyNumberFormat="1" applyFont="1" applyBorder="1" applyAlignment="1">
      <alignment vertical="center"/>
    </xf>
    <xf numFmtId="3" fontId="7" fillId="14" borderId="12" xfId="3" applyNumberFormat="1" applyFont="1" applyFill="1" applyBorder="1" applyAlignment="1">
      <alignment horizontal="center" vertical="center"/>
    </xf>
    <xf numFmtId="3" fontId="7" fillId="14" borderId="14" xfId="3" applyNumberFormat="1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30" fillId="7" borderId="17" xfId="13" applyFont="1" applyFill="1" applyBorder="1" applyAlignment="1">
      <alignment horizontal="center" vertical="center"/>
    </xf>
    <xf numFmtId="0" fontId="30" fillId="7" borderId="17" xfId="13" applyFont="1" applyFill="1" applyBorder="1" applyAlignment="1">
      <alignment horizontal="center" vertical="center" wrapText="1"/>
    </xf>
    <xf numFmtId="3" fontId="30" fillId="7" borderId="17" xfId="13" applyNumberFormat="1" applyFont="1" applyFill="1" applyBorder="1" applyAlignment="1">
      <alignment horizontal="center" vertical="center" wrapText="1"/>
    </xf>
    <xf numFmtId="0" fontId="30" fillId="0" borderId="12" xfId="3" applyFont="1" applyBorder="1" applyAlignment="1">
      <alignment horizontal="center" vertical="center"/>
    </xf>
    <xf numFmtId="3" fontId="30" fillId="0" borderId="12" xfId="3" applyNumberFormat="1" applyFont="1" applyFill="1" applyBorder="1" applyAlignment="1">
      <alignment vertical="center"/>
    </xf>
    <xf numFmtId="0" fontId="7" fillId="0" borderId="15" xfId="3" applyFont="1" applyBorder="1" applyAlignment="1">
      <alignment horizontal="center" vertical="center"/>
    </xf>
    <xf numFmtId="3" fontId="7" fillId="0" borderId="15" xfId="3" applyNumberFormat="1" applyFont="1" applyFill="1" applyBorder="1" applyAlignment="1">
      <alignment vertical="center"/>
    </xf>
    <xf numFmtId="0" fontId="7" fillId="0" borderId="25" xfId="3" applyFont="1" applyBorder="1" applyAlignment="1">
      <alignment vertical="center"/>
    </xf>
    <xf numFmtId="0" fontId="7" fillId="0" borderId="22" xfId="3" applyFont="1" applyBorder="1" applyAlignment="1">
      <alignment horizontal="center" vertical="center"/>
    </xf>
    <xf numFmtId="3" fontId="7" fillId="0" borderId="22" xfId="3" applyNumberFormat="1" applyFont="1" applyBorder="1" applyAlignment="1">
      <alignment vertical="center"/>
    </xf>
    <xf numFmtId="3" fontId="7" fillId="0" borderId="22" xfId="3" applyNumberFormat="1" applyFont="1" applyFill="1" applyBorder="1" applyAlignment="1">
      <alignment vertical="center"/>
    </xf>
    <xf numFmtId="0" fontId="30" fillId="0" borderId="70" xfId="3" applyFont="1" applyBorder="1" applyAlignment="1">
      <alignment vertical="center"/>
    </xf>
    <xf numFmtId="0" fontId="30" fillId="0" borderId="21" xfId="3" applyFont="1" applyBorder="1" applyAlignment="1">
      <alignment horizontal="center" vertical="center"/>
    </xf>
    <xf numFmtId="3" fontId="30" fillId="0" borderId="21" xfId="3" applyNumberFormat="1" applyFont="1" applyBorder="1" applyAlignment="1">
      <alignment vertical="center"/>
    </xf>
    <xf numFmtId="3" fontId="30" fillId="0" borderId="21" xfId="3" applyNumberFormat="1" applyFont="1" applyFill="1" applyBorder="1" applyAlignment="1">
      <alignment vertical="center"/>
    </xf>
    <xf numFmtId="0" fontId="30" fillId="14" borderId="76" xfId="3" applyFont="1" applyFill="1" applyBorder="1" applyAlignment="1">
      <alignment vertical="center"/>
    </xf>
    <xf numFmtId="0" fontId="7" fillId="0" borderId="0" xfId="14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0" fontId="30" fillId="7" borderId="43" xfId="0" applyFont="1" applyFill="1" applyBorder="1" applyAlignment="1">
      <alignment horizontal="center" vertical="center" wrapText="1"/>
    </xf>
    <xf numFmtId="0" fontId="30" fillId="7" borderId="36" xfId="0" applyFont="1" applyFill="1" applyBorder="1" applyAlignment="1">
      <alignment horizontal="center" vertical="center" wrapText="1"/>
    </xf>
    <xf numFmtId="0" fontId="30" fillId="7" borderId="8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5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3" fontId="7" fillId="0" borderId="38" xfId="0" applyNumberFormat="1" applyFont="1" applyBorder="1" applyAlignment="1">
      <alignment horizontal="right" vertical="top" wrapText="1"/>
    </xf>
    <xf numFmtId="0" fontId="30" fillId="0" borderId="52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top" wrapText="1"/>
    </xf>
    <xf numFmtId="3" fontId="30" fillId="0" borderId="1" xfId="0" applyNumberFormat="1" applyFont="1" applyBorder="1" applyAlignment="1">
      <alignment horizontal="right" vertical="top" wrapText="1"/>
    </xf>
    <xf numFmtId="3" fontId="30" fillId="0" borderId="38" xfId="0" applyNumberFormat="1" applyFont="1" applyBorder="1" applyAlignment="1">
      <alignment horizontal="right" vertical="top" wrapText="1"/>
    </xf>
    <xf numFmtId="0" fontId="30" fillId="4" borderId="52" xfId="0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horizontal="left" vertical="top" wrapText="1"/>
    </xf>
    <xf numFmtId="3" fontId="30" fillId="4" borderId="1" xfId="0" applyNumberFormat="1" applyFont="1" applyFill="1" applyBorder="1" applyAlignment="1">
      <alignment horizontal="right" vertical="top" wrapText="1"/>
    </xf>
    <xf numFmtId="3" fontId="30" fillId="4" borderId="38" xfId="0" applyNumberFormat="1" applyFont="1" applyFill="1" applyBorder="1" applyAlignment="1">
      <alignment horizontal="right" vertical="top" wrapText="1"/>
    </xf>
    <xf numFmtId="0" fontId="30" fillId="4" borderId="82" xfId="0" applyFont="1" applyFill="1" applyBorder="1" applyAlignment="1">
      <alignment horizontal="center" vertical="top" wrapText="1"/>
    </xf>
    <xf numFmtId="0" fontId="30" fillId="4" borderId="83" xfId="0" applyFont="1" applyFill="1" applyBorder="1" applyAlignment="1">
      <alignment horizontal="left" vertical="top" wrapText="1"/>
    </xf>
    <xf numFmtId="3" fontId="30" fillId="4" borderId="83" xfId="0" applyNumberFormat="1" applyFont="1" applyFill="1" applyBorder="1" applyAlignment="1">
      <alignment horizontal="right" vertical="top" wrapText="1"/>
    </xf>
    <xf numFmtId="3" fontId="30" fillId="4" borderId="84" xfId="0" applyNumberFormat="1" applyFont="1" applyFill="1" applyBorder="1" applyAlignment="1">
      <alignment horizontal="right" vertical="top" wrapText="1"/>
    </xf>
    <xf numFmtId="0" fontId="30" fillId="7" borderId="87" xfId="0" applyFont="1" applyFill="1" applyBorder="1" applyAlignment="1">
      <alignment horizontal="center" vertical="top" wrapText="1"/>
    </xf>
    <xf numFmtId="0" fontId="30" fillId="7" borderId="61" xfId="0" applyFont="1" applyFill="1" applyBorder="1" applyAlignment="1">
      <alignment horizontal="left" vertical="top" wrapText="1"/>
    </xf>
    <xf numFmtId="3" fontId="30" fillId="7" borderId="61" xfId="0" applyNumberFormat="1" applyFont="1" applyFill="1" applyBorder="1" applyAlignment="1">
      <alignment horizontal="right" vertical="top" wrapText="1"/>
    </xf>
    <xf numFmtId="3" fontId="30" fillId="7" borderId="88" xfId="0" applyNumberFormat="1" applyFont="1" applyFill="1" applyBorder="1" applyAlignment="1">
      <alignment horizontal="right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3" fontId="7" fillId="0" borderId="6" xfId="0" applyNumberFormat="1" applyFont="1" applyBorder="1" applyAlignment="1">
      <alignment horizontal="right" vertical="top" wrapText="1"/>
    </xf>
    <xf numFmtId="3" fontId="7" fillId="0" borderId="51" xfId="0" applyNumberFormat="1" applyFont="1" applyBorder="1" applyAlignment="1">
      <alignment horizontal="right" vertical="top" wrapText="1"/>
    </xf>
    <xf numFmtId="0" fontId="30" fillId="7" borderId="57" xfId="0" applyFont="1" applyFill="1" applyBorder="1" applyAlignment="1">
      <alignment horizontal="center" vertical="top" wrapText="1"/>
    </xf>
    <xf numFmtId="0" fontId="30" fillId="7" borderId="49" xfId="0" applyFont="1" applyFill="1" applyBorder="1" applyAlignment="1">
      <alignment horizontal="left" vertical="top" wrapText="1"/>
    </xf>
    <xf numFmtId="3" fontId="30" fillId="7" borderId="49" xfId="0" applyNumberFormat="1" applyFont="1" applyFill="1" applyBorder="1" applyAlignment="1">
      <alignment horizontal="right" vertical="top" wrapText="1"/>
    </xf>
    <xf numFmtId="3" fontId="30" fillId="7" borderId="50" xfId="0" applyNumberFormat="1" applyFont="1" applyFill="1" applyBorder="1" applyAlignment="1">
      <alignment horizontal="right" vertical="top" wrapText="1"/>
    </xf>
    <xf numFmtId="3" fontId="3" fillId="0" borderId="0" xfId="0" applyNumberFormat="1" applyFont="1"/>
    <xf numFmtId="165" fontId="63" fillId="4" borderId="1" xfId="8" applyNumberFormat="1" applyFont="1" applyFill="1" applyBorder="1" applyAlignment="1">
      <alignment horizontal="center" vertical="center" wrapText="1"/>
    </xf>
    <xf numFmtId="165" fontId="33" fillId="0" borderId="1" xfId="8" applyNumberFormat="1" applyFont="1" applyBorder="1" applyAlignment="1">
      <alignment horizontal="center" vertical="center"/>
    </xf>
    <xf numFmtId="165" fontId="64" fillId="0" borderId="1" xfId="8" applyNumberFormat="1" applyFont="1" applyBorder="1" applyAlignment="1">
      <alignment horizontal="left" vertical="center"/>
    </xf>
    <xf numFmtId="165" fontId="64" fillId="0" borderId="1" xfId="8" applyNumberFormat="1" applyFont="1" applyBorder="1" applyAlignment="1">
      <alignment horizontal="right" vertical="center"/>
    </xf>
    <xf numFmtId="165" fontId="9" fillId="0" borderId="0" xfId="0" applyNumberFormat="1" applyFont="1"/>
    <xf numFmtId="165" fontId="64" fillId="0" borderId="1" xfId="8" applyNumberFormat="1" applyFont="1" applyBorder="1" applyAlignment="1">
      <alignment horizontal="left" vertical="center" wrapText="1"/>
    </xf>
    <xf numFmtId="165" fontId="63" fillId="15" borderId="1" xfId="8" applyNumberFormat="1" applyFont="1" applyFill="1" applyBorder="1" applyAlignment="1">
      <alignment horizontal="center" vertical="center"/>
    </xf>
    <xf numFmtId="165" fontId="62" fillId="15" borderId="1" xfId="8" applyNumberFormat="1" applyFont="1" applyFill="1" applyBorder="1" applyAlignment="1">
      <alignment horizontal="left" vertical="center" wrapText="1"/>
    </xf>
    <xf numFmtId="165" fontId="62" fillId="15" borderId="1" xfId="8" applyNumberFormat="1" applyFont="1" applyFill="1" applyBorder="1" applyAlignment="1">
      <alignment horizontal="right" vertical="center"/>
    </xf>
    <xf numFmtId="165" fontId="62" fillId="15" borderId="1" xfId="8" applyNumberFormat="1" applyFont="1" applyFill="1" applyBorder="1" applyAlignment="1">
      <alignment horizontal="left" vertical="center"/>
    </xf>
    <xf numFmtId="165" fontId="64" fillId="0" borderId="1" xfId="8" applyNumberFormat="1" applyFont="1" applyFill="1" applyBorder="1" applyAlignment="1">
      <alignment horizontal="left" vertical="center" wrapText="1"/>
    </xf>
    <xf numFmtId="165" fontId="33" fillId="5" borderId="1" xfId="8" applyNumberFormat="1" applyFont="1" applyFill="1" applyBorder="1" applyAlignment="1">
      <alignment horizontal="center" vertical="center"/>
    </xf>
    <xf numFmtId="165" fontId="64" fillId="5" borderId="1" xfId="8" applyNumberFormat="1" applyFont="1" applyFill="1" applyBorder="1" applyAlignment="1">
      <alignment horizontal="left" vertical="center" wrapText="1"/>
    </xf>
    <xf numFmtId="165" fontId="64" fillId="5" borderId="1" xfId="8" quotePrefix="1" applyNumberFormat="1" applyFont="1" applyFill="1" applyBorder="1" applyAlignment="1">
      <alignment horizontal="left" vertical="center" wrapText="1"/>
    </xf>
    <xf numFmtId="165" fontId="64" fillId="15" borderId="1" xfId="8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165" fontId="3" fillId="0" borderId="0" xfId="9" applyNumberFormat="1" applyFont="1"/>
    <xf numFmtId="165" fontId="1" fillId="0" borderId="0" xfId="9" applyNumberFormat="1" applyFont="1" applyAlignment="1"/>
    <xf numFmtId="165" fontId="3" fillId="0" borderId="58" xfId="9" applyNumberFormat="1" applyFont="1" applyBorder="1" applyAlignment="1">
      <alignment wrapText="1"/>
    </xf>
    <xf numFmtId="165" fontId="3" fillId="0" borderId="6" xfId="9" applyNumberFormat="1" applyFont="1" applyBorder="1"/>
    <xf numFmtId="165" fontId="3" fillId="0" borderId="86" xfId="9" applyNumberFormat="1" applyFont="1" applyBorder="1"/>
    <xf numFmtId="165" fontId="3" fillId="0" borderId="15" xfId="9" applyNumberFormat="1" applyFont="1" applyBorder="1"/>
    <xf numFmtId="165" fontId="3" fillId="0" borderId="52" xfId="9" applyNumberFormat="1" applyFont="1" applyBorder="1" applyAlignment="1">
      <alignment wrapText="1"/>
    </xf>
    <xf numFmtId="165" fontId="3" fillId="0" borderId="1" xfId="9" applyNumberFormat="1" applyFont="1" applyBorder="1"/>
    <xf numFmtId="165" fontId="3" fillId="0" borderId="3" xfId="9" applyNumberFormat="1" applyFont="1" applyBorder="1"/>
    <xf numFmtId="165" fontId="3" fillId="0" borderId="18" xfId="9" applyNumberFormat="1" applyFont="1" applyBorder="1"/>
    <xf numFmtId="165" fontId="2" fillId="0" borderId="52" xfId="9" applyNumberFormat="1" applyFont="1" applyBorder="1" applyAlignment="1">
      <alignment wrapText="1"/>
    </xf>
    <xf numFmtId="165" fontId="2" fillId="0" borderId="1" xfId="9" applyNumberFormat="1" applyFont="1" applyBorder="1"/>
    <xf numFmtId="165" fontId="2" fillId="0" borderId="3" xfId="9" applyNumberFormat="1" applyFont="1" applyBorder="1"/>
    <xf numFmtId="165" fontId="2" fillId="0" borderId="18" xfId="9" applyNumberFormat="1" applyFont="1" applyBorder="1"/>
    <xf numFmtId="165" fontId="2" fillId="10" borderId="52" xfId="9" applyNumberFormat="1" applyFont="1" applyFill="1" applyBorder="1" applyAlignment="1">
      <alignment wrapText="1"/>
    </xf>
    <xf numFmtId="165" fontId="2" fillId="10" borderId="1" xfId="9" applyNumberFormat="1" applyFont="1" applyFill="1" applyBorder="1"/>
    <xf numFmtId="165" fontId="2" fillId="10" borderId="3" xfId="9" applyNumberFormat="1" applyFont="1" applyFill="1" applyBorder="1"/>
    <xf numFmtId="165" fontId="2" fillId="10" borderId="18" xfId="9" applyNumberFormat="1" applyFont="1" applyFill="1" applyBorder="1"/>
    <xf numFmtId="165" fontId="2" fillId="4" borderId="52" xfId="9" applyNumberFormat="1" applyFont="1" applyFill="1" applyBorder="1" applyAlignment="1">
      <alignment wrapText="1"/>
    </xf>
    <xf numFmtId="165" fontId="2" fillId="4" borderId="1" xfId="9" applyNumberFormat="1" applyFont="1" applyFill="1" applyBorder="1"/>
    <xf numFmtId="165" fontId="2" fillId="4" borderId="3" xfId="9" applyNumberFormat="1" applyFont="1" applyFill="1" applyBorder="1"/>
    <xf numFmtId="165" fontId="2" fillId="4" borderId="18" xfId="9" applyNumberFormat="1" applyFont="1" applyFill="1" applyBorder="1"/>
    <xf numFmtId="165" fontId="2" fillId="0" borderId="47" xfId="9" applyNumberFormat="1" applyFont="1" applyBorder="1" applyAlignment="1">
      <alignment wrapText="1"/>
    </xf>
    <xf numFmtId="165" fontId="2" fillId="0" borderId="40" xfId="9" applyNumberFormat="1" applyFont="1" applyBorder="1"/>
    <xf numFmtId="165" fontId="3" fillId="0" borderId="40" xfId="9" applyNumberFormat="1" applyFont="1" applyBorder="1"/>
    <xf numFmtId="165" fontId="3" fillId="0" borderId="91" xfId="9" applyNumberFormat="1" applyFont="1" applyBorder="1"/>
    <xf numFmtId="165" fontId="3" fillId="0" borderId="16" xfId="9" applyNumberFormat="1" applyFont="1" applyBorder="1"/>
    <xf numFmtId="0" fontId="3" fillId="0" borderId="22" xfId="0" applyFont="1" applyBorder="1"/>
    <xf numFmtId="0" fontId="5" fillId="0" borderId="0" xfId="0" applyFont="1"/>
    <xf numFmtId="165" fontId="5" fillId="0" borderId="0" xfId="9" applyNumberFormat="1" applyFont="1"/>
    <xf numFmtId="49" fontId="13" fillId="0" borderId="92" xfId="1" applyNumberFormat="1" applyFont="1" applyBorder="1"/>
    <xf numFmtId="0" fontId="12" fillId="3" borderId="1" xfId="1" applyFont="1" applyFill="1" applyBorder="1"/>
    <xf numFmtId="165" fontId="0" fillId="0" borderId="0" xfId="0" applyNumberFormat="1" applyFont="1"/>
    <xf numFmtId="167" fontId="32" fillId="0" borderId="6" xfId="9" applyNumberFormat="1" applyFont="1" applyBorder="1" applyAlignment="1"/>
    <xf numFmtId="167" fontId="7" fillId="0" borderId="1" xfId="9" applyNumberFormat="1" applyFont="1" applyBorder="1" applyAlignment="1"/>
    <xf numFmtId="167" fontId="30" fillId="4" borderId="40" xfId="9" applyNumberFormat="1" applyFont="1" applyFill="1" applyBorder="1" applyAlignment="1">
      <alignment vertical="center"/>
    </xf>
    <xf numFmtId="167" fontId="3" fillId="0" borderId="1" xfId="9" applyNumberFormat="1" applyFont="1" applyFill="1" applyBorder="1" applyAlignment="1"/>
    <xf numFmtId="167" fontId="2" fillId="0" borderId="1" xfId="0" applyNumberFormat="1" applyFont="1" applyFill="1" applyBorder="1" applyAlignment="1"/>
    <xf numFmtId="0" fontId="12" fillId="3" borderId="1" xfId="1" applyFont="1" applyFill="1" applyBorder="1" applyAlignment="1">
      <alignment vertical="center"/>
    </xf>
    <xf numFmtId="0" fontId="30" fillId="7" borderId="63" xfId="0" applyFont="1" applyFill="1" applyBorder="1" applyAlignment="1">
      <alignment horizontal="center" vertical="center" wrapText="1"/>
    </xf>
    <xf numFmtId="0" fontId="30" fillId="7" borderId="85" xfId="0" applyFont="1" applyFill="1" applyBorder="1" applyAlignment="1">
      <alignment horizontal="center" vertical="center" wrapText="1"/>
    </xf>
    <xf numFmtId="0" fontId="30" fillId="7" borderId="64" xfId="0" applyFont="1" applyFill="1" applyBorder="1" applyAlignment="1">
      <alignment horizontal="center" vertical="center" wrapText="1"/>
    </xf>
    <xf numFmtId="3" fontId="0" fillId="0" borderId="0" xfId="0" applyNumberFormat="1" applyFont="1"/>
    <xf numFmtId="3" fontId="12" fillId="0" borderId="51" xfId="1" applyNumberFormat="1" applyFont="1" applyBorder="1" applyAlignment="1">
      <alignment horizontal="right" vertical="center" wrapText="1"/>
    </xf>
    <xf numFmtId="3" fontId="13" fillId="0" borderId="93" xfId="1" applyNumberFormat="1" applyFont="1" applyBorder="1" applyAlignment="1">
      <alignment horizontal="right" vertical="center" wrapText="1"/>
    </xf>
    <xf numFmtId="3" fontId="12" fillId="10" borderId="41" xfId="1" applyNumberFormat="1" applyFont="1" applyFill="1" applyBorder="1"/>
    <xf numFmtId="10" fontId="3" fillId="0" borderId="0" xfId="1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8" fontId="3" fillId="0" borderId="0" xfId="9" applyNumberFormat="1" applyFont="1" applyAlignment="1">
      <alignment vertical="center"/>
    </xf>
    <xf numFmtId="168" fontId="10" fillId="0" borderId="0" xfId="9" applyNumberFormat="1" applyFont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30" fillId="10" borderId="33" xfId="0" applyFont="1" applyFill="1" applyBorder="1" applyAlignment="1">
      <alignment horizontal="center" vertical="center"/>
    </xf>
    <xf numFmtId="0" fontId="32" fillId="10" borderId="3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0" fontId="30" fillId="10" borderId="4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43" fontId="22" fillId="0" borderId="13" xfId="9" applyFont="1" applyBorder="1" applyAlignment="1">
      <alignment horizontal="center" vertical="center"/>
    </xf>
    <xf numFmtId="43" fontId="22" fillId="0" borderId="14" xfId="9" applyFont="1" applyBorder="1" applyAlignment="1">
      <alignment horizontal="center" vertical="center"/>
    </xf>
    <xf numFmtId="0" fontId="12" fillId="0" borderId="70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72" xfId="1" applyFont="1" applyBorder="1" applyAlignment="1">
      <alignment horizontal="center" vertical="center"/>
    </xf>
    <xf numFmtId="0" fontId="12" fillId="0" borderId="73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12" fillId="0" borderId="62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27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23" fillId="0" borderId="37" xfId="1" applyFont="1" applyBorder="1" applyAlignment="1">
      <alignment horizontal="left"/>
    </xf>
    <xf numFmtId="0" fontId="23" fillId="0" borderId="4" xfId="1" applyFont="1" applyBorder="1" applyAlignment="1">
      <alignment horizontal="left"/>
    </xf>
    <xf numFmtId="0" fontId="19" fillId="0" borderId="0" xfId="5" applyFont="1" applyBorder="1" applyAlignment="1">
      <alignment horizontal="center" vertical="center" wrapText="1"/>
    </xf>
    <xf numFmtId="0" fontId="21" fillId="0" borderId="43" xfId="4" applyFont="1" applyBorder="1" applyAlignment="1">
      <alignment horizontal="center" vertical="center" wrapText="1"/>
    </xf>
    <xf numFmtId="0" fontId="21" fillId="0" borderId="47" xfId="4" applyFont="1" applyBorder="1" applyAlignment="1">
      <alignment horizontal="center" vertical="center" wrapText="1"/>
    </xf>
    <xf numFmtId="0" fontId="21" fillId="0" borderId="44" xfId="4" applyNumberFormat="1" applyFont="1" applyBorder="1" applyAlignment="1">
      <alignment horizontal="center" vertical="center" wrapText="1"/>
    </xf>
    <xf numFmtId="0" fontId="21" fillId="0" borderId="48" xfId="4" applyNumberFormat="1" applyFont="1" applyBorder="1" applyAlignment="1">
      <alignment horizontal="center" vertical="center" wrapText="1"/>
    </xf>
    <xf numFmtId="0" fontId="22" fillId="5" borderId="45" xfId="6" applyFont="1" applyFill="1" applyBorder="1" applyAlignment="1">
      <alignment horizontal="center" vertical="center" wrapText="1"/>
    </xf>
    <xf numFmtId="0" fontId="19" fillId="5" borderId="49" xfId="6" applyFont="1" applyFill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0" fontId="22" fillId="0" borderId="50" xfId="1" applyFont="1" applyBorder="1" applyAlignment="1">
      <alignment horizontal="center" vertical="center" wrapText="1"/>
    </xf>
    <xf numFmtId="0" fontId="23" fillId="0" borderId="53" xfId="1" applyFont="1" applyBorder="1" applyAlignment="1">
      <alignment horizontal="left"/>
    </xf>
    <xf numFmtId="0" fontId="23" fillId="0" borderId="54" xfId="1" applyFont="1" applyBorder="1" applyAlignment="1">
      <alignment horizontal="left"/>
    </xf>
    <xf numFmtId="0" fontId="23" fillId="0" borderId="34" xfId="1" applyFont="1" applyBorder="1" applyAlignment="1">
      <alignment horizontal="left"/>
    </xf>
    <xf numFmtId="0" fontId="23" fillId="0" borderId="35" xfId="1" applyFont="1" applyBorder="1" applyAlignment="1">
      <alignment horizontal="left"/>
    </xf>
    <xf numFmtId="0" fontId="27" fillId="0" borderId="21" xfId="4" applyNumberFormat="1" applyFont="1" applyBorder="1" applyAlignment="1">
      <alignment horizontal="center" vertical="center" wrapText="1"/>
    </xf>
    <xf numFmtId="0" fontId="27" fillId="0" borderId="60" xfId="4" applyNumberFormat="1" applyFont="1" applyBorder="1" applyAlignment="1">
      <alignment horizontal="center" vertical="center" wrapText="1"/>
    </xf>
    <xf numFmtId="0" fontId="18" fillId="0" borderId="0" xfId="5" applyFont="1" applyBorder="1" applyAlignment="1">
      <alignment wrapText="1"/>
    </xf>
    <xf numFmtId="0" fontId="27" fillId="0" borderId="55" xfId="4" applyNumberFormat="1" applyFont="1" applyBorder="1" applyAlignment="1">
      <alignment horizontal="center" vertical="center" wrapText="1"/>
    </xf>
    <xf numFmtId="0" fontId="27" fillId="0" borderId="57" xfId="4" applyNumberFormat="1" applyFont="1" applyBorder="1" applyAlignment="1">
      <alignment horizontal="center" vertical="center" wrapText="1"/>
    </xf>
    <xf numFmtId="0" fontId="27" fillId="0" borderId="45" xfId="4" applyNumberFormat="1" applyFont="1" applyBorder="1" applyAlignment="1">
      <alignment horizontal="center" vertical="center" wrapText="1"/>
    </xf>
    <xf numFmtId="0" fontId="27" fillId="0" borderId="49" xfId="4" applyNumberFormat="1" applyFont="1" applyBorder="1" applyAlignment="1">
      <alignment horizontal="center" vertical="center" wrapText="1"/>
    </xf>
    <xf numFmtId="0" fontId="27" fillId="0" borderId="46" xfId="4" applyNumberFormat="1" applyFont="1" applyBorder="1" applyAlignment="1">
      <alignment horizontal="center" vertical="center" wrapText="1"/>
    </xf>
    <xf numFmtId="0" fontId="27" fillId="0" borderId="50" xfId="4" applyNumberFormat="1" applyFont="1" applyBorder="1" applyAlignment="1">
      <alignment horizontal="center" vertical="center" wrapText="1"/>
    </xf>
    <xf numFmtId="0" fontId="27" fillId="0" borderId="56" xfId="4" applyNumberFormat="1" applyFont="1" applyBorder="1" applyAlignment="1">
      <alignment horizontal="center" vertical="center" wrapText="1"/>
    </xf>
    <xf numFmtId="0" fontId="27" fillId="0" borderId="48" xfId="4" applyNumberFormat="1" applyFont="1" applyBorder="1" applyAlignment="1">
      <alignment horizontal="center" vertical="center" wrapText="1"/>
    </xf>
    <xf numFmtId="0" fontId="30" fillId="7" borderId="76" xfId="4" applyNumberFormat="1" applyFont="1" applyFill="1" applyBorder="1" applyAlignment="1">
      <alignment horizontal="center" vertical="center" wrapText="1"/>
    </xf>
    <xf numFmtId="0" fontId="30" fillId="7" borderId="77" xfId="4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7" fillId="0" borderId="28" xfId="5" applyFont="1" applyBorder="1" applyAlignment="1">
      <alignment vertical="top" wrapText="1"/>
    </xf>
    <xf numFmtId="0" fontId="30" fillId="7" borderId="55" xfId="4" applyFont="1" applyFill="1" applyBorder="1" applyAlignment="1">
      <alignment horizontal="center" vertical="center" wrapText="1"/>
    </xf>
    <xf numFmtId="0" fontId="30" fillId="7" borderId="57" xfId="4" applyFont="1" applyFill="1" applyBorder="1" applyAlignment="1">
      <alignment horizontal="center" vertical="center" wrapText="1"/>
    </xf>
    <xf numFmtId="0" fontId="30" fillId="7" borderId="45" xfId="4" applyNumberFormat="1" applyFont="1" applyFill="1" applyBorder="1" applyAlignment="1">
      <alignment horizontal="center" vertical="center" wrapText="1"/>
    </xf>
    <xf numFmtId="0" fontId="30" fillId="7" borderId="49" xfId="4" applyNumberFormat="1" applyFont="1" applyFill="1" applyBorder="1" applyAlignment="1">
      <alignment horizontal="center" vertical="center" wrapText="1"/>
    </xf>
    <xf numFmtId="0" fontId="30" fillId="7" borderId="46" xfId="6" applyFont="1" applyFill="1" applyBorder="1" applyAlignment="1">
      <alignment horizontal="center" vertical="center" wrapText="1"/>
    </xf>
    <xf numFmtId="0" fontId="30" fillId="7" borderId="50" xfId="6" applyFont="1" applyFill="1" applyBorder="1" applyAlignment="1">
      <alignment horizontal="center" vertical="center" wrapText="1"/>
    </xf>
    <xf numFmtId="0" fontId="30" fillId="0" borderId="0" xfId="5" applyFont="1" applyBorder="1" applyAlignment="1">
      <alignment horizontal="center" wrapText="1"/>
    </xf>
    <xf numFmtId="0" fontId="25" fillId="0" borderId="28" xfId="5" applyFont="1" applyBorder="1" applyAlignment="1">
      <alignment horizontal="right" wrapText="1"/>
    </xf>
    <xf numFmtId="0" fontId="8" fillId="5" borderId="0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right" vertical="center" wrapText="1"/>
    </xf>
    <xf numFmtId="0" fontId="56" fillId="5" borderId="57" xfId="0" applyFont="1" applyFill="1" applyBorder="1" applyAlignment="1" applyProtection="1">
      <alignment horizontal="center" vertical="center" wrapText="1"/>
    </xf>
    <xf numFmtId="0" fontId="56" fillId="5" borderId="49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165" fontId="30" fillId="0" borderId="0" xfId="9" applyNumberFormat="1" applyFont="1" applyBorder="1" applyAlignment="1">
      <alignment horizontal="center" vertical="center"/>
    </xf>
    <xf numFmtId="165" fontId="57" fillId="0" borderId="0" xfId="9" applyNumberFormat="1" applyFont="1" applyBorder="1" applyAlignment="1">
      <alignment horizontal="right"/>
    </xf>
    <xf numFmtId="0" fontId="30" fillId="0" borderId="0" xfId="12" applyFont="1" applyBorder="1" applyAlignment="1">
      <alignment horizontal="center" vertical="center"/>
    </xf>
    <xf numFmtId="0" fontId="59" fillId="0" borderId="0" xfId="12" applyFont="1" applyFill="1" applyBorder="1" applyAlignment="1">
      <alignment horizontal="center" vertical="center"/>
    </xf>
    <xf numFmtId="0" fontId="30" fillId="14" borderId="76" xfId="3" applyFont="1" applyFill="1" applyBorder="1" applyAlignment="1">
      <alignment horizontal="center" vertical="center"/>
    </xf>
    <xf numFmtId="0" fontId="30" fillId="14" borderId="13" xfId="3" applyFont="1" applyFill="1" applyBorder="1" applyAlignment="1">
      <alignment horizontal="center" vertical="center"/>
    </xf>
    <xf numFmtId="0" fontId="30" fillId="14" borderId="14" xfId="3" applyFont="1" applyFill="1" applyBorder="1" applyAlignment="1">
      <alignment horizontal="center" vertical="center"/>
    </xf>
    <xf numFmtId="0" fontId="30" fillId="14" borderId="76" xfId="3" applyFont="1" applyFill="1" applyBorder="1" applyAlignment="1">
      <alignment horizontal="center" vertical="center" wrapText="1"/>
    </xf>
    <xf numFmtId="0" fontId="30" fillId="14" borderId="13" xfId="3" applyFont="1" applyFill="1" applyBorder="1" applyAlignment="1">
      <alignment horizontal="center" vertical="center" wrapText="1"/>
    </xf>
    <xf numFmtId="0" fontId="30" fillId="14" borderId="14" xfId="3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0" fontId="61" fillId="0" borderId="0" xfId="0" applyFont="1" applyFill="1" applyAlignment="1">
      <alignment vertical="center"/>
    </xf>
    <xf numFmtId="165" fontId="62" fillId="0" borderId="90" xfId="8" applyNumberFormat="1" applyFont="1" applyFill="1" applyBorder="1" applyAlignment="1">
      <alignment horizontal="center"/>
    </xf>
    <xf numFmtId="165" fontId="62" fillId="0" borderId="0" xfId="8" applyNumberFormat="1" applyFont="1" applyFill="1" applyBorder="1" applyAlignment="1">
      <alignment horizontal="center"/>
    </xf>
    <xf numFmtId="165" fontId="2" fillId="0" borderId="0" xfId="9" applyNumberFormat="1" applyFont="1" applyAlignment="1">
      <alignment horizontal="center"/>
    </xf>
  </cellXfs>
  <cellStyles count="15">
    <cellStyle name="Ezres" xfId="9" builtinId="3"/>
    <cellStyle name="Ezres [0]" xfId="11" builtinId="6"/>
    <cellStyle name="Ezres 2" xfId="2"/>
    <cellStyle name="Ezres 3" xfId="8"/>
    <cellStyle name="Normál" xfId="0" builtinId="0"/>
    <cellStyle name="Normál 2" xfId="1"/>
    <cellStyle name="Normál 3" xfId="3"/>
    <cellStyle name="Normál 4" xfId="7"/>
    <cellStyle name="Normál_08_A_rszámadás 6.4. sz. mellékletek vagyonkimutatás" xfId="12"/>
    <cellStyle name="Normál_3.a.sz.mell.02" xfId="4"/>
    <cellStyle name="Normál_E.i.mód.02.6" xfId="5"/>
    <cellStyle name="Normál_minta 2" xfId="14"/>
    <cellStyle name="Normál_Munkafüzet1" xfId="6"/>
    <cellStyle name="Normál_vagyonkimutatás" xfId="13"/>
    <cellStyle name="Százalék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B45" sqref="B45"/>
    </sheetView>
  </sheetViews>
  <sheetFormatPr defaultRowHeight="15" x14ac:dyDescent="0.25"/>
  <cols>
    <col min="1" max="1" width="15.28515625" customWidth="1"/>
    <col min="2" max="2" width="41" customWidth="1"/>
    <col min="3" max="3" width="20.7109375" customWidth="1"/>
    <col min="4" max="4" width="14.28515625" customWidth="1"/>
    <col min="5" max="5" width="30.140625" bestFit="1" customWidth="1"/>
    <col min="6" max="6" width="13.85546875" customWidth="1"/>
  </cols>
  <sheetData>
    <row r="1" spans="1:7" ht="31.5" customHeight="1" x14ac:dyDescent="0.25">
      <c r="A1" s="2" t="s">
        <v>3</v>
      </c>
      <c r="B1" s="3" t="s">
        <v>24</v>
      </c>
      <c r="C1" s="14" t="s">
        <v>0</v>
      </c>
      <c r="D1" s="10" t="s">
        <v>3</v>
      </c>
      <c r="E1" s="3" t="s">
        <v>38</v>
      </c>
      <c r="F1" s="2" t="s">
        <v>0</v>
      </c>
      <c r="G1" s="1"/>
    </row>
    <row r="2" spans="1:7" x14ac:dyDescent="0.25">
      <c r="A2" s="3" t="s">
        <v>23</v>
      </c>
      <c r="B2" s="815" t="s">
        <v>2</v>
      </c>
      <c r="C2" s="816"/>
      <c r="D2" s="11" t="s">
        <v>23</v>
      </c>
      <c r="E2" s="815" t="s">
        <v>2</v>
      </c>
      <c r="F2" s="822"/>
    </row>
    <row r="3" spans="1:7" x14ac:dyDescent="0.25">
      <c r="A3" s="6" t="s">
        <v>35</v>
      </c>
      <c r="B3" s="4" t="s">
        <v>1</v>
      </c>
      <c r="C3" s="15" t="s">
        <v>70</v>
      </c>
      <c r="D3" s="12" t="s">
        <v>35</v>
      </c>
      <c r="E3" s="5" t="s">
        <v>80</v>
      </c>
      <c r="F3" s="828" t="s">
        <v>79</v>
      </c>
    </row>
    <row r="4" spans="1:7" x14ac:dyDescent="0.25">
      <c r="A4" s="6"/>
      <c r="B4" s="7" t="s">
        <v>15</v>
      </c>
      <c r="C4" s="16"/>
      <c r="D4" s="12" t="s">
        <v>36</v>
      </c>
      <c r="E4" s="5" t="s">
        <v>81</v>
      </c>
      <c r="F4" s="828"/>
    </row>
    <row r="5" spans="1:7" x14ac:dyDescent="0.25">
      <c r="A5" s="6"/>
      <c r="B5" s="7" t="s">
        <v>16</v>
      </c>
      <c r="C5" s="16"/>
      <c r="D5" s="12" t="s">
        <v>47</v>
      </c>
      <c r="E5" s="5" t="s">
        <v>82</v>
      </c>
      <c r="F5" s="828"/>
    </row>
    <row r="6" spans="1:7" x14ac:dyDescent="0.25">
      <c r="A6" s="6" t="s">
        <v>36</v>
      </c>
      <c r="B6" s="4" t="s">
        <v>4</v>
      </c>
      <c r="C6" s="15" t="s">
        <v>71</v>
      </c>
      <c r="D6" s="12" t="s">
        <v>48</v>
      </c>
      <c r="E6" s="5" t="s">
        <v>83</v>
      </c>
      <c r="F6" s="828"/>
    </row>
    <row r="7" spans="1:7" x14ac:dyDescent="0.25">
      <c r="A7" s="6"/>
      <c r="B7" s="7" t="s">
        <v>5</v>
      </c>
      <c r="C7" s="16"/>
      <c r="D7" s="12" t="s">
        <v>49</v>
      </c>
      <c r="E7" s="5" t="s">
        <v>84</v>
      </c>
      <c r="F7" s="828"/>
    </row>
    <row r="8" spans="1:7" x14ac:dyDescent="0.25">
      <c r="A8" s="6"/>
      <c r="B8" s="7" t="s">
        <v>6</v>
      </c>
      <c r="C8" s="16"/>
      <c r="D8" s="12" t="s">
        <v>50</v>
      </c>
      <c r="E8" s="5" t="s">
        <v>85</v>
      </c>
      <c r="F8" s="828"/>
    </row>
    <row r="9" spans="1:7" x14ac:dyDescent="0.25">
      <c r="A9" s="6"/>
      <c r="B9" s="7" t="s">
        <v>7</v>
      </c>
      <c r="C9" s="16"/>
      <c r="D9" s="13"/>
      <c r="E9" s="5"/>
      <c r="F9" s="5"/>
    </row>
    <row r="10" spans="1:7" x14ac:dyDescent="0.25">
      <c r="A10" s="6"/>
      <c r="B10" s="7" t="s">
        <v>8</v>
      </c>
      <c r="C10" s="16"/>
      <c r="D10" s="13"/>
      <c r="E10" s="5"/>
      <c r="F10" s="5"/>
    </row>
    <row r="11" spans="1:7" x14ac:dyDescent="0.25">
      <c r="A11" s="6"/>
      <c r="B11" s="7" t="s">
        <v>10</v>
      </c>
      <c r="C11" s="16"/>
      <c r="D11" s="13"/>
      <c r="E11" s="5"/>
      <c r="F11" s="5"/>
    </row>
    <row r="12" spans="1:7" x14ac:dyDescent="0.25">
      <c r="A12" s="6"/>
      <c r="B12" s="7" t="s">
        <v>11</v>
      </c>
      <c r="C12" s="16"/>
      <c r="D12" s="13"/>
      <c r="E12" s="5"/>
      <c r="F12" s="5"/>
    </row>
    <row r="13" spans="1:7" x14ac:dyDescent="0.25">
      <c r="A13" s="6"/>
      <c r="B13" s="7" t="s">
        <v>12</v>
      </c>
      <c r="C13" s="16"/>
      <c r="D13" s="13"/>
      <c r="E13" s="5"/>
      <c r="F13" s="5"/>
    </row>
    <row r="14" spans="1:7" x14ac:dyDescent="0.25">
      <c r="A14" s="6"/>
      <c r="B14" s="7" t="s">
        <v>13</v>
      </c>
      <c r="C14" s="16"/>
      <c r="D14" s="13"/>
      <c r="E14" s="5"/>
      <c r="F14" s="5"/>
    </row>
    <row r="15" spans="1:7" x14ac:dyDescent="0.25">
      <c r="A15" s="6"/>
      <c r="B15" s="7" t="s">
        <v>14</v>
      </c>
      <c r="C15" s="16"/>
      <c r="D15" s="13"/>
      <c r="E15" s="5"/>
      <c r="F15" s="5"/>
    </row>
    <row r="16" spans="1:7" ht="27" customHeight="1" x14ac:dyDescent="0.25">
      <c r="A16" s="6" t="s">
        <v>47</v>
      </c>
      <c r="B16" s="4" t="s">
        <v>9</v>
      </c>
      <c r="C16" s="17" t="s">
        <v>72</v>
      </c>
      <c r="D16" s="13"/>
      <c r="E16" s="5"/>
      <c r="F16" s="5"/>
    </row>
    <row r="17" spans="1:6" x14ac:dyDescent="0.25">
      <c r="A17" s="5"/>
      <c r="B17" s="7" t="s">
        <v>17</v>
      </c>
      <c r="C17" s="16"/>
      <c r="D17" s="13"/>
      <c r="E17" s="5"/>
      <c r="F17" s="5"/>
    </row>
    <row r="18" spans="1:6" x14ac:dyDescent="0.25">
      <c r="A18" s="5"/>
      <c r="B18" s="7" t="s">
        <v>18</v>
      </c>
      <c r="C18" s="16"/>
      <c r="D18" s="13"/>
      <c r="E18" s="5"/>
      <c r="F18" s="5"/>
    </row>
    <row r="19" spans="1:6" x14ac:dyDescent="0.25">
      <c r="A19" s="5"/>
      <c r="B19" s="7" t="s">
        <v>19</v>
      </c>
      <c r="C19" s="16"/>
      <c r="D19" s="13"/>
      <c r="E19" s="5"/>
      <c r="F19" s="5"/>
    </row>
    <row r="20" spans="1:6" x14ac:dyDescent="0.25">
      <c r="A20" s="5"/>
      <c r="B20" s="7" t="s">
        <v>20</v>
      </c>
      <c r="C20" s="16"/>
      <c r="D20" s="13"/>
      <c r="E20" s="5"/>
      <c r="F20" s="5"/>
    </row>
    <row r="21" spans="1:6" x14ac:dyDescent="0.25">
      <c r="A21" s="5"/>
      <c r="B21" s="7" t="s">
        <v>21</v>
      </c>
      <c r="C21" s="16"/>
      <c r="D21" s="13"/>
      <c r="E21" s="5"/>
      <c r="F21" s="5"/>
    </row>
    <row r="22" spans="1:6" x14ac:dyDescent="0.25">
      <c r="A22" s="5"/>
      <c r="B22" s="7" t="s">
        <v>22</v>
      </c>
      <c r="C22" s="16"/>
      <c r="D22" s="13"/>
      <c r="E22" s="5"/>
      <c r="F22" s="5"/>
    </row>
    <row r="23" spans="1:6" x14ac:dyDescent="0.25">
      <c r="A23" s="6" t="s">
        <v>48</v>
      </c>
      <c r="B23" s="4" t="s">
        <v>25</v>
      </c>
      <c r="C23" s="15" t="s">
        <v>73</v>
      </c>
      <c r="D23" s="13"/>
      <c r="E23" s="5"/>
      <c r="F23" s="5"/>
    </row>
    <row r="24" spans="1:6" x14ac:dyDescent="0.25">
      <c r="A24" s="5"/>
      <c r="B24" s="7" t="s">
        <v>26</v>
      </c>
      <c r="C24" s="16"/>
      <c r="D24" s="13"/>
      <c r="E24" s="5"/>
      <c r="F24" s="5"/>
    </row>
    <row r="25" spans="1:6" x14ac:dyDescent="0.25">
      <c r="A25" s="5"/>
      <c r="B25" s="7" t="s">
        <v>27</v>
      </c>
      <c r="C25" s="16"/>
      <c r="D25" s="13"/>
      <c r="E25" s="5"/>
      <c r="F25" s="5"/>
    </row>
    <row r="26" spans="1:6" x14ac:dyDescent="0.25">
      <c r="A26" s="5"/>
      <c r="B26" s="7" t="s">
        <v>28</v>
      </c>
      <c r="C26" s="16"/>
      <c r="D26" s="13"/>
      <c r="E26" s="5"/>
      <c r="F26" s="5"/>
    </row>
    <row r="27" spans="1:6" x14ac:dyDescent="0.25">
      <c r="A27" s="5"/>
      <c r="B27" s="7" t="s">
        <v>29</v>
      </c>
      <c r="C27" s="16"/>
      <c r="D27" s="13"/>
      <c r="E27" s="5"/>
      <c r="F27" s="5"/>
    </row>
    <row r="28" spans="1:6" x14ac:dyDescent="0.25">
      <c r="A28" s="5"/>
      <c r="B28" s="7" t="s">
        <v>30</v>
      </c>
      <c r="C28" s="16"/>
      <c r="D28" s="13"/>
      <c r="E28" s="5"/>
      <c r="F28" s="5"/>
    </row>
    <row r="29" spans="1:6" x14ac:dyDescent="0.25">
      <c r="A29" s="5"/>
      <c r="B29" s="7" t="s">
        <v>31</v>
      </c>
      <c r="C29" s="16"/>
      <c r="D29" s="13"/>
      <c r="E29" s="5"/>
      <c r="F29" s="5"/>
    </row>
    <row r="30" spans="1:6" x14ac:dyDescent="0.25">
      <c r="A30" s="5"/>
      <c r="B30" s="7" t="s">
        <v>32</v>
      </c>
      <c r="C30" s="16"/>
      <c r="D30" s="13"/>
      <c r="E30" s="5"/>
      <c r="F30" s="5"/>
    </row>
    <row r="31" spans="1:6" x14ac:dyDescent="0.25">
      <c r="A31" s="6" t="s">
        <v>49</v>
      </c>
      <c r="B31" s="4" t="s">
        <v>33</v>
      </c>
      <c r="C31" s="15" t="s">
        <v>74</v>
      </c>
      <c r="D31" s="13"/>
      <c r="E31" s="5"/>
      <c r="F31" s="5"/>
    </row>
    <row r="32" spans="1:6" x14ac:dyDescent="0.25">
      <c r="A32" s="6" t="s">
        <v>50</v>
      </c>
      <c r="B32" s="4" t="s">
        <v>34</v>
      </c>
      <c r="C32" s="15" t="s">
        <v>75</v>
      </c>
      <c r="D32" s="13"/>
      <c r="E32" s="5"/>
      <c r="F32" s="5"/>
    </row>
    <row r="33" spans="1:6" ht="30" x14ac:dyDescent="0.25">
      <c r="A33" s="6" t="s">
        <v>51</v>
      </c>
      <c r="B33" s="8" t="s">
        <v>37</v>
      </c>
      <c r="C33" s="15" t="s">
        <v>76</v>
      </c>
      <c r="D33" s="13"/>
      <c r="E33" s="5"/>
      <c r="F33" s="5"/>
    </row>
    <row r="34" spans="1:6" x14ac:dyDescent="0.25">
      <c r="A34" s="3" t="s">
        <v>45</v>
      </c>
      <c r="B34" s="820" t="s">
        <v>46</v>
      </c>
      <c r="C34" s="829"/>
      <c r="D34" s="11" t="s">
        <v>45</v>
      </c>
      <c r="E34" s="820" t="s">
        <v>46</v>
      </c>
      <c r="F34" s="821"/>
    </row>
    <row r="35" spans="1:6" x14ac:dyDescent="0.25">
      <c r="A35" s="6" t="s">
        <v>52</v>
      </c>
      <c r="B35" s="4" t="s">
        <v>39</v>
      </c>
      <c r="C35" s="15" t="s">
        <v>77</v>
      </c>
      <c r="D35" s="12" t="s">
        <v>52</v>
      </c>
      <c r="E35" s="5" t="s">
        <v>86</v>
      </c>
      <c r="F35" s="817" t="s">
        <v>79</v>
      </c>
    </row>
    <row r="36" spans="1:6" ht="32.25" customHeight="1" x14ac:dyDescent="0.25">
      <c r="A36" s="5"/>
      <c r="B36" s="9" t="s">
        <v>40</v>
      </c>
      <c r="C36" s="16"/>
      <c r="D36" s="12" t="s">
        <v>53</v>
      </c>
      <c r="E36" s="5" t="s">
        <v>87</v>
      </c>
      <c r="F36" s="818"/>
    </row>
    <row r="37" spans="1:6" x14ac:dyDescent="0.25">
      <c r="A37" s="5"/>
      <c r="B37" s="9" t="s">
        <v>41</v>
      </c>
      <c r="C37" s="16"/>
      <c r="D37" s="12" t="s">
        <v>54</v>
      </c>
      <c r="E37" s="5" t="s">
        <v>88</v>
      </c>
      <c r="F37" s="818"/>
    </row>
    <row r="38" spans="1:6" x14ac:dyDescent="0.25">
      <c r="A38" s="6" t="s">
        <v>53</v>
      </c>
      <c r="B38" s="4" t="s">
        <v>43</v>
      </c>
      <c r="C38" s="15" t="s">
        <v>71</v>
      </c>
      <c r="D38" s="12" t="s">
        <v>55</v>
      </c>
      <c r="E38" s="5" t="s">
        <v>89</v>
      </c>
      <c r="F38" s="818"/>
    </row>
    <row r="39" spans="1:6" x14ac:dyDescent="0.25">
      <c r="A39" s="6" t="s">
        <v>54</v>
      </c>
      <c r="B39" s="4" t="s">
        <v>42</v>
      </c>
      <c r="C39" s="15" t="s">
        <v>74</v>
      </c>
      <c r="D39" s="12" t="s">
        <v>69</v>
      </c>
      <c r="E39" s="5" t="s">
        <v>90</v>
      </c>
      <c r="F39" s="819"/>
    </row>
    <row r="40" spans="1:6" x14ac:dyDescent="0.25">
      <c r="A40" s="6" t="s">
        <v>55</v>
      </c>
      <c r="B40" s="4" t="s">
        <v>68</v>
      </c>
      <c r="C40" s="15" t="s">
        <v>75</v>
      </c>
      <c r="D40" s="13"/>
      <c r="E40" s="5"/>
      <c r="F40" s="5"/>
    </row>
    <row r="41" spans="1:6" ht="30" x14ac:dyDescent="0.25">
      <c r="A41" s="6" t="s">
        <v>69</v>
      </c>
      <c r="B41" s="8" t="s">
        <v>44</v>
      </c>
      <c r="C41" s="15" t="s">
        <v>76</v>
      </c>
      <c r="D41" s="13"/>
      <c r="E41" s="5"/>
      <c r="F41" s="5"/>
    </row>
    <row r="42" spans="1:6" x14ac:dyDescent="0.25">
      <c r="A42" s="3" t="s">
        <v>56</v>
      </c>
      <c r="B42" s="815" t="s">
        <v>57</v>
      </c>
      <c r="C42" s="816"/>
      <c r="D42" s="11" t="s">
        <v>56</v>
      </c>
      <c r="E42" s="815" t="s">
        <v>57</v>
      </c>
      <c r="F42" s="822"/>
    </row>
    <row r="43" spans="1:6" x14ac:dyDescent="0.25">
      <c r="A43" s="6" t="s">
        <v>58</v>
      </c>
      <c r="B43" s="5" t="s">
        <v>60</v>
      </c>
      <c r="C43" s="15" t="s">
        <v>78</v>
      </c>
      <c r="D43" s="12" t="s">
        <v>58</v>
      </c>
      <c r="E43" s="5" t="s">
        <v>60</v>
      </c>
      <c r="F43" s="817" t="s">
        <v>79</v>
      </c>
    </row>
    <row r="44" spans="1:6" x14ac:dyDescent="0.25">
      <c r="A44" s="6"/>
      <c r="B44" s="7" t="s">
        <v>61</v>
      </c>
      <c r="C44" s="16"/>
      <c r="D44" s="13"/>
      <c r="E44" s="7" t="s">
        <v>91</v>
      </c>
      <c r="F44" s="818"/>
    </row>
    <row r="45" spans="1:6" x14ac:dyDescent="0.25">
      <c r="A45" s="5"/>
      <c r="B45" s="7" t="s">
        <v>62</v>
      </c>
      <c r="C45" s="16"/>
      <c r="D45" s="13"/>
      <c r="E45" s="7" t="s">
        <v>92</v>
      </c>
      <c r="F45" s="818"/>
    </row>
    <row r="46" spans="1:6" x14ac:dyDescent="0.25">
      <c r="A46" s="6" t="s">
        <v>59</v>
      </c>
      <c r="B46" s="5" t="s">
        <v>63</v>
      </c>
      <c r="C46" s="15" t="s">
        <v>78</v>
      </c>
      <c r="D46" s="12" t="s">
        <v>59</v>
      </c>
      <c r="E46" s="5" t="s">
        <v>63</v>
      </c>
      <c r="F46" s="818"/>
    </row>
    <row r="47" spans="1:6" x14ac:dyDescent="0.25">
      <c r="A47" s="5"/>
      <c r="B47" s="7" t="s">
        <v>61</v>
      </c>
      <c r="C47" s="16"/>
      <c r="D47" s="13"/>
      <c r="E47" s="7" t="s">
        <v>91</v>
      </c>
      <c r="F47" s="818"/>
    </row>
    <row r="48" spans="1:6" x14ac:dyDescent="0.25">
      <c r="A48" s="5"/>
      <c r="B48" s="7" t="s">
        <v>62</v>
      </c>
      <c r="C48" s="16"/>
      <c r="D48" s="13"/>
      <c r="E48" s="7" t="s">
        <v>92</v>
      </c>
      <c r="F48" s="819"/>
    </row>
    <row r="49" spans="1:6" x14ac:dyDescent="0.25">
      <c r="A49" s="5"/>
      <c r="B49" s="7"/>
      <c r="C49" s="16"/>
      <c r="D49" s="11" t="s">
        <v>64</v>
      </c>
      <c r="E49" s="3" t="s">
        <v>95</v>
      </c>
      <c r="F49" s="5"/>
    </row>
    <row r="50" spans="1:6" x14ac:dyDescent="0.25">
      <c r="A50" s="5"/>
      <c r="B50" s="7"/>
      <c r="C50" s="16"/>
      <c r="D50" s="20" t="s">
        <v>101</v>
      </c>
      <c r="E50" s="19" t="s">
        <v>96</v>
      </c>
      <c r="F50" s="823" t="s">
        <v>98</v>
      </c>
    </row>
    <row r="51" spans="1:6" x14ac:dyDescent="0.25">
      <c r="A51" s="5"/>
      <c r="B51" s="7"/>
      <c r="C51" s="16"/>
      <c r="D51" s="12" t="s">
        <v>102</v>
      </c>
      <c r="E51" s="5" t="s">
        <v>97</v>
      </c>
      <c r="F51" s="824"/>
    </row>
    <row r="52" spans="1:6" x14ac:dyDescent="0.25">
      <c r="A52" s="5"/>
      <c r="B52" s="7"/>
      <c r="C52" s="16"/>
      <c r="D52" s="13"/>
      <c r="E52" s="7" t="s">
        <v>66</v>
      </c>
      <c r="F52" s="5"/>
    </row>
    <row r="53" spans="1:6" x14ac:dyDescent="0.25">
      <c r="A53" s="5"/>
      <c r="B53" s="7"/>
      <c r="C53" s="16"/>
      <c r="D53" s="13"/>
      <c r="E53" s="7" t="s">
        <v>67</v>
      </c>
      <c r="F53" s="5"/>
    </row>
    <row r="54" spans="1:6" ht="30" x14ac:dyDescent="0.25">
      <c r="A54" s="3" t="s">
        <v>64</v>
      </c>
      <c r="B54" s="8" t="s">
        <v>65</v>
      </c>
      <c r="C54" s="825" t="s">
        <v>99</v>
      </c>
      <c r="D54" s="3" t="s">
        <v>100</v>
      </c>
      <c r="E54" s="8" t="s">
        <v>94</v>
      </c>
      <c r="F54" s="817" t="s">
        <v>99</v>
      </c>
    </row>
    <row r="55" spans="1:6" x14ac:dyDescent="0.25">
      <c r="A55" s="5"/>
      <c r="B55" s="7" t="s">
        <v>66</v>
      </c>
      <c r="C55" s="826"/>
      <c r="D55" s="13"/>
      <c r="E55" s="7" t="s">
        <v>66</v>
      </c>
      <c r="F55" s="818"/>
    </row>
    <row r="56" spans="1:6" x14ac:dyDescent="0.25">
      <c r="A56" s="5"/>
      <c r="B56" s="7" t="s">
        <v>67</v>
      </c>
      <c r="C56" s="827"/>
      <c r="D56" s="13"/>
      <c r="E56" s="7" t="s">
        <v>67</v>
      </c>
      <c r="F56" s="819"/>
    </row>
    <row r="57" spans="1:6" x14ac:dyDescent="0.25">
      <c r="A57" s="5"/>
      <c r="B57" s="18" t="s">
        <v>93</v>
      </c>
      <c r="C57" s="16"/>
      <c r="D57" s="13"/>
      <c r="E57" s="18" t="s">
        <v>93</v>
      </c>
      <c r="F57" s="5"/>
    </row>
  </sheetData>
  <mergeCells count="12">
    <mergeCell ref="F43:F48"/>
    <mergeCell ref="F50:F51"/>
    <mergeCell ref="C54:C56"/>
    <mergeCell ref="F54:F56"/>
    <mergeCell ref="F3:F8"/>
    <mergeCell ref="B34:C34"/>
    <mergeCell ref="B2:C2"/>
    <mergeCell ref="F35:F39"/>
    <mergeCell ref="E34:F34"/>
    <mergeCell ref="B42:C42"/>
    <mergeCell ref="E42:F42"/>
    <mergeCell ref="E2:F2"/>
  </mergeCells>
  <pageMargins left="0.7" right="0.7" top="0.75" bottom="0.75" header="0.3" footer="0.3"/>
  <pageSetup paperSize="9" scale="6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view="pageBreakPreview" zoomScale="70" zoomScaleNormal="70" zoomScaleSheetLayoutView="70" workbookViewId="0">
      <selection activeCell="H7" sqref="H7"/>
    </sheetView>
  </sheetViews>
  <sheetFormatPr defaultRowHeight="15" x14ac:dyDescent="0.25"/>
  <cols>
    <col min="1" max="1" width="4.7109375" style="21" customWidth="1"/>
    <col min="2" max="2" width="71.5703125" style="21" customWidth="1"/>
    <col min="3" max="3" width="18.42578125" style="21" customWidth="1"/>
    <col min="4" max="4" width="18.140625" style="21" customWidth="1"/>
    <col min="5" max="5" width="16.140625" style="21" customWidth="1"/>
    <col min="6" max="6" width="14.28515625" style="426" customWidth="1"/>
    <col min="7" max="7" width="5.140625" style="21" customWidth="1"/>
    <col min="8" max="8" width="71.5703125" style="21" customWidth="1"/>
    <col min="9" max="9" width="18" style="21" customWidth="1"/>
    <col min="10" max="10" width="14.85546875" style="21" customWidth="1"/>
    <col min="11" max="11" width="15.140625" style="21" customWidth="1"/>
    <col min="12" max="12" width="12.5703125" style="426" customWidth="1"/>
    <col min="13" max="16384" width="9.140625" style="21"/>
  </cols>
  <sheetData>
    <row r="1" spans="1:12" ht="40.5" customHeight="1" x14ac:dyDescent="0.25">
      <c r="A1" s="76"/>
      <c r="B1" s="77" t="s">
        <v>507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508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C3+C17+C24+C35</f>
        <v>65557400</v>
      </c>
      <c r="D2" s="308">
        <f>D3+D17+D24+D35</f>
        <v>65557400</v>
      </c>
      <c r="E2" s="308">
        <f>E3+E17+E24+E35</f>
        <v>66361742</v>
      </c>
      <c r="F2" s="414">
        <f>+E2/D2</f>
        <v>1.012269278525384</v>
      </c>
      <c r="G2" s="306"/>
      <c r="H2" s="307" t="s">
        <v>196</v>
      </c>
      <c r="I2" s="308">
        <f>I3+I7+I17+I24+I35</f>
        <v>159329265.338</v>
      </c>
      <c r="J2" s="308">
        <f>J3+J7+J17+J24+J35</f>
        <v>159329265</v>
      </c>
      <c r="K2" s="308">
        <f>K3+K7+K17+K24+K35</f>
        <v>148790642</v>
      </c>
      <c r="L2" s="414">
        <f>+K2/J2</f>
        <v>0.93385632576664435</v>
      </c>
    </row>
    <row r="3" spans="1:12" ht="20.25" customHeight="1" x14ac:dyDescent="0.25">
      <c r="A3" s="231" t="s">
        <v>23</v>
      </c>
      <c r="B3" s="232" t="s">
        <v>312</v>
      </c>
      <c r="C3" s="233">
        <f>C4+C11+C12+C13+C14+C15</f>
        <v>0</v>
      </c>
      <c r="D3" s="233">
        <f>D4+D11+D12+D13+D14+D15</f>
        <v>0</v>
      </c>
      <c r="E3" s="233">
        <f>E4+E11+E12+E13+E14+E15</f>
        <v>0</v>
      </c>
      <c r="F3" s="429">
        <f>F4+F11+F12+F13+F14+F15</f>
        <v>0</v>
      </c>
      <c r="G3" s="231" t="s">
        <v>23</v>
      </c>
      <c r="H3" s="227" t="s">
        <v>213</v>
      </c>
      <c r="I3" s="228">
        <f>SUM(I4:I5)</f>
        <v>54598850</v>
      </c>
      <c r="J3" s="228">
        <f t="shared" ref="J3:K3" si="0">SUM(J4:J5)</f>
        <v>54159915</v>
      </c>
      <c r="K3" s="228">
        <f t="shared" si="0"/>
        <v>52702114</v>
      </c>
      <c r="L3" s="415">
        <f>+K3/J3</f>
        <v>0.97308339571803237</v>
      </c>
    </row>
    <row r="4" spans="1:12" ht="20.25" customHeight="1" x14ac:dyDescent="0.25">
      <c r="A4" s="70"/>
      <c r="B4" s="108" t="s">
        <v>247</v>
      </c>
      <c r="C4" s="106">
        <f>SUM(C5:C8)</f>
        <v>0</v>
      </c>
      <c r="D4" s="106">
        <f t="shared" ref="D4:F4" si="1">SUM(D5:D8)</f>
        <v>0</v>
      </c>
      <c r="E4" s="106">
        <f t="shared" si="1"/>
        <v>0</v>
      </c>
      <c r="F4" s="427">
        <f t="shared" si="1"/>
        <v>0</v>
      </c>
      <c r="G4" s="80"/>
      <c r="H4" s="69" t="s">
        <v>500</v>
      </c>
      <c r="I4" s="95">
        <f>'5.a forrás részletes'!U13+'5.a forrás részletes'!I13</f>
        <v>54448850</v>
      </c>
      <c r="J4" s="95">
        <f>'5.a forrás részletes'!V13+'5.a forrás részletes'!J13</f>
        <v>53279915</v>
      </c>
      <c r="K4" s="95">
        <f>'5.a forrás részletes'!W13+'5.a forrás részletes'!K13</f>
        <v>51822584</v>
      </c>
      <c r="L4" s="416">
        <f>+K4/J4</f>
        <v>0.97264764780499369</v>
      </c>
    </row>
    <row r="5" spans="1:12" ht="24" customHeight="1" x14ac:dyDescent="0.25">
      <c r="A5" s="80"/>
      <c r="B5" s="83" t="s">
        <v>248</v>
      </c>
      <c r="C5" s="106">
        <f>'5.a forrás részletes'!C6+'5.a forrás részletes'!O6</f>
        <v>0</v>
      </c>
      <c r="D5" s="106">
        <f>'5.a forrás részletes'!D6+'5.a forrás részletes'!P6</f>
        <v>0</v>
      </c>
      <c r="E5" s="106">
        <f>'5.a forrás részletes'!E6+'5.a forrás részletes'!Q6</f>
        <v>0</v>
      </c>
      <c r="F5" s="427">
        <f>'5.a forrás részletes'!F6+'5.a forrás részletes'!R6</f>
        <v>0</v>
      </c>
      <c r="G5" s="80"/>
      <c r="H5" s="69" t="s">
        <v>501</v>
      </c>
      <c r="I5" s="95">
        <f>'5.a forrás részletes'!I17+'5.a forrás részletes'!U17</f>
        <v>150000</v>
      </c>
      <c r="J5" s="95">
        <f>'5.a forrás részletes'!J17+'5.a forrás részletes'!V17</f>
        <v>880000</v>
      </c>
      <c r="K5" s="95">
        <f>'5.a forrás részletes'!K17+'5.a forrás részletes'!W17</f>
        <v>879530</v>
      </c>
      <c r="L5" s="416">
        <f>+K5/J5</f>
        <v>0.99946590909090904</v>
      </c>
    </row>
    <row r="6" spans="1:12" ht="24" customHeight="1" x14ac:dyDescent="0.25">
      <c r="A6" s="80"/>
      <c r="B6" s="83" t="s">
        <v>249</v>
      </c>
      <c r="C6" s="106"/>
      <c r="D6" s="106"/>
      <c r="E6" s="106"/>
      <c r="F6" s="427"/>
      <c r="G6" s="80"/>
      <c r="H6" s="69"/>
      <c r="I6" s="95"/>
      <c r="J6" s="95"/>
      <c r="K6" s="95"/>
      <c r="L6" s="416"/>
    </row>
    <row r="7" spans="1:12" ht="22.5" customHeight="1" x14ac:dyDescent="0.25">
      <c r="A7" s="80"/>
      <c r="B7" s="83" t="s">
        <v>250</v>
      </c>
      <c r="C7" s="106">
        <f>'5.a forrás részletes'!C8+'5.a forrás részletes'!O8</f>
        <v>0</v>
      </c>
      <c r="D7" s="106">
        <f>'5.a forrás részletes'!D8+'5.a forrás részletes'!P8</f>
        <v>0</v>
      </c>
      <c r="E7" s="106">
        <f>'5.a forrás részletes'!E8+'5.a forrás részletes'!Q8</f>
        <v>0</v>
      </c>
      <c r="F7" s="427">
        <f>'5.a forrás részletes'!F8+'5.a forrás részletes'!R8</f>
        <v>0</v>
      </c>
      <c r="G7" s="231" t="s">
        <v>45</v>
      </c>
      <c r="H7" s="227" t="s">
        <v>214</v>
      </c>
      <c r="I7" s="228">
        <f>'5.a forrás részletes'!U18+'5.a forrás részletes'!I18+1</f>
        <v>11007065.338</v>
      </c>
      <c r="J7" s="228">
        <f>'5.a forrás részletes'!V18+'5.a forrás részletes'!J18</f>
        <v>11446000</v>
      </c>
      <c r="K7" s="228">
        <f>'5.a forrás részletes'!W18+'5.a forrás részletes'!K18</f>
        <v>11445651</v>
      </c>
      <c r="L7" s="415">
        <f>+K7/J7</f>
        <v>0.9999695089987769</v>
      </c>
    </row>
    <row r="8" spans="1:12" ht="22.5" customHeight="1" x14ac:dyDescent="0.25">
      <c r="A8" s="80"/>
      <c r="B8" s="83" t="s">
        <v>251</v>
      </c>
      <c r="C8" s="106"/>
      <c r="D8" s="106"/>
      <c r="E8" s="106"/>
      <c r="F8" s="427"/>
      <c r="G8" s="80"/>
      <c r="H8" s="69"/>
      <c r="I8" s="95"/>
      <c r="J8" s="95"/>
      <c r="K8" s="95"/>
      <c r="L8" s="416"/>
    </row>
    <row r="9" spans="1:12" ht="24.75" customHeight="1" x14ac:dyDescent="0.25">
      <c r="A9" s="80"/>
      <c r="B9" s="83" t="s">
        <v>252</v>
      </c>
      <c r="C9" s="81" t="s">
        <v>253</v>
      </c>
      <c r="D9" s="81" t="s">
        <v>253</v>
      </c>
      <c r="E9" s="81"/>
      <c r="F9" s="427"/>
      <c r="G9" s="80"/>
      <c r="H9" s="69"/>
      <c r="I9" s="95"/>
      <c r="J9" s="95"/>
      <c r="K9" s="95"/>
      <c r="L9" s="416"/>
    </row>
    <row r="10" spans="1:12" ht="18" customHeight="1" x14ac:dyDescent="0.25">
      <c r="A10" s="80"/>
      <c r="B10" s="83" t="s">
        <v>254</v>
      </c>
      <c r="C10" s="81" t="s">
        <v>253</v>
      </c>
      <c r="D10" s="81" t="s">
        <v>253</v>
      </c>
      <c r="E10" s="81"/>
      <c r="F10" s="427"/>
      <c r="G10" s="84"/>
      <c r="H10" s="69"/>
      <c r="I10" s="96"/>
      <c r="J10" s="96"/>
      <c r="K10" s="96"/>
      <c r="L10" s="431"/>
    </row>
    <row r="11" spans="1:12" ht="20.25" customHeight="1" x14ac:dyDescent="0.25">
      <c r="A11" s="80"/>
      <c r="B11" s="83" t="s">
        <v>255</v>
      </c>
      <c r="C11" s="87"/>
      <c r="D11" s="87"/>
      <c r="E11" s="87"/>
      <c r="F11" s="422"/>
      <c r="G11" s="84"/>
      <c r="I11" s="104"/>
      <c r="J11" s="104"/>
      <c r="K11" s="104"/>
      <c r="L11" s="418"/>
    </row>
    <row r="12" spans="1:12" ht="30" x14ac:dyDescent="0.25">
      <c r="A12" s="70"/>
      <c r="B12" s="83" t="s">
        <v>256</v>
      </c>
      <c r="C12" s="106"/>
      <c r="D12" s="106"/>
      <c r="E12" s="106"/>
      <c r="F12" s="427"/>
      <c r="G12" s="84"/>
      <c r="H12" s="69"/>
      <c r="I12" s="97"/>
      <c r="J12" s="97"/>
      <c r="K12" s="97"/>
      <c r="L12" s="419"/>
    </row>
    <row r="13" spans="1:12" ht="29.25" customHeight="1" x14ac:dyDescent="0.25">
      <c r="A13" s="70"/>
      <c r="B13" s="83" t="s">
        <v>257</v>
      </c>
      <c r="C13" s="106"/>
      <c r="D13" s="106"/>
      <c r="E13" s="106"/>
      <c r="F13" s="427"/>
      <c r="G13" s="84"/>
      <c r="H13" s="69"/>
      <c r="I13" s="97"/>
      <c r="J13" s="97"/>
      <c r="K13" s="97"/>
      <c r="L13" s="419"/>
    </row>
    <row r="14" spans="1:12" ht="29.25" customHeight="1" x14ac:dyDescent="0.25">
      <c r="A14" s="70"/>
      <c r="B14" s="83" t="s">
        <v>258</v>
      </c>
      <c r="C14" s="106"/>
      <c r="D14" s="106"/>
      <c r="E14" s="106"/>
      <c r="F14" s="427"/>
      <c r="G14" s="84"/>
      <c r="H14" s="69"/>
      <c r="I14" s="97"/>
      <c r="J14" s="97"/>
      <c r="K14" s="97"/>
      <c r="L14" s="419"/>
    </row>
    <row r="15" spans="1:12" ht="29.25" customHeight="1" x14ac:dyDescent="0.25">
      <c r="A15" s="70"/>
      <c r="B15" s="83" t="s">
        <v>259</v>
      </c>
      <c r="C15" s="106">
        <f>'5.a forrás részletes'!C17+'5.a forrás részletes'!O17</f>
        <v>0</v>
      </c>
      <c r="D15" s="106">
        <f>'5.a forrás részletes'!D17+'5.a forrás részletes'!P17</f>
        <v>0</v>
      </c>
      <c r="E15" s="106">
        <f>'5.a forrás részletes'!E17+'5.a forrás részletes'!Q17</f>
        <v>0</v>
      </c>
      <c r="F15" s="427">
        <f>'5.a forrás részletes'!F17+'5.a forrás részletes'!R17</f>
        <v>0</v>
      </c>
      <c r="G15" s="84"/>
      <c r="H15" s="87"/>
      <c r="I15" s="104"/>
      <c r="J15" s="104"/>
      <c r="K15" s="104"/>
      <c r="L15" s="418"/>
    </row>
    <row r="16" spans="1:12" ht="18.75" customHeight="1" x14ac:dyDescent="0.25">
      <c r="A16" s="70"/>
      <c r="C16" s="106"/>
      <c r="D16" s="106"/>
      <c r="E16" s="106"/>
      <c r="F16" s="427"/>
      <c r="H16" s="87"/>
      <c r="I16" s="97"/>
      <c r="J16" s="97"/>
      <c r="K16" s="97"/>
      <c r="L16" s="419"/>
    </row>
    <row r="17" spans="1:12" ht="20.25" customHeight="1" x14ac:dyDescent="0.25">
      <c r="A17" s="231" t="s">
        <v>45</v>
      </c>
      <c r="B17" s="232" t="s">
        <v>266</v>
      </c>
      <c r="C17" s="233">
        <f>C18+C19+C23</f>
        <v>0</v>
      </c>
      <c r="D17" s="233">
        <f t="shared" ref="D17:F17" si="2">D18+D19+D23</f>
        <v>0</v>
      </c>
      <c r="E17" s="233">
        <f t="shared" si="2"/>
        <v>0</v>
      </c>
      <c r="F17" s="429">
        <f t="shared" si="2"/>
        <v>0</v>
      </c>
      <c r="G17" s="231" t="s">
        <v>56</v>
      </c>
      <c r="H17" s="227" t="s">
        <v>215</v>
      </c>
      <c r="I17" s="228">
        <f>SUM(I18:I22)</f>
        <v>93723350</v>
      </c>
      <c r="J17" s="228">
        <f t="shared" ref="J17:K17" si="3">SUM(J18:J22)</f>
        <v>93723350</v>
      </c>
      <c r="K17" s="228">
        <f t="shared" si="3"/>
        <v>84642877</v>
      </c>
      <c r="L17" s="415">
        <f>+K17/J17</f>
        <v>0.90311407989577841</v>
      </c>
    </row>
    <row r="18" spans="1:12" ht="20.25" customHeight="1" x14ac:dyDescent="0.25">
      <c r="A18" s="85"/>
      <c r="B18" s="87" t="s">
        <v>267</v>
      </c>
      <c r="C18" s="95"/>
      <c r="D18" s="95"/>
      <c r="E18" s="95"/>
      <c r="F18" s="416"/>
      <c r="G18" s="71"/>
      <c r="H18" s="115" t="s">
        <v>238</v>
      </c>
      <c r="I18" s="104">
        <f>'5.a forrás részletes'!U44+'5.a forrás részletes'!I44</f>
        <v>50210000</v>
      </c>
      <c r="J18" s="104">
        <f>'5.a forrás részletes'!V44+'5.a forrás részletes'!J44</f>
        <v>48763000</v>
      </c>
      <c r="K18" s="104">
        <f>'5.a forrás részletes'!W44+'5.a forrás részletes'!K44</f>
        <v>43409906</v>
      </c>
      <c r="L18" s="416">
        <f t="shared" ref="L18:L22" si="4">+K18/J18</f>
        <v>0.89022221766503296</v>
      </c>
    </row>
    <row r="19" spans="1:12" ht="20.25" customHeight="1" x14ac:dyDescent="0.25">
      <c r="A19" s="85"/>
      <c r="B19" s="87" t="s">
        <v>268</v>
      </c>
      <c r="C19" s="95"/>
      <c r="D19" s="95"/>
      <c r="E19" s="95"/>
      <c r="F19" s="416"/>
      <c r="G19" s="71"/>
      <c r="H19" s="115" t="s">
        <v>239</v>
      </c>
      <c r="I19" s="104">
        <f>'5.a forrás részletes'!U47+'5.a forrás részletes'!I47</f>
        <v>706000</v>
      </c>
      <c r="J19" s="104">
        <f>'5.a forrás részletes'!V47+'5.a forrás részletes'!J47</f>
        <v>706000</v>
      </c>
      <c r="K19" s="104">
        <f>'5.a forrás részletes'!W47+'5.a forrás részletes'!K47</f>
        <v>546780</v>
      </c>
      <c r="L19" s="416">
        <f t="shared" si="4"/>
        <v>0.77447592067988669</v>
      </c>
    </row>
    <row r="20" spans="1:12" ht="20.25" customHeight="1" x14ac:dyDescent="0.25">
      <c r="A20" s="85"/>
      <c r="B20" s="87" t="s">
        <v>269</v>
      </c>
      <c r="C20" s="95"/>
      <c r="D20" s="95"/>
      <c r="E20" s="95"/>
      <c r="F20" s="416"/>
      <c r="G20" s="71"/>
      <c r="H20" s="115" t="s">
        <v>240</v>
      </c>
      <c r="I20" s="104">
        <f>'5.a forrás részletes'!U74+'5.a forrás részletes'!I74</f>
        <v>20808650</v>
      </c>
      <c r="J20" s="104">
        <f>'5.a forrás részletes'!V74+'5.a forrás részletes'!J74</f>
        <v>22255650</v>
      </c>
      <c r="K20" s="104">
        <f>'5.a forrás részletes'!W74+'5.a forrás részletes'!K74</f>
        <v>20008539</v>
      </c>
      <c r="L20" s="416">
        <f t="shared" si="4"/>
        <v>0.8990318862850557</v>
      </c>
    </row>
    <row r="21" spans="1:12" ht="20.25" customHeight="1" x14ac:dyDescent="0.25">
      <c r="A21" s="85"/>
      <c r="B21" s="87" t="s">
        <v>270</v>
      </c>
      <c r="C21" s="95"/>
      <c r="D21" s="95"/>
      <c r="E21" s="95"/>
      <c r="F21" s="416"/>
      <c r="G21" s="71"/>
      <c r="H21" s="115" t="s">
        <v>241</v>
      </c>
      <c r="I21" s="104">
        <f>'5.a forrás részletes'!U77+'5.a forrás részletes'!I77</f>
        <v>1234000</v>
      </c>
      <c r="J21" s="104">
        <f>'5.a forrás részletes'!V77+'5.a forrás részletes'!J77</f>
        <v>1234000</v>
      </c>
      <c r="K21" s="104">
        <f>'5.a forrás részletes'!W77+'5.a forrás részletes'!K77</f>
        <v>880024</v>
      </c>
      <c r="L21" s="416">
        <f t="shared" si="4"/>
        <v>0.7131474878444084</v>
      </c>
    </row>
    <row r="22" spans="1:12" ht="20.25" customHeight="1" x14ac:dyDescent="0.25">
      <c r="A22" s="85"/>
      <c r="B22" s="87" t="s">
        <v>271</v>
      </c>
      <c r="C22" s="95"/>
      <c r="D22" s="95"/>
      <c r="E22" s="95"/>
      <c r="F22" s="416"/>
      <c r="G22" s="71"/>
      <c r="H22" s="115" t="s">
        <v>242</v>
      </c>
      <c r="I22" s="104">
        <f>'5.a forrás részletes'!U83+'5.a forrás részletes'!I83</f>
        <v>20764700</v>
      </c>
      <c r="J22" s="104">
        <f>'5.a forrás részletes'!V83+'5.a forrás részletes'!J83</f>
        <v>20764700</v>
      </c>
      <c r="K22" s="104">
        <f>'5.a forrás részletes'!W83+'5.a forrás részletes'!K83</f>
        <v>19797628</v>
      </c>
      <c r="L22" s="416">
        <f t="shared" si="4"/>
        <v>0.95342711428530147</v>
      </c>
    </row>
    <row r="23" spans="1:12" ht="20.25" customHeight="1" x14ac:dyDescent="0.25">
      <c r="A23" s="85"/>
      <c r="B23" s="87" t="s">
        <v>272</v>
      </c>
      <c r="C23" s="95"/>
      <c r="D23" s="95"/>
      <c r="E23" s="95"/>
      <c r="F23" s="416"/>
      <c r="G23" s="71"/>
      <c r="H23" s="71"/>
      <c r="I23" s="97"/>
      <c r="J23" s="97"/>
      <c r="K23" s="97"/>
      <c r="L23" s="419"/>
    </row>
    <row r="24" spans="1:12" ht="20.25" customHeight="1" x14ac:dyDescent="0.25">
      <c r="A24" s="231" t="s">
        <v>56</v>
      </c>
      <c r="B24" s="232" t="s">
        <v>273</v>
      </c>
      <c r="C24" s="233">
        <f>SUM(C25:C34)</f>
        <v>65557400</v>
      </c>
      <c r="D24" s="233">
        <f t="shared" ref="D24" si="5">SUM(D25:D34)</f>
        <v>65557400</v>
      </c>
      <c r="E24" s="233">
        <f>SUM(E25:E34)</f>
        <v>66361742</v>
      </c>
      <c r="F24" s="429">
        <f>+E24/D24</f>
        <v>1.012269278525384</v>
      </c>
      <c r="G24" s="231" t="s">
        <v>64</v>
      </c>
      <c r="H24" s="227" t="s">
        <v>216</v>
      </c>
      <c r="I24" s="228">
        <f>'5.a forrás részletes'!I84+'5.a forrás részletes'!U84</f>
        <v>0</v>
      </c>
      <c r="J24" s="228">
        <f>'5.a forrás részletes'!J84+'5.a forrás részletes'!V84</f>
        <v>0</v>
      </c>
      <c r="K24" s="228">
        <f>'5.a forrás részletes'!K84+'5.a forrás részletes'!W84</f>
        <v>0</v>
      </c>
      <c r="L24" s="415">
        <f>'5.a forrás részletes'!L84+'5.a forrás részletes'!X84</f>
        <v>0</v>
      </c>
    </row>
    <row r="25" spans="1:12" ht="20.25" customHeight="1" x14ac:dyDescent="0.25">
      <c r="A25" s="85"/>
      <c r="B25" s="88" t="s">
        <v>274</v>
      </c>
      <c r="C25" s="101">
        <f>'5.a forrás részletes'!C26+'5.a forrás részletes'!O26</f>
        <v>0</v>
      </c>
      <c r="D25" s="101">
        <f>'5.a forrás részletes'!D26+'5.a forrás részletes'!P26</f>
        <v>0</v>
      </c>
      <c r="E25" s="101">
        <f>'5.a forrás részletes'!E26+'5.a forrás részletes'!Q26</f>
        <v>0</v>
      </c>
      <c r="F25" s="422">
        <f>'5.a forrás részletes'!F26+'5.a forrás részletes'!R26</f>
        <v>0</v>
      </c>
      <c r="G25" s="71"/>
      <c r="H25" s="71" t="s">
        <v>202</v>
      </c>
      <c r="I25" s="100"/>
      <c r="J25" s="100"/>
      <c r="K25" s="100"/>
      <c r="L25" s="420"/>
    </row>
    <row r="26" spans="1:12" ht="20.25" customHeight="1" x14ac:dyDescent="0.25">
      <c r="A26" s="85"/>
      <c r="B26" s="88" t="s">
        <v>275</v>
      </c>
      <c r="C26" s="101">
        <f>'5.a forrás részletes'!C27+'5.a forrás részletes'!O27</f>
        <v>50545000</v>
      </c>
      <c r="D26" s="101">
        <f>'5.a forrás részletes'!D27+'5.a forrás részletes'!P27</f>
        <v>50545000</v>
      </c>
      <c r="E26" s="101">
        <f>'5.a forrás részletes'!E27+'5.a forrás részletes'!Q27</f>
        <v>50665610</v>
      </c>
      <c r="F26" s="422">
        <f>+E26/D26</f>
        <v>1.002386190523296</v>
      </c>
      <c r="G26" s="71"/>
      <c r="H26" s="87" t="s">
        <v>203</v>
      </c>
      <c r="I26" s="100"/>
      <c r="J26" s="100"/>
      <c r="K26" s="100"/>
      <c r="L26" s="420"/>
    </row>
    <row r="27" spans="1:12" ht="20.25" customHeight="1" x14ac:dyDescent="0.25">
      <c r="A27" s="85"/>
      <c r="B27" s="88" t="s">
        <v>276</v>
      </c>
      <c r="C27" s="101"/>
      <c r="D27" s="101"/>
      <c r="E27" s="101">
        <f>+'5.a forrás részletes'!E33</f>
        <v>269160</v>
      </c>
      <c r="F27" s="422"/>
      <c r="G27" s="71"/>
      <c r="H27" s="71" t="s">
        <v>204</v>
      </c>
      <c r="I27" s="100"/>
      <c r="J27" s="100"/>
      <c r="K27" s="100"/>
      <c r="L27" s="420"/>
    </row>
    <row r="28" spans="1:12" ht="20.25" customHeight="1" x14ac:dyDescent="0.25">
      <c r="A28" s="85"/>
      <c r="B28" s="88" t="s">
        <v>277</v>
      </c>
      <c r="C28" s="101"/>
      <c r="D28" s="101"/>
      <c r="E28" s="101"/>
      <c r="F28" s="422"/>
      <c r="G28" s="71"/>
      <c r="H28" s="71" t="s">
        <v>205</v>
      </c>
      <c r="I28" s="100"/>
      <c r="J28" s="100"/>
      <c r="K28" s="100"/>
      <c r="L28" s="420"/>
    </row>
    <row r="29" spans="1:12" ht="20.25" customHeight="1" x14ac:dyDescent="0.25">
      <c r="A29" s="85"/>
      <c r="B29" s="88" t="s">
        <v>278</v>
      </c>
      <c r="C29" s="101">
        <f>'5.a forrás részletes'!C43+'5.a forrás részletes'!O43</f>
        <v>1075000</v>
      </c>
      <c r="D29" s="101">
        <f>'5.a forrás részletes'!D43+'5.a forrás részletes'!P43</f>
        <v>1075000</v>
      </c>
      <c r="E29" s="101">
        <f>'5.a forrás részletes'!E43+'5.a forrás részletes'!Q43</f>
        <v>1164901</v>
      </c>
      <c r="F29" s="422">
        <f t="shared" ref="F29:F30" si="6">+E29/D29</f>
        <v>1.0836288372093024</v>
      </c>
      <c r="G29" s="71"/>
      <c r="H29" s="71" t="s">
        <v>206</v>
      </c>
      <c r="I29" s="100"/>
      <c r="J29" s="100"/>
      <c r="K29" s="100"/>
      <c r="L29" s="420"/>
    </row>
    <row r="30" spans="1:12" ht="20.25" customHeight="1" x14ac:dyDescent="0.25">
      <c r="A30" s="85"/>
      <c r="B30" s="88" t="s">
        <v>279</v>
      </c>
      <c r="C30" s="101">
        <f>'5.a forrás részletes'!C49</f>
        <v>13937400</v>
      </c>
      <c r="D30" s="101">
        <f>'5.a forrás részletes'!D49</f>
        <v>13937400</v>
      </c>
      <c r="E30" s="101">
        <f>'5.a forrás részletes'!E49</f>
        <v>14084633</v>
      </c>
      <c r="F30" s="422">
        <f t="shared" si="6"/>
        <v>1.0105638784852269</v>
      </c>
      <c r="G30" s="71"/>
      <c r="H30" s="71" t="s">
        <v>207</v>
      </c>
      <c r="I30" s="100"/>
      <c r="J30" s="100"/>
      <c r="K30" s="100"/>
      <c r="L30" s="420"/>
    </row>
    <row r="31" spans="1:12" ht="20.25" customHeight="1" x14ac:dyDescent="0.25">
      <c r="A31" s="85"/>
      <c r="B31" s="88" t="s">
        <v>280</v>
      </c>
      <c r="C31" s="101">
        <f>'5.a forrás részletes'!C50+'5.a forrás részletes'!O50</f>
        <v>0</v>
      </c>
      <c r="D31" s="101">
        <f>'5.a forrás részletes'!D50+'5.a forrás részletes'!P50</f>
        <v>0</v>
      </c>
      <c r="E31" s="101">
        <f>'5.a forrás részletes'!E50+'5.a forrás részletes'!Q50</f>
        <v>0</v>
      </c>
      <c r="F31" s="422">
        <f>'5.a forrás részletes'!F50+'5.a forrás részletes'!R50</f>
        <v>0</v>
      </c>
      <c r="G31" s="71"/>
      <c r="H31" s="71"/>
      <c r="I31" s="97"/>
      <c r="J31" s="97"/>
      <c r="K31" s="97"/>
      <c r="L31" s="419"/>
    </row>
    <row r="32" spans="1:12" ht="20.25" customHeight="1" x14ac:dyDescent="0.25">
      <c r="A32" s="85"/>
      <c r="B32" s="88" t="s">
        <v>281</v>
      </c>
      <c r="C32" s="101">
        <f>+'5.a forrás részletes'!C51</f>
        <v>0</v>
      </c>
      <c r="D32" s="101">
        <f>+'5.a forrás részletes'!D51</f>
        <v>0</v>
      </c>
      <c r="E32" s="101">
        <f>+'5.a forrás részletes'!E51</f>
        <v>1</v>
      </c>
      <c r="F32" s="422"/>
      <c r="G32" s="71"/>
      <c r="I32" s="104"/>
      <c r="J32" s="104"/>
      <c r="K32" s="104"/>
      <c r="L32" s="418"/>
    </row>
    <row r="33" spans="1:12" ht="20.25" customHeight="1" x14ac:dyDescent="0.25">
      <c r="A33" s="85"/>
      <c r="B33" s="88" t="s">
        <v>282</v>
      </c>
      <c r="C33" s="101"/>
      <c r="D33" s="101"/>
      <c r="E33" s="101"/>
      <c r="F33" s="422"/>
      <c r="G33" s="71"/>
      <c r="H33" s="71"/>
      <c r="I33" s="97"/>
      <c r="J33" s="97"/>
      <c r="K33" s="97"/>
      <c r="L33" s="419"/>
    </row>
    <row r="34" spans="1:12" ht="20.25" customHeight="1" x14ac:dyDescent="0.25">
      <c r="A34" s="85"/>
      <c r="B34" s="88" t="s">
        <v>283</v>
      </c>
      <c r="C34" s="101">
        <f>'5.a forrás részletes'!C53+'5.a forrás részletes'!O53</f>
        <v>0</v>
      </c>
      <c r="D34" s="101">
        <f>'5.a forrás részletes'!D53+'5.a forrás részletes'!P53</f>
        <v>0</v>
      </c>
      <c r="E34" s="101">
        <f>'5.a forrás részletes'!E53+'5.a forrás részletes'!Q53</f>
        <v>177437</v>
      </c>
      <c r="F34" s="422">
        <f>'5.a forrás részletes'!F53+'5.a forrás részletes'!R53</f>
        <v>0</v>
      </c>
      <c r="G34" s="71"/>
      <c r="H34" s="71"/>
      <c r="I34" s="97"/>
      <c r="J34" s="97"/>
      <c r="K34" s="97"/>
      <c r="L34" s="419"/>
    </row>
    <row r="35" spans="1:12" ht="20.25" customHeight="1" x14ac:dyDescent="0.25">
      <c r="A35" s="231" t="s">
        <v>64</v>
      </c>
      <c r="B35" s="232" t="s">
        <v>290</v>
      </c>
      <c r="C35" s="233">
        <f>C36+C37+C38</f>
        <v>0</v>
      </c>
      <c r="D35" s="233">
        <f t="shared" ref="D35:F35" si="7">D36+D37+D38</f>
        <v>0</v>
      </c>
      <c r="E35" s="233">
        <f t="shared" si="7"/>
        <v>0</v>
      </c>
      <c r="F35" s="429">
        <f t="shared" si="7"/>
        <v>0</v>
      </c>
      <c r="G35" s="231" t="s">
        <v>100</v>
      </c>
      <c r="H35" s="227" t="s">
        <v>237</v>
      </c>
      <c r="I35" s="228">
        <f>'5.a forrás részletes'!I91+'5.a forrás részletes'!U91</f>
        <v>0</v>
      </c>
      <c r="J35" s="228">
        <f>'5.a forrás részletes'!J91+'5.a forrás részletes'!V91</f>
        <v>0</v>
      </c>
      <c r="K35" s="228">
        <f>'5.a forrás részletes'!K91+'5.a forrás részletes'!W91</f>
        <v>0</v>
      </c>
      <c r="L35" s="415">
        <f>'5.a forrás részletes'!L91+'5.a forrás részletes'!X91</f>
        <v>0</v>
      </c>
    </row>
    <row r="36" spans="1:12" ht="30" x14ac:dyDescent="0.25">
      <c r="A36" s="85"/>
      <c r="B36" s="88" t="s">
        <v>291</v>
      </c>
      <c r="C36" s="101"/>
      <c r="D36" s="101"/>
      <c r="E36" s="101"/>
      <c r="F36" s="422"/>
      <c r="G36" s="71"/>
      <c r="H36" s="71" t="s">
        <v>208</v>
      </c>
      <c r="I36" s="105" t="s">
        <v>253</v>
      </c>
      <c r="J36" s="105" t="s">
        <v>253</v>
      </c>
      <c r="K36" s="105"/>
      <c r="L36" s="417"/>
    </row>
    <row r="37" spans="1:12" ht="28.5" customHeight="1" x14ac:dyDescent="0.25">
      <c r="A37" s="85"/>
      <c r="B37" s="83" t="s">
        <v>292</v>
      </c>
      <c r="C37" s="101"/>
      <c r="D37" s="101"/>
      <c r="E37" s="101"/>
      <c r="F37" s="422"/>
      <c r="G37" s="71"/>
      <c r="H37" s="71" t="s">
        <v>210</v>
      </c>
      <c r="I37" s="100"/>
      <c r="J37" s="100"/>
      <c r="K37" s="100"/>
      <c r="L37" s="420"/>
    </row>
    <row r="38" spans="1:12" ht="19.5" customHeight="1" x14ac:dyDescent="0.25">
      <c r="A38" s="85"/>
      <c r="B38" s="88" t="s">
        <v>293</v>
      </c>
      <c r="C38" s="101"/>
      <c r="D38" s="101"/>
      <c r="E38" s="101"/>
      <c r="F38" s="422"/>
      <c r="G38" s="71"/>
      <c r="H38" s="71" t="s">
        <v>209</v>
      </c>
      <c r="I38" s="100"/>
      <c r="J38" s="100"/>
      <c r="K38" s="100"/>
      <c r="L38" s="420"/>
    </row>
    <row r="39" spans="1:12" ht="19.5" customHeight="1" x14ac:dyDescent="0.25">
      <c r="A39" s="85"/>
      <c r="B39" s="88"/>
      <c r="C39" s="101"/>
      <c r="D39" s="101"/>
      <c r="E39" s="101"/>
      <c r="F39" s="422"/>
      <c r="G39" s="71"/>
      <c r="H39" s="71" t="s">
        <v>211</v>
      </c>
      <c r="I39" s="100"/>
      <c r="J39" s="100"/>
      <c r="K39" s="100"/>
      <c r="L39" s="420"/>
    </row>
    <row r="40" spans="1:12" ht="19.5" customHeight="1" x14ac:dyDescent="0.25">
      <c r="A40" s="85"/>
      <c r="B40" s="88"/>
      <c r="C40" s="99"/>
      <c r="D40" s="99"/>
      <c r="E40" s="99"/>
      <c r="F40" s="430"/>
      <c r="G40" s="71"/>
      <c r="H40" s="71" t="s">
        <v>376</v>
      </c>
      <c r="I40" s="100"/>
      <c r="J40" s="100"/>
      <c r="K40" s="100"/>
      <c r="L40" s="420"/>
    </row>
    <row r="41" spans="1:12" ht="19.5" customHeight="1" x14ac:dyDescent="0.25">
      <c r="A41" s="85"/>
      <c r="B41" s="88"/>
      <c r="C41" s="99"/>
      <c r="D41" s="99"/>
      <c r="E41" s="99"/>
      <c r="F41" s="430"/>
      <c r="G41" s="71"/>
      <c r="H41" s="71" t="s">
        <v>212</v>
      </c>
      <c r="I41" s="100"/>
      <c r="J41" s="100"/>
      <c r="K41" s="100"/>
      <c r="L41" s="420"/>
    </row>
    <row r="42" spans="1:12" ht="19.5" customHeight="1" x14ac:dyDescent="0.25">
      <c r="A42" s="85"/>
      <c r="B42" s="88"/>
      <c r="C42" s="99"/>
      <c r="D42" s="99"/>
      <c r="E42" s="99"/>
      <c r="F42" s="430"/>
      <c r="G42" s="73"/>
      <c r="H42" s="82"/>
      <c r="I42" s="100"/>
      <c r="J42" s="100"/>
      <c r="K42" s="100"/>
      <c r="L42" s="420"/>
    </row>
    <row r="43" spans="1:12" ht="20.25" customHeight="1" x14ac:dyDescent="0.25">
      <c r="A43" s="306"/>
      <c r="B43" s="307" t="s">
        <v>192</v>
      </c>
      <c r="C43" s="308">
        <f>C44+C50+C56</f>
        <v>0</v>
      </c>
      <c r="D43" s="308">
        <f t="shared" ref="D43:F43" si="8">D44+D50+D56</f>
        <v>0</v>
      </c>
      <c r="E43" s="308">
        <f t="shared" si="8"/>
        <v>0</v>
      </c>
      <c r="F43" s="414">
        <f t="shared" si="8"/>
        <v>0</v>
      </c>
      <c r="G43" s="306"/>
      <c r="H43" s="307" t="s">
        <v>200</v>
      </c>
      <c r="I43" s="308">
        <f>I44+I52+I57</f>
        <v>25788640</v>
      </c>
      <c r="J43" s="308">
        <f t="shared" ref="J43:K43" si="9">J44+J52+J57</f>
        <v>9573639.748031497</v>
      </c>
      <c r="K43" s="308">
        <f t="shared" si="9"/>
        <v>2927269</v>
      </c>
      <c r="L43" s="414">
        <f>+K43/J43</f>
        <v>0.3057634376311158</v>
      </c>
    </row>
    <row r="44" spans="1:12" ht="20.25" customHeight="1" x14ac:dyDescent="0.25">
      <c r="A44" s="231" t="s">
        <v>100</v>
      </c>
      <c r="B44" s="232" t="s">
        <v>260</v>
      </c>
      <c r="C44" s="233">
        <f>SUM(C45:C49)</f>
        <v>0</v>
      </c>
      <c r="D44" s="233">
        <f t="shared" ref="D44:F44" si="10">SUM(D45:D49)</f>
        <v>0</v>
      </c>
      <c r="E44" s="233">
        <f t="shared" si="10"/>
        <v>0</v>
      </c>
      <c r="F44" s="429">
        <f t="shared" si="10"/>
        <v>0</v>
      </c>
      <c r="G44" s="231" t="s">
        <v>181</v>
      </c>
      <c r="H44" s="227" t="s">
        <v>217</v>
      </c>
      <c r="I44" s="228">
        <f>SUM(I45:I51)</f>
        <v>25788640</v>
      </c>
      <c r="J44" s="228">
        <f t="shared" ref="J44:K44" si="11">SUM(J45:J51)</f>
        <v>9573639.748031497</v>
      </c>
      <c r="K44" s="228">
        <f t="shared" si="11"/>
        <v>2927269</v>
      </c>
      <c r="L44" s="415">
        <f>+K44/J44</f>
        <v>0.3057634376311158</v>
      </c>
    </row>
    <row r="45" spans="1:12" ht="20.25" customHeight="1" x14ac:dyDescent="0.25">
      <c r="A45" s="85"/>
      <c r="B45" s="83" t="s">
        <v>261</v>
      </c>
      <c r="C45" s="101"/>
      <c r="D45" s="101"/>
      <c r="E45" s="101"/>
      <c r="F45" s="422"/>
      <c r="G45" s="85"/>
      <c r="H45" s="91" t="s">
        <v>218</v>
      </c>
      <c r="I45" s="95"/>
      <c r="J45" s="95"/>
      <c r="K45" s="95"/>
      <c r="L45" s="416"/>
    </row>
    <row r="46" spans="1:12" ht="29.25" customHeight="1" x14ac:dyDescent="0.25">
      <c r="A46" s="85"/>
      <c r="B46" s="83" t="s">
        <v>262</v>
      </c>
      <c r="C46" s="101"/>
      <c r="D46" s="101"/>
      <c r="E46" s="101"/>
      <c r="F46" s="422"/>
      <c r="G46" s="85"/>
      <c r="H46" s="91" t="s">
        <v>219</v>
      </c>
      <c r="I46" s="95"/>
      <c r="J46" s="95"/>
      <c r="K46" s="95"/>
      <c r="L46" s="416"/>
    </row>
    <row r="47" spans="1:12" ht="29.25" customHeight="1" x14ac:dyDescent="0.25">
      <c r="A47" s="85"/>
      <c r="B47" s="83" t="s">
        <v>263</v>
      </c>
      <c r="C47" s="101"/>
      <c r="D47" s="101"/>
      <c r="E47" s="101"/>
      <c r="F47" s="422"/>
      <c r="G47" s="71"/>
      <c r="H47" s="71" t="s">
        <v>220</v>
      </c>
      <c r="I47" s="98">
        <f>+'5.a forrás részletes'!I102+'5.a forrás részletes'!U102</f>
        <v>34000</v>
      </c>
      <c r="J47" s="98">
        <f>+'5.a forrás részletes'!J102+'5.a forrás részletes'!V102</f>
        <v>69000</v>
      </c>
      <c r="K47" s="98">
        <f>+'5.a forrás részletes'!K102+'5.a forrás részletes'!W102</f>
        <v>68500</v>
      </c>
      <c r="L47" s="421">
        <f>+K47/J47</f>
        <v>0.99275362318840576</v>
      </c>
    </row>
    <row r="48" spans="1:12" ht="29.25" customHeight="1" x14ac:dyDescent="0.25">
      <c r="A48" s="85"/>
      <c r="B48" s="83" t="s">
        <v>264</v>
      </c>
      <c r="C48" s="101"/>
      <c r="D48" s="101"/>
      <c r="E48" s="101"/>
      <c r="F48" s="422"/>
      <c r="G48" s="71"/>
      <c r="H48" s="71" t="s">
        <v>221</v>
      </c>
      <c r="I48" s="98">
        <f>'5.a forrás részletes'!U103+'5.a forrás részletes'!I103</f>
        <v>20272015.748031497</v>
      </c>
      <c r="J48" s="98">
        <f>'5.a forrás részletes'!V103+'5.a forrás részletes'!J103</f>
        <v>7469015.7480314961</v>
      </c>
      <c r="K48" s="98">
        <f>'5.a forrás részletes'!W103+'5.a forrás részletes'!K103</f>
        <v>2236436</v>
      </c>
      <c r="L48" s="421">
        <f t="shared" ref="L48" si="12">+K48/J48</f>
        <v>0.29942847564478975</v>
      </c>
    </row>
    <row r="49" spans="1:12" ht="21" customHeight="1" x14ac:dyDescent="0.25">
      <c r="A49" s="85"/>
      <c r="B49" s="83" t="s">
        <v>265</v>
      </c>
      <c r="C49" s="101"/>
      <c r="D49" s="101"/>
      <c r="E49" s="101"/>
      <c r="F49" s="422"/>
      <c r="G49" s="71"/>
      <c r="H49" s="71" t="s">
        <v>222</v>
      </c>
      <c r="I49" s="98"/>
      <c r="J49" s="98"/>
      <c r="K49" s="98"/>
      <c r="L49" s="421"/>
    </row>
    <row r="50" spans="1:12" ht="20.25" customHeight="1" x14ac:dyDescent="0.25">
      <c r="A50" s="231" t="s">
        <v>181</v>
      </c>
      <c r="B50" s="232" t="s">
        <v>284</v>
      </c>
      <c r="C50" s="233">
        <f>SUM(C51:C55)</f>
        <v>0</v>
      </c>
      <c r="D50" s="233">
        <f t="shared" ref="D50:F50" si="13">SUM(D51:D55)</f>
        <v>0</v>
      </c>
      <c r="E50" s="233">
        <f t="shared" si="13"/>
        <v>0</v>
      </c>
      <c r="F50" s="429">
        <f t="shared" si="13"/>
        <v>0</v>
      </c>
      <c r="G50" s="71"/>
      <c r="H50" s="71" t="s">
        <v>223</v>
      </c>
      <c r="I50" s="98"/>
      <c r="J50" s="98"/>
      <c r="K50" s="98"/>
      <c r="L50" s="421"/>
    </row>
    <row r="51" spans="1:12" ht="20.25" customHeight="1" x14ac:dyDescent="0.25">
      <c r="A51" s="85"/>
      <c r="B51" s="88" t="s">
        <v>285</v>
      </c>
      <c r="C51" s="101"/>
      <c r="D51" s="101"/>
      <c r="E51" s="101"/>
      <c r="F51" s="422"/>
      <c r="G51" s="71"/>
      <c r="H51" s="71" t="s">
        <v>224</v>
      </c>
      <c r="I51" s="98">
        <f>'5.a forrás részletes'!U106+'5.a forrás részletes'!I106</f>
        <v>5482624.2519685039</v>
      </c>
      <c r="J51" s="98">
        <f>'5.a forrás részletes'!V106+'5.a forrás részletes'!J106</f>
        <v>2035624</v>
      </c>
      <c r="K51" s="98">
        <f>'5.a forrás részletes'!W106+'5.a forrás részletes'!K106</f>
        <v>622333</v>
      </c>
      <c r="L51" s="421">
        <f>'5.a forrás részletes'!X106+'5.a forrás részletes'!L106</f>
        <v>0.57982079979247325</v>
      </c>
    </row>
    <row r="52" spans="1:12" ht="20.25" customHeight="1" x14ac:dyDescent="0.25">
      <c r="A52" s="85"/>
      <c r="B52" s="88" t="s">
        <v>286</v>
      </c>
      <c r="C52" s="101"/>
      <c r="D52" s="101"/>
      <c r="E52" s="101"/>
      <c r="F52" s="422"/>
      <c r="G52" s="227" t="s">
        <v>191</v>
      </c>
      <c r="H52" s="228" t="s">
        <v>225</v>
      </c>
      <c r="I52" s="227">
        <f>SUM(I53:I56)</f>
        <v>0</v>
      </c>
      <c r="J52" s="227">
        <f t="shared" ref="J52:L52" si="14">SUM(J53:J56)</f>
        <v>0</v>
      </c>
      <c r="K52" s="227">
        <f t="shared" si="14"/>
        <v>0</v>
      </c>
      <c r="L52" s="415">
        <f t="shared" si="14"/>
        <v>0</v>
      </c>
    </row>
    <row r="53" spans="1:12" ht="20.25" customHeight="1" x14ac:dyDescent="0.25">
      <c r="A53" s="85"/>
      <c r="B53" s="88" t="s">
        <v>287</v>
      </c>
      <c r="C53" s="101"/>
      <c r="D53" s="101"/>
      <c r="E53" s="101"/>
      <c r="F53" s="422"/>
      <c r="G53" s="71"/>
      <c r="H53" s="71" t="s">
        <v>226</v>
      </c>
      <c r="I53" s="98"/>
      <c r="J53" s="98"/>
      <c r="K53" s="98"/>
      <c r="L53" s="421"/>
    </row>
    <row r="54" spans="1:12" ht="20.25" customHeight="1" x14ac:dyDescent="0.25">
      <c r="A54" s="85"/>
      <c r="B54" s="88" t="s">
        <v>288</v>
      </c>
      <c r="C54" s="101"/>
      <c r="D54" s="101"/>
      <c r="E54" s="101"/>
      <c r="F54" s="422"/>
      <c r="G54" s="71"/>
      <c r="H54" s="71" t="s">
        <v>227</v>
      </c>
      <c r="I54" s="98"/>
      <c r="J54" s="98"/>
      <c r="K54" s="98"/>
      <c r="L54" s="421"/>
    </row>
    <row r="55" spans="1:12" ht="20.25" customHeight="1" x14ac:dyDescent="0.25">
      <c r="A55" s="85"/>
      <c r="B55" s="88" t="s">
        <v>289</v>
      </c>
      <c r="C55" s="101"/>
      <c r="D55" s="101"/>
      <c r="E55" s="101"/>
      <c r="F55" s="422"/>
      <c r="G55" s="71"/>
      <c r="H55" s="71" t="s">
        <v>228</v>
      </c>
      <c r="I55" s="98"/>
      <c r="J55" s="98"/>
      <c r="K55" s="98"/>
      <c r="L55" s="421"/>
    </row>
    <row r="56" spans="1:12" ht="20.25" customHeight="1" x14ac:dyDescent="0.25">
      <c r="A56" s="231" t="s">
        <v>191</v>
      </c>
      <c r="B56" s="232" t="s">
        <v>294</v>
      </c>
      <c r="C56" s="233">
        <f>C57+C58+C59</f>
        <v>0</v>
      </c>
      <c r="D56" s="233">
        <f t="shared" ref="D56:F56" si="15">D57+D58+D59</f>
        <v>0</v>
      </c>
      <c r="E56" s="233">
        <f t="shared" si="15"/>
        <v>0</v>
      </c>
      <c r="F56" s="429">
        <f t="shared" si="15"/>
        <v>0</v>
      </c>
      <c r="G56" s="71"/>
      <c r="H56" s="71" t="s">
        <v>229</v>
      </c>
      <c r="I56" s="98"/>
      <c r="J56" s="98"/>
      <c r="K56" s="98"/>
      <c r="L56" s="421"/>
    </row>
    <row r="57" spans="1:12" ht="29.25" customHeight="1" x14ac:dyDescent="0.25">
      <c r="A57" s="85"/>
      <c r="B57" s="88" t="s">
        <v>295</v>
      </c>
      <c r="C57" s="101"/>
      <c r="D57" s="101"/>
      <c r="E57" s="101"/>
      <c r="F57" s="422"/>
      <c r="G57" s="227" t="s">
        <v>199</v>
      </c>
      <c r="H57" s="228" t="s">
        <v>230</v>
      </c>
      <c r="I57" s="227"/>
      <c r="J57" s="227"/>
      <c r="K57" s="227"/>
      <c r="L57" s="461"/>
    </row>
    <row r="58" spans="1:12" ht="29.25" customHeight="1" x14ac:dyDescent="0.25">
      <c r="A58" s="85"/>
      <c r="B58" s="83" t="s">
        <v>296</v>
      </c>
      <c r="C58" s="101"/>
      <c r="D58" s="101"/>
      <c r="E58" s="101"/>
      <c r="F58" s="422"/>
      <c r="G58" s="71"/>
      <c r="H58" s="71"/>
      <c r="I58" s="98"/>
      <c r="J58" s="98"/>
      <c r="K58" s="98"/>
      <c r="L58" s="421"/>
    </row>
    <row r="59" spans="1:12" ht="21" customHeight="1" x14ac:dyDescent="0.25">
      <c r="A59" s="85"/>
      <c r="B59" s="88" t="s">
        <v>297</v>
      </c>
      <c r="C59" s="101"/>
      <c r="D59" s="101"/>
      <c r="E59" s="101"/>
      <c r="F59" s="422"/>
      <c r="G59" s="71"/>
      <c r="H59" s="71"/>
      <c r="I59" s="98"/>
      <c r="J59" s="98"/>
      <c r="K59" s="98"/>
      <c r="L59" s="421"/>
    </row>
    <row r="60" spans="1:12" ht="20.25" customHeight="1" x14ac:dyDescent="0.25">
      <c r="A60" s="306"/>
      <c r="B60" s="307" t="s">
        <v>298</v>
      </c>
      <c r="C60" s="308">
        <f>C70+C81</f>
        <v>119560505</v>
      </c>
      <c r="D60" s="308">
        <f t="shared" ref="D60:E60" si="16">D70+D81</f>
        <v>103345505</v>
      </c>
      <c r="E60" s="308">
        <f t="shared" si="16"/>
        <v>86533190</v>
      </c>
      <c r="F60" s="414">
        <f>+E60/D60</f>
        <v>0.83731933962681782</v>
      </c>
      <c r="G60" s="306"/>
      <c r="H60" s="307" t="s">
        <v>299</v>
      </c>
      <c r="I60" s="308">
        <f>I69+I80</f>
        <v>0</v>
      </c>
      <c r="J60" s="308">
        <f t="shared" ref="J60:L60" si="17">J69+J80</f>
        <v>0</v>
      </c>
      <c r="K60" s="308">
        <f t="shared" si="17"/>
        <v>0</v>
      </c>
      <c r="L60" s="414">
        <f t="shared" si="17"/>
        <v>0</v>
      </c>
    </row>
    <row r="61" spans="1:12" ht="21" customHeight="1" x14ac:dyDescent="0.25">
      <c r="A61" s="75"/>
      <c r="B61" s="93" t="s">
        <v>300</v>
      </c>
      <c r="C61" s="101"/>
      <c r="D61" s="101"/>
      <c r="E61" s="101"/>
      <c r="F61" s="422"/>
      <c r="G61" s="75"/>
      <c r="H61" s="93" t="s">
        <v>231</v>
      </c>
      <c r="I61" s="101"/>
      <c r="J61" s="101"/>
      <c r="K61" s="101"/>
      <c r="L61" s="422"/>
    </row>
    <row r="62" spans="1:12" ht="20.25" customHeight="1" x14ac:dyDescent="0.25">
      <c r="A62" s="75"/>
      <c r="B62" s="93" t="s">
        <v>301</v>
      </c>
      <c r="C62" s="101"/>
      <c r="D62" s="101"/>
      <c r="E62" s="101"/>
      <c r="F62" s="422"/>
      <c r="G62" s="75"/>
      <c r="H62" s="93" t="s">
        <v>232</v>
      </c>
      <c r="I62" s="101"/>
      <c r="J62" s="101"/>
      <c r="K62" s="101"/>
      <c r="L62" s="422"/>
    </row>
    <row r="63" spans="1:12" ht="20.25" customHeight="1" x14ac:dyDescent="0.25">
      <c r="A63" s="75"/>
      <c r="B63" s="93" t="s">
        <v>302</v>
      </c>
      <c r="C63" s="101"/>
      <c r="D63" s="101"/>
      <c r="E63" s="101"/>
      <c r="F63" s="422"/>
      <c r="G63" s="75"/>
      <c r="H63" s="93" t="s">
        <v>233</v>
      </c>
      <c r="I63" s="101"/>
      <c r="J63" s="101"/>
      <c r="K63" s="101"/>
      <c r="L63" s="422"/>
    </row>
    <row r="64" spans="1:12" ht="20.25" customHeight="1" x14ac:dyDescent="0.25">
      <c r="A64" s="75"/>
      <c r="B64" s="94" t="s">
        <v>303</v>
      </c>
      <c r="C64" s="101">
        <f>C61+C62+C63</f>
        <v>0</v>
      </c>
      <c r="D64" s="101">
        <f t="shared" ref="D64:F64" si="18">D61+D62+D63</f>
        <v>0</v>
      </c>
      <c r="E64" s="101">
        <f t="shared" si="18"/>
        <v>0</v>
      </c>
      <c r="F64" s="422">
        <f t="shared" si="18"/>
        <v>0</v>
      </c>
      <c r="G64" s="75"/>
      <c r="H64" s="94" t="s">
        <v>243</v>
      </c>
      <c r="I64" s="101">
        <f>I61+I62+I63</f>
        <v>0</v>
      </c>
      <c r="J64" s="101">
        <f t="shared" ref="J64:L64" si="19">J61+J62+J63</f>
        <v>0</v>
      </c>
      <c r="K64" s="101">
        <f t="shared" si="19"/>
        <v>0</v>
      </c>
      <c r="L64" s="422">
        <f t="shared" si="19"/>
        <v>0</v>
      </c>
    </row>
    <row r="65" spans="1:12" ht="20.25" customHeight="1" x14ac:dyDescent="0.25">
      <c r="A65" s="75"/>
      <c r="B65" s="69" t="s">
        <v>304</v>
      </c>
      <c r="C65" s="101"/>
      <c r="D65" s="101"/>
      <c r="E65" s="101"/>
      <c r="F65" s="422"/>
      <c r="G65" s="75"/>
      <c r="H65" s="93" t="s">
        <v>235</v>
      </c>
      <c r="I65" s="101"/>
      <c r="J65" s="101"/>
      <c r="K65" s="101"/>
      <c r="L65" s="422"/>
    </row>
    <row r="66" spans="1:12" ht="20.25" customHeight="1" x14ac:dyDescent="0.25">
      <c r="A66" s="75"/>
      <c r="B66" s="69" t="s">
        <v>305</v>
      </c>
      <c r="C66" s="101"/>
      <c r="D66" s="101"/>
      <c r="E66" s="101"/>
      <c r="F66" s="422"/>
      <c r="G66" s="75"/>
      <c r="H66" s="93" t="s">
        <v>1795</v>
      </c>
      <c r="I66" s="101"/>
      <c r="J66" s="101"/>
      <c r="K66" s="101"/>
      <c r="L66" s="422"/>
    </row>
    <row r="67" spans="1:12" ht="20.25" customHeight="1" x14ac:dyDescent="0.25">
      <c r="A67" s="75"/>
      <c r="B67" s="70" t="s">
        <v>306</v>
      </c>
      <c r="C67" s="101">
        <f>C65+C66</f>
        <v>0</v>
      </c>
      <c r="D67" s="101">
        <f t="shared" ref="D67:F67" si="20">D65+D66</f>
        <v>0</v>
      </c>
      <c r="E67" s="101">
        <f t="shared" si="20"/>
        <v>0</v>
      </c>
      <c r="F67" s="422">
        <f t="shared" si="20"/>
        <v>0</v>
      </c>
      <c r="G67" s="75"/>
      <c r="H67" s="94" t="s">
        <v>244</v>
      </c>
      <c r="I67" s="101">
        <f>I65+I66</f>
        <v>0</v>
      </c>
      <c r="J67" s="101">
        <f t="shared" ref="J67:L67" si="21">J65+J66</f>
        <v>0</v>
      </c>
      <c r="K67" s="101">
        <f t="shared" si="21"/>
        <v>0</v>
      </c>
      <c r="L67" s="422">
        <f t="shared" si="21"/>
        <v>0</v>
      </c>
    </row>
    <row r="68" spans="1:12" ht="20.25" customHeight="1" x14ac:dyDescent="0.25">
      <c r="A68" s="75"/>
      <c r="B68" s="70" t="s">
        <v>307</v>
      </c>
      <c r="C68" s="101">
        <f>'5.a forrás részletes'!C123+'5.a forrás részletes'!O123</f>
        <v>0</v>
      </c>
      <c r="D68" s="101">
        <f>'5.a forrás részletes'!D123+'5.a forrás részletes'!P123</f>
        <v>373428</v>
      </c>
      <c r="E68" s="101">
        <f>'5.a forrás részletes'!E123+'5.a forrás részletes'!Q123</f>
        <v>373428</v>
      </c>
      <c r="F68" s="422">
        <f>+E68/D68</f>
        <v>1</v>
      </c>
      <c r="G68" s="75"/>
      <c r="H68" s="94" t="s">
        <v>236</v>
      </c>
      <c r="I68" s="101"/>
      <c r="J68" s="101"/>
      <c r="K68" s="101"/>
      <c r="L68" s="422"/>
    </row>
    <row r="69" spans="1:12" ht="20.25" customHeight="1" x14ac:dyDescent="0.25">
      <c r="A69" s="75"/>
      <c r="B69" s="70" t="s">
        <v>308</v>
      </c>
      <c r="C69" s="101">
        <f>'5.a forrás részletes'!C124+'5.a forrás részletes'!O124</f>
        <v>93771865</v>
      </c>
      <c r="D69" s="101">
        <f>'5.a forrás részletes'!D124+'5.a forrás részletes'!P124</f>
        <v>93398437</v>
      </c>
      <c r="E69" s="101">
        <f>'5.a forrás részletes'!E124+'5.a forrás részletes'!Q124</f>
        <v>82662493</v>
      </c>
      <c r="F69" s="422">
        <f t="shared" ref="F69:F70" si="22">+E69/D69</f>
        <v>0.88505220917133764</v>
      </c>
      <c r="G69" s="75"/>
      <c r="H69" s="75" t="s">
        <v>245</v>
      </c>
      <c r="I69" s="109">
        <f>I64+I67+I68</f>
        <v>0</v>
      </c>
      <c r="J69" s="109">
        <f t="shared" ref="J69:L69" si="23">J64+J67+J68</f>
        <v>0</v>
      </c>
      <c r="K69" s="109">
        <f t="shared" si="23"/>
        <v>0</v>
      </c>
      <c r="L69" s="423">
        <f t="shared" si="23"/>
        <v>0</v>
      </c>
    </row>
    <row r="70" spans="1:12" ht="20.25" customHeight="1" x14ac:dyDescent="0.25">
      <c r="A70" s="75"/>
      <c r="B70" s="80" t="s">
        <v>309</v>
      </c>
      <c r="C70" s="109">
        <f>C64+C67+C68+C69</f>
        <v>93771865</v>
      </c>
      <c r="D70" s="109">
        <f t="shared" ref="D70:E70" si="24">D64+D67+D68+D69</f>
        <v>93771865</v>
      </c>
      <c r="E70" s="109">
        <f t="shared" si="24"/>
        <v>83035921</v>
      </c>
      <c r="F70" s="423">
        <f t="shared" si="22"/>
        <v>0.88550996612896626</v>
      </c>
      <c r="G70" s="75"/>
      <c r="H70" s="94"/>
      <c r="I70" s="101"/>
      <c r="J70" s="101"/>
      <c r="K70" s="101"/>
      <c r="L70" s="422"/>
    </row>
    <row r="71" spans="1:12" ht="11.25" customHeight="1" x14ac:dyDescent="0.25">
      <c r="A71" s="89"/>
      <c r="B71" s="79"/>
      <c r="C71" s="102"/>
      <c r="D71" s="102"/>
      <c r="E71" s="102"/>
      <c r="F71" s="424"/>
      <c r="G71" s="89"/>
      <c r="H71" s="89"/>
      <c r="I71" s="102"/>
      <c r="J71" s="102"/>
      <c r="K71" s="102"/>
      <c r="L71" s="424"/>
    </row>
    <row r="72" spans="1:12" ht="20.25" customHeight="1" x14ac:dyDescent="0.25">
      <c r="A72" s="75"/>
      <c r="B72" s="93" t="s">
        <v>300</v>
      </c>
      <c r="C72" s="101"/>
      <c r="D72" s="101"/>
      <c r="E72" s="101"/>
      <c r="F72" s="422"/>
      <c r="G72" s="75"/>
      <c r="H72" s="93" t="s">
        <v>231</v>
      </c>
      <c r="I72" s="101"/>
      <c r="J72" s="101"/>
      <c r="K72" s="101"/>
      <c r="L72" s="422"/>
    </row>
    <row r="73" spans="1:12" ht="20.25" customHeight="1" x14ac:dyDescent="0.25">
      <c r="A73" s="75"/>
      <c r="B73" s="93" t="s">
        <v>301</v>
      </c>
      <c r="C73" s="101"/>
      <c r="D73" s="101"/>
      <c r="E73" s="101"/>
      <c r="F73" s="422"/>
      <c r="G73" s="75"/>
      <c r="H73" s="93" t="s">
        <v>232</v>
      </c>
      <c r="I73" s="101"/>
      <c r="J73" s="101"/>
      <c r="K73" s="101"/>
      <c r="L73" s="422"/>
    </row>
    <row r="74" spans="1:12" ht="20.25" customHeight="1" x14ac:dyDescent="0.25">
      <c r="A74" s="75"/>
      <c r="B74" s="93" t="s">
        <v>302</v>
      </c>
      <c r="C74" s="101"/>
      <c r="D74" s="101"/>
      <c r="E74" s="101"/>
      <c r="F74" s="422"/>
      <c r="G74" s="75"/>
      <c r="H74" s="93" t="s">
        <v>233</v>
      </c>
      <c r="I74" s="101"/>
      <c r="J74" s="101"/>
      <c r="K74" s="101"/>
      <c r="L74" s="422"/>
    </row>
    <row r="75" spans="1:12" ht="20.25" customHeight="1" x14ac:dyDescent="0.25">
      <c r="A75" s="75"/>
      <c r="B75" s="94" t="s">
        <v>303</v>
      </c>
      <c r="C75" s="101">
        <f>C72+C73+C74</f>
        <v>0</v>
      </c>
      <c r="D75" s="101">
        <f t="shared" ref="D75:F75" si="25">D72+D73+D74</f>
        <v>0</v>
      </c>
      <c r="E75" s="101">
        <f t="shared" si="25"/>
        <v>0</v>
      </c>
      <c r="F75" s="422">
        <f t="shared" si="25"/>
        <v>0</v>
      </c>
      <c r="G75" s="75"/>
      <c r="H75" s="94" t="s">
        <v>243</v>
      </c>
      <c r="I75" s="101">
        <f>I72+I73+I74</f>
        <v>0</v>
      </c>
      <c r="J75" s="101">
        <f t="shared" ref="J75:L75" si="26">J72+J73+J74</f>
        <v>0</v>
      </c>
      <c r="K75" s="101">
        <f t="shared" si="26"/>
        <v>0</v>
      </c>
      <c r="L75" s="422">
        <f t="shared" si="26"/>
        <v>0</v>
      </c>
    </row>
    <row r="76" spans="1:12" ht="20.25" customHeight="1" x14ac:dyDescent="0.25">
      <c r="A76" s="75"/>
      <c r="B76" s="69" t="s">
        <v>304</v>
      </c>
      <c r="C76" s="101"/>
      <c r="D76" s="101"/>
      <c r="E76" s="101"/>
      <c r="F76" s="422"/>
      <c r="G76" s="75"/>
      <c r="H76" s="93" t="s">
        <v>235</v>
      </c>
      <c r="I76" s="101"/>
      <c r="J76" s="101"/>
      <c r="K76" s="101"/>
      <c r="L76" s="422"/>
    </row>
    <row r="77" spans="1:12" ht="20.25" customHeight="1" x14ac:dyDescent="0.25">
      <c r="A77" s="75"/>
      <c r="B77" s="69" t="s">
        <v>305</v>
      </c>
      <c r="C77" s="101"/>
      <c r="D77" s="101"/>
      <c r="E77" s="101"/>
      <c r="F77" s="422"/>
      <c r="G77" s="75"/>
      <c r="H77" s="93" t="s">
        <v>1795</v>
      </c>
      <c r="I77" s="101"/>
      <c r="J77" s="101"/>
      <c r="K77" s="101"/>
      <c r="L77" s="422"/>
    </row>
    <row r="78" spans="1:12" ht="20.25" customHeight="1" x14ac:dyDescent="0.25">
      <c r="A78" s="75"/>
      <c r="B78" s="70" t="s">
        <v>306</v>
      </c>
      <c r="C78" s="101">
        <f>C76+C77</f>
        <v>0</v>
      </c>
      <c r="D78" s="101">
        <f t="shared" ref="D78:F78" si="27">D76+D77</f>
        <v>0</v>
      </c>
      <c r="E78" s="101">
        <f t="shared" si="27"/>
        <v>0</v>
      </c>
      <c r="F78" s="422">
        <f t="shared" si="27"/>
        <v>0</v>
      </c>
      <c r="G78" s="75"/>
      <c r="H78" s="94" t="s">
        <v>244</v>
      </c>
      <c r="I78" s="101">
        <f>I76+I77</f>
        <v>0</v>
      </c>
      <c r="J78" s="101">
        <f t="shared" ref="J78:L78" si="28">J76+J77</f>
        <v>0</v>
      </c>
      <c r="K78" s="101">
        <f t="shared" si="28"/>
        <v>0</v>
      </c>
      <c r="L78" s="422">
        <f t="shared" si="28"/>
        <v>0</v>
      </c>
    </row>
    <row r="79" spans="1:12" ht="20.25" customHeight="1" x14ac:dyDescent="0.25">
      <c r="A79" s="75"/>
      <c r="B79" s="70" t="s">
        <v>311</v>
      </c>
      <c r="C79" s="101">
        <f>+'5.a forrás részletes'!C134</f>
        <v>570000</v>
      </c>
      <c r="D79" s="101">
        <f>+'5.a forrás részletes'!D134</f>
        <v>570000</v>
      </c>
      <c r="E79" s="101">
        <f>+'5.a forrás részletes'!E134</f>
        <v>570000</v>
      </c>
      <c r="F79" s="422">
        <f>+E79/D79</f>
        <v>1</v>
      </c>
      <c r="G79" s="75"/>
      <c r="H79" s="94" t="s">
        <v>236</v>
      </c>
      <c r="I79" s="101"/>
      <c r="J79" s="101"/>
      <c r="K79" s="101"/>
      <c r="L79" s="422"/>
    </row>
    <row r="80" spans="1:12" ht="20.25" customHeight="1" x14ac:dyDescent="0.25">
      <c r="A80" s="75"/>
      <c r="B80" s="70" t="s">
        <v>308</v>
      </c>
      <c r="C80" s="101">
        <f>'5.a forrás részletes'!C135+'5.a forrás részletes'!O135</f>
        <v>25218640</v>
      </c>
      <c r="D80" s="101">
        <f>'5.a forrás részletes'!D135+'5.a forrás részletes'!P135</f>
        <v>9003640</v>
      </c>
      <c r="E80" s="101">
        <f>'5.a forrás részletes'!E135+'5.a forrás részletes'!Q135</f>
        <v>2927269</v>
      </c>
      <c r="F80" s="422">
        <f t="shared" ref="F80:F81" si="29">+E80/D80</f>
        <v>0.32512061788343383</v>
      </c>
      <c r="G80" s="75"/>
      <c r="H80" s="75" t="s">
        <v>246</v>
      </c>
      <c r="I80" s="109">
        <f>I75+I78+I79</f>
        <v>0</v>
      </c>
      <c r="J80" s="109">
        <f t="shared" ref="J80:L80" si="30">J75+J78+J79</f>
        <v>0</v>
      </c>
      <c r="K80" s="109">
        <f t="shared" si="30"/>
        <v>0</v>
      </c>
      <c r="L80" s="423">
        <f t="shared" si="30"/>
        <v>0</v>
      </c>
    </row>
    <row r="81" spans="1:12" ht="20.25" customHeight="1" x14ac:dyDescent="0.25">
      <c r="A81" s="107"/>
      <c r="B81" s="80" t="s">
        <v>310</v>
      </c>
      <c r="C81" s="109">
        <f>C75+C78+C79+C80</f>
        <v>25788640</v>
      </c>
      <c r="D81" s="109">
        <f t="shared" ref="D81:E81" si="31">D75+D78+D79+D80</f>
        <v>9573640</v>
      </c>
      <c r="E81" s="109">
        <f t="shared" si="31"/>
        <v>3497269</v>
      </c>
      <c r="F81" s="423">
        <f t="shared" si="29"/>
        <v>0.36530191233428455</v>
      </c>
      <c r="G81" s="107"/>
      <c r="H81" s="94"/>
      <c r="I81" s="101"/>
      <c r="J81" s="101"/>
      <c r="K81" s="101"/>
      <c r="L81" s="422"/>
    </row>
    <row r="82" spans="1:12" ht="20.25" customHeight="1" x14ac:dyDescent="0.25">
      <c r="A82" s="851" t="s">
        <v>143</v>
      </c>
      <c r="B82" s="852"/>
      <c r="C82" s="238">
        <f>C2+C43+C60</f>
        <v>185117905</v>
      </c>
      <c r="D82" s="238">
        <f>D2+D43+D60</f>
        <v>168902905</v>
      </c>
      <c r="E82" s="238">
        <f>E2+E43+E60</f>
        <v>152894932</v>
      </c>
      <c r="F82" s="425">
        <f>+E82/D82</f>
        <v>0.9052238148301831</v>
      </c>
      <c r="G82" s="851" t="s">
        <v>144</v>
      </c>
      <c r="H82" s="852"/>
      <c r="I82" s="238">
        <f>I2+I43+I60</f>
        <v>185117905.338</v>
      </c>
      <c r="J82" s="238">
        <f>J2+J43+J60</f>
        <v>168902904.7480315</v>
      </c>
      <c r="K82" s="238">
        <f>K2+K43+K60</f>
        <v>151717911</v>
      </c>
      <c r="L82" s="425">
        <f>+K82/J82</f>
        <v>0.89825519120782449</v>
      </c>
    </row>
    <row r="83" spans="1:12" x14ac:dyDescent="0.25">
      <c r="C83" s="113">
        <f>+C82-'5.a forrás részletes'!C137-'5.a forrás részletes'!O137</f>
        <v>0</v>
      </c>
      <c r="D83" s="113">
        <f>+D82-'5.a forrás részletes'!D137-'5.a forrás részletes'!P137</f>
        <v>0</v>
      </c>
      <c r="E83" s="113">
        <f>+E82-'5.a forrás részletes'!E137-'5.a forrás részletes'!Q137</f>
        <v>0</v>
      </c>
      <c r="I83" s="113">
        <f>+C82-I82</f>
        <v>-0.33799999952316284</v>
      </c>
      <c r="J83" s="113">
        <f t="shared" ref="J83" si="32">+D82-J82</f>
        <v>0.25196850299835205</v>
      </c>
      <c r="K83" s="113">
        <f>+E82-K82</f>
        <v>1177021</v>
      </c>
    </row>
    <row r="84" spans="1:12" x14ac:dyDescent="0.25">
      <c r="K84" s="113">
        <f>+K82-'5.a forrás részletes'!K137-'5.a forrás részletes'!W137</f>
        <v>0</v>
      </c>
    </row>
    <row r="85" spans="1:12" x14ac:dyDescent="0.25">
      <c r="E85" s="21">
        <f>+(E68+E79+E2)/E82</f>
        <v>0.44020536926626186</v>
      </c>
    </row>
    <row r="86" spans="1:12" x14ac:dyDescent="0.25">
      <c r="E86" s="21">
        <f>4702902/E82</f>
        <v>3.075904438742286E-2</v>
      </c>
    </row>
    <row r="87" spans="1:12" x14ac:dyDescent="0.25">
      <c r="E87" s="21">
        <f>+(E69+E80-4702902)/E82</f>
        <v>0.52903558634631531</v>
      </c>
    </row>
  </sheetData>
  <mergeCells count="2">
    <mergeCell ref="A82:B82"/>
    <mergeCell ref="G82:H8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&amp;CTaksony Nagyközség Önkormányzat 2018. évi zárszámadás&amp;R5.sz. melléklet</oddHeader>
    <oddFooter xml:space="preserve">&amp;LKészült: &amp;D
&amp;C&amp;P&amp;R/:Kreisz László://:Dr.Micheller Anita:/
/:Szelecki N.Andrea:/       </oddFooter>
  </headerFooter>
  <rowBreaks count="1" manualBreakCount="1">
    <brk id="42" max="11" man="1"/>
  </rowBreaks>
  <colBreaks count="1" manualBreakCount="1">
    <brk id="6" max="9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5"/>
  <sheetViews>
    <sheetView view="pageBreakPreview" topLeftCell="D1" zoomScale="60" zoomScaleNormal="80" workbookViewId="0">
      <pane ySplit="1" topLeftCell="A2" activePane="bottomLeft" state="frozen"/>
      <selection activeCell="L86" sqref="L86"/>
      <selection pane="bottomLeft" activeCell="T31" sqref="T31"/>
    </sheetView>
  </sheetViews>
  <sheetFormatPr defaultRowHeight="15" x14ac:dyDescent="0.25"/>
  <cols>
    <col min="1" max="1" width="5" style="21" bestFit="1" customWidth="1"/>
    <col min="2" max="2" width="71" style="21" customWidth="1"/>
    <col min="3" max="5" width="16.5703125" style="21" bestFit="1" customWidth="1"/>
    <col min="6" max="6" width="16.5703125" style="426" bestFit="1" customWidth="1"/>
    <col min="7" max="7" width="5.85546875" style="21" bestFit="1" customWidth="1"/>
    <col min="8" max="8" width="70.85546875" style="21" customWidth="1"/>
    <col min="9" max="11" width="16.5703125" style="21" bestFit="1" customWidth="1"/>
    <col min="12" max="12" width="16.5703125" style="426" bestFit="1" customWidth="1"/>
    <col min="13" max="13" width="5" style="247" bestFit="1" customWidth="1"/>
    <col min="14" max="14" width="71" style="21" customWidth="1"/>
    <col min="15" max="17" width="16.5703125" style="394" customWidth="1"/>
    <col min="18" max="18" width="16.5703125" style="450" customWidth="1"/>
    <col min="19" max="19" width="7.140625" style="21" customWidth="1"/>
    <col min="20" max="20" width="75.42578125" style="21" customWidth="1"/>
    <col min="21" max="23" width="18.5703125" style="301" bestFit="1" customWidth="1"/>
    <col min="24" max="24" width="18.5703125" style="460" bestFit="1" customWidth="1"/>
    <col min="25" max="26" width="14.85546875" style="217" customWidth="1"/>
    <col min="27" max="27" width="15.28515625" style="217" customWidth="1"/>
    <col min="28" max="28" width="14.7109375" style="21" bestFit="1" customWidth="1"/>
    <col min="29" max="16384" width="9.140625" style="21"/>
  </cols>
  <sheetData>
    <row r="1" spans="1:28" ht="40.5" customHeight="1" x14ac:dyDescent="0.25">
      <c r="A1" s="76"/>
      <c r="B1" s="77" t="s">
        <v>693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694</v>
      </c>
      <c r="I1" s="76" t="s">
        <v>1129</v>
      </c>
      <c r="J1" s="76" t="s">
        <v>1130</v>
      </c>
      <c r="K1" s="76" t="s">
        <v>1733</v>
      </c>
      <c r="L1" s="403" t="s">
        <v>1131</v>
      </c>
      <c r="M1" s="77"/>
      <c r="N1" s="76" t="s">
        <v>787</v>
      </c>
      <c r="O1" s="76" t="s">
        <v>1129</v>
      </c>
      <c r="P1" s="76" t="s">
        <v>1130</v>
      </c>
      <c r="Q1" s="76" t="s">
        <v>1733</v>
      </c>
      <c r="R1" s="403" t="s">
        <v>1131</v>
      </c>
      <c r="S1" s="77"/>
      <c r="T1" s="76" t="s">
        <v>788</v>
      </c>
      <c r="U1" s="76" t="s">
        <v>1129</v>
      </c>
      <c r="V1" s="76" t="s">
        <v>1130</v>
      </c>
      <c r="W1" s="76" t="s">
        <v>1733</v>
      </c>
      <c r="X1" s="403" t="s">
        <v>1131</v>
      </c>
    </row>
    <row r="2" spans="1:28" ht="20.25" customHeight="1" x14ac:dyDescent="0.25">
      <c r="A2" s="306"/>
      <c r="B2" s="307" t="s">
        <v>180</v>
      </c>
      <c r="C2" s="308">
        <f>C3+C23+C25+C77</f>
        <v>65557400</v>
      </c>
      <c r="D2" s="308">
        <f t="shared" ref="D2:E2" si="0">D3+D23+D25+D77</f>
        <v>65557400</v>
      </c>
      <c r="E2" s="308">
        <f t="shared" si="0"/>
        <v>66361742</v>
      </c>
      <c r="F2" s="414">
        <f>+E2/D2</f>
        <v>1.012269278525384</v>
      </c>
      <c r="G2" s="306"/>
      <c r="H2" s="307" t="s">
        <v>196</v>
      </c>
      <c r="I2" s="308">
        <f>I3+I18+I23+I84+I91</f>
        <v>84717549.675999999</v>
      </c>
      <c r="J2" s="308">
        <f t="shared" ref="J2:K2" si="1">J3+J18+J23+J84+J91</f>
        <v>85754198</v>
      </c>
      <c r="K2" s="308">
        <f t="shared" si="1"/>
        <v>79534789</v>
      </c>
      <c r="L2" s="414">
        <f>+K2/J2</f>
        <v>0.92747399958192134</v>
      </c>
      <c r="M2" s="316"/>
      <c r="N2" s="308" t="s">
        <v>180</v>
      </c>
      <c r="O2" s="380">
        <f>O3+O23+O25+O77</f>
        <v>0</v>
      </c>
      <c r="P2" s="380">
        <f t="shared" ref="P2:R2" si="2">P3+P23+P25+P77</f>
        <v>0</v>
      </c>
      <c r="Q2" s="380">
        <f t="shared" si="2"/>
        <v>0</v>
      </c>
      <c r="R2" s="442">
        <f t="shared" si="2"/>
        <v>0</v>
      </c>
      <c r="S2" s="307"/>
      <c r="T2" s="308" t="s">
        <v>196</v>
      </c>
      <c r="U2" s="311">
        <f>U3+U18+U23+U84+U91</f>
        <v>74611714.662</v>
      </c>
      <c r="V2" s="311">
        <f t="shared" ref="V2:W2" si="3">V3+V18+V23+V84+V91</f>
        <v>73575067</v>
      </c>
      <c r="W2" s="311">
        <f t="shared" si="3"/>
        <v>69255853</v>
      </c>
      <c r="X2" s="414">
        <f>+W2/V2</f>
        <v>0.94129514010500326</v>
      </c>
      <c r="Y2" s="439">
        <f t="shared" ref="Y2:Z33" si="4">+J2+V2</f>
        <v>159329265</v>
      </c>
      <c r="Z2" s="439">
        <f t="shared" si="4"/>
        <v>148790642</v>
      </c>
      <c r="AA2" s="439">
        <f>+D2+P2</f>
        <v>65557400</v>
      </c>
      <c r="AB2" s="439">
        <f>+E2+Q2</f>
        <v>66361742</v>
      </c>
    </row>
    <row r="3" spans="1:28" ht="20.25" customHeight="1" x14ac:dyDescent="0.25">
      <c r="A3" s="231" t="s">
        <v>23</v>
      </c>
      <c r="B3" s="232" t="s">
        <v>402</v>
      </c>
      <c r="C3" s="233">
        <f>C4+C13+C14+C15+C16+C17</f>
        <v>0</v>
      </c>
      <c r="D3" s="233">
        <f t="shared" ref="D3:F3" si="5">D4+D13+D14+D15+D16+D17</f>
        <v>0</v>
      </c>
      <c r="E3" s="233">
        <f t="shared" si="5"/>
        <v>0</v>
      </c>
      <c r="F3" s="429">
        <f t="shared" si="5"/>
        <v>0</v>
      </c>
      <c r="G3" s="231" t="s">
        <v>23</v>
      </c>
      <c r="H3" s="227" t="s">
        <v>313</v>
      </c>
      <c r="I3" s="228">
        <f>I13+I17</f>
        <v>19881600</v>
      </c>
      <c r="J3" s="228">
        <f t="shared" ref="J3:K3" si="6">J13+J17</f>
        <v>17832844</v>
      </c>
      <c r="K3" s="228">
        <f t="shared" si="6"/>
        <v>16378351</v>
      </c>
      <c r="L3" s="415">
        <f>+K3/J3</f>
        <v>0.91843740684323827</v>
      </c>
      <c r="M3" s="231" t="s">
        <v>23</v>
      </c>
      <c r="N3" s="228" t="s">
        <v>402</v>
      </c>
      <c r="O3" s="381">
        <f>O4+O13+O14+O15+O16+O17</f>
        <v>0</v>
      </c>
      <c r="P3" s="381">
        <f t="shared" ref="P3:R3" si="7">P4+P13+P14+P15+P16+P17</f>
        <v>0</v>
      </c>
      <c r="Q3" s="381">
        <f t="shared" si="7"/>
        <v>0</v>
      </c>
      <c r="R3" s="443">
        <f t="shared" si="7"/>
        <v>0</v>
      </c>
      <c r="S3" s="227" t="s">
        <v>23</v>
      </c>
      <c r="T3" s="228" t="s">
        <v>313</v>
      </c>
      <c r="U3" s="290">
        <f>U13+U17</f>
        <v>34717250</v>
      </c>
      <c r="V3" s="290">
        <f t="shared" ref="V3" si="8">V13+V17</f>
        <v>36327071</v>
      </c>
      <c r="W3" s="290">
        <f>W13+W17</f>
        <v>36323763</v>
      </c>
      <c r="X3" s="415">
        <f>+W3/V3</f>
        <v>0.99990893843326922</v>
      </c>
      <c r="Y3" s="439">
        <f t="shared" si="4"/>
        <v>54159915</v>
      </c>
      <c r="Z3" s="439">
        <f t="shared" si="4"/>
        <v>52702114</v>
      </c>
      <c r="AA3" s="439">
        <f t="shared" ref="AA3:AA66" si="9">+D3+P3</f>
        <v>0</v>
      </c>
      <c r="AB3" s="439">
        <f t="shared" ref="AB3:AB66" si="10">+E3+Q3</f>
        <v>0</v>
      </c>
    </row>
    <row r="4" spans="1:28" ht="18.75" customHeight="1" x14ac:dyDescent="0.25">
      <c r="A4" s="70"/>
      <c r="B4" s="108" t="s">
        <v>443</v>
      </c>
      <c r="C4" s="106">
        <f>SUM(C6:C9)</f>
        <v>0</v>
      </c>
      <c r="D4" s="106">
        <f t="shared" ref="D4:F4" si="11">SUM(D6:D9)</f>
        <v>0</v>
      </c>
      <c r="E4" s="106">
        <f t="shared" si="11"/>
        <v>0</v>
      </c>
      <c r="F4" s="427">
        <f t="shared" si="11"/>
        <v>0</v>
      </c>
      <c r="G4" s="80"/>
      <c r="H4" s="69" t="s">
        <v>777</v>
      </c>
      <c r="I4" s="95">
        <v>18380000</v>
      </c>
      <c r="J4" s="95">
        <v>14922915</v>
      </c>
      <c r="K4" s="95">
        <v>13469446</v>
      </c>
      <c r="L4" s="416">
        <f>+K4/J4</f>
        <v>0.90260153595996495</v>
      </c>
      <c r="M4" s="70"/>
      <c r="N4" s="108" t="s">
        <v>443</v>
      </c>
      <c r="O4" s="382">
        <f>SUM(O6:O9)</f>
        <v>0</v>
      </c>
      <c r="P4" s="382">
        <f t="shared" ref="P4:R4" si="12">SUM(P6:P9)</f>
        <v>0</v>
      </c>
      <c r="Q4" s="382">
        <f t="shared" si="12"/>
        <v>0</v>
      </c>
      <c r="R4" s="444">
        <f t="shared" si="12"/>
        <v>0</v>
      </c>
      <c r="S4" s="80"/>
      <c r="T4" s="69" t="s">
        <v>789</v>
      </c>
      <c r="U4" s="291">
        <f>28820000+4038000</f>
        <v>32858000</v>
      </c>
      <c r="V4" s="291">
        <v>31393000</v>
      </c>
      <c r="W4" s="291">
        <v>31392424</v>
      </c>
      <c r="X4" s="453">
        <f>+W4/V4</f>
        <v>0.99998165196062816</v>
      </c>
      <c r="Y4" s="439">
        <f t="shared" si="4"/>
        <v>46315915</v>
      </c>
      <c r="Z4" s="439">
        <f t="shared" si="4"/>
        <v>44861870</v>
      </c>
      <c r="AA4" s="439">
        <f t="shared" si="9"/>
        <v>0</v>
      </c>
      <c r="AB4" s="439">
        <f t="shared" si="10"/>
        <v>0</v>
      </c>
    </row>
    <row r="5" spans="1:28" x14ac:dyDescent="0.25">
      <c r="A5" s="70"/>
      <c r="B5"/>
      <c r="C5" s="106"/>
      <c r="D5" s="106"/>
      <c r="E5" s="106"/>
      <c r="F5" s="427"/>
      <c r="G5" s="80"/>
      <c r="H5" s="69" t="s">
        <v>1132</v>
      </c>
      <c r="I5" s="95"/>
      <c r="J5" s="95"/>
      <c r="K5" s="95"/>
      <c r="L5" s="416"/>
      <c r="M5" s="70"/>
      <c r="N5" s="108"/>
      <c r="O5" s="382"/>
      <c r="P5" s="382"/>
      <c r="Q5" s="382"/>
      <c r="R5" s="444"/>
      <c r="S5" s="80"/>
      <c r="T5" s="69" t="s">
        <v>1132</v>
      </c>
      <c r="U5" s="291"/>
      <c r="V5" s="291">
        <v>580000</v>
      </c>
      <c r="W5" s="291">
        <v>580000</v>
      </c>
      <c r="X5" s="453">
        <f t="shared" ref="X5:X6" si="13">+W5/V5</f>
        <v>1</v>
      </c>
      <c r="Y5" s="439">
        <f t="shared" si="4"/>
        <v>580000</v>
      </c>
      <c r="Z5" s="439">
        <f t="shared" si="4"/>
        <v>580000</v>
      </c>
      <c r="AA5" s="439">
        <f t="shared" si="9"/>
        <v>0</v>
      </c>
      <c r="AB5" s="439">
        <f t="shared" si="10"/>
        <v>0</v>
      </c>
    </row>
    <row r="6" spans="1:28" ht="24" customHeight="1" x14ac:dyDescent="0.25">
      <c r="A6" s="80"/>
      <c r="B6" s="83" t="s">
        <v>404</v>
      </c>
      <c r="C6" s="106"/>
      <c r="D6" s="106"/>
      <c r="E6" s="106"/>
      <c r="F6" s="427"/>
      <c r="G6" s="80"/>
      <c r="H6" s="69" t="s">
        <v>697</v>
      </c>
      <c r="I6" s="95">
        <v>600000</v>
      </c>
      <c r="J6" s="95">
        <v>656000</v>
      </c>
      <c r="K6" s="95">
        <v>655540</v>
      </c>
      <c r="L6" s="416">
        <f t="shared" ref="L6:L17" si="14">+K6/J6</f>
        <v>0.99929878048780485</v>
      </c>
      <c r="M6" s="80"/>
      <c r="N6" s="83" t="s">
        <v>404</v>
      </c>
      <c r="O6" s="382"/>
      <c r="P6" s="382"/>
      <c r="Q6" s="382"/>
      <c r="R6" s="444"/>
      <c r="S6" s="80"/>
      <c r="T6" s="69" t="s">
        <v>704</v>
      </c>
      <c r="U6" s="104"/>
      <c r="V6" s="104">
        <v>714000</v>
      </c>
      <c r="W6" s="104">
        <v>712631</v>
      </c>
      <c r="X6" s="453">
        <f t="shared" si="13"/>
        <v>0.99808263305322131</v>
      </c>
      <c r="Y6" s="439">
        <f t="shared" si="4"/>
        <v>1370000</v>
      </c>
      <c r="Z6" s="439">
        <f t="shared" si="4"/>
        <v>1368171</v>
      </c>
      <c r="AA6" s="439">
        <f t="shared" si="9"/>
        <v>0</v>
      </c>
      <c r="AB6" s="439">
        <f t="shared" si="10"/>
        <v>0</v>
      </c>
    </row>
    <row r="7" spans="1:28" ht="24" customHeight="1" x14ac:dyDescent="0.25">
      <c r="A7" s="80"/>
      <c r="B7" s="83" t="s">
        <v>405</v>
      </c>
      <c r="C7" s="106"/>
      <c r="D7" s="106"/>
      <c r="E7" s="106"/>
      <c r="F7" s="427"/>
      <c r="G7" s="80"/>
      <c r="H7" s="69" t="s">
        <v>315</v>
      </c>
      <c r="I7" s="95"/>
      <c r="J7" s="95"/>
      <c r="K7" s="95"/>
      <c r="L7" s="416"/>
      <c r="M7" s="80"/>
      <c r="N7" s="83" t="s">
        <v>405</v>
      </c>
      <c r="O7" s="382"/>
      <c r="P7" s="382"/>
      <c r="Q7" s="382"/>
      <c r="R7" s="444"/>
      <c r="S7" s="80"/>
      <c r="T7" s="69" t="s">
        <v>315</v>
      </c>
      <c r="U7" s="95"/>
      <c r="V7" s="95"/>
      <c r="W7" s="95"/>
      <c r="X7" s="453"/>
      <c r="Y7" s="439">
        <f t="shared" si="4"/>
        <v>0</v>
      </c>
      <c r="Z7" s="439">
        <f t="shared" si="4"/>
        <v>0</v>
      </c>
      <c r="AA7" s="439">
        <f t="shared" si="9"/>
        <v>0</v>
      </c>
      <c r="AB7" s="439">
        <f t="shared" si="10"/>
        <v>0</v>
      </c>
    </row>
    <row r="8" spans="1:28" ht="30" x14ac:dyDescent="0.25">
      <c r="A8" s="80"/>
      <c r="B8" s="83" t="s">
        <v>657</v>
      </c>
      <c r="C8" s="106"/>
      <c r="D8" s="106"/>
      <c r="E8" s="106"/>
      <c r="F8" s="427"/>
      <c r="G8" s="80"/>
      <c r="H8" s="69" t="s">
        <v>316</v>
      </c>
      <c r="I8" s="95"/>
      <c r="J8" s="95"/>
      <c r="K8" s="95"/>
      <c r="L8" s="416"/>
      <c r="M8" s="80"/>
      <c r="N8" s="83" t="s">
        <v>657</v>
      </c>
      <c r="O8" s="382"/>
      <c r="P8" s="382"/>
      <c r="Q8" s="382"/>
      <c r="R8" s="444"/>
      <c r="S8" s="80"/>
      <c r="T8" s="69" t="s">
        <v>316</v>
      </c>
      <c r="U8" s="104"/>
      <c r="V8" s="104"/>
      <c r="W8" s="104"/>
      <c r="X8" s="453"/>
      <c r="Y8" s="439">
        <f t="shared" si="4"/>
        <v>0</v>
      </c>
      <c r="Z8" s="439">
        <f t="shared" si="4"/>
        <v>0</v>
      </c>
      <c r="AA8" s="439">
        <f t="shared" si="9"/>
        <v>0</v>
      </c>
      <c r="AB8" s="439">
        <f t="shared" si="10"/>
        <v>0</v>
      </c>
    </row>
    <row r="9" spans="1:28" ht="22.5" customHeight="1" x14ac:dyDescent="0.25">
      <c r="A9" s="80"/>
      <c r="B9" s="83" t="s">
        <v>406</v>
      </c>
      <c r="C9" s="106"/>
      <c r="D9" s="106"/>
      <c r="E9" s="106"/>
      <c r="F9" s="427"/>
      <c r="G9" s="80"/>
      <c r="H9" s="69" t="s">
        <v>683</v>
      </c>
      <c r="I9" s="95">
        <f>8.5*8000*12+I46*127%*20%+40</f>
        <v>851600</v>
      </c>
      <c r="J9" s="95">
        <v>1186800</v>
      </c>
      <c r="K9" s="95">
        <v>1186773</v>
      </c>
      <c r="L9" s="416">
        <f t="shared" si="14"/>
        <v>0.99997724974721947</v>
      </c>
      <c r="M9" s="80"/>
      <c r="N9" s="83" t="s">
        <v>406</v>
      </c>
      <c r="O9" s="382"/>
      <c r="P9" s="382"/>
      <c r="Q9" s="382"/>
      <c r="R9" s="444"/>
      <c r="S9" s="80"/>
      <c r="T9" s="69" t="s">
        <v>683</v>
      </c>
      <c r="U9" s="291">
        <f>11*8000*12+U46*127%*20%+2*8000*9+30</f>
        <v>1309250</v>
      </c>
      <c r="V9" s="291">
        <v>2714200</v>
      </c>
      <c r="W9" s="291">
        <v>2713417</v>
      </c>
      <c r="X9" s="453">
        <f t="shared" ref="X9:X17" si="15">+W9/V9</f>
        <v>0.99971151720580653</v>
      </c>
      <c r="Y9" s="439">
        <f t="shared" si="4"/>
        <v>3901000</v>
      </c>
      <c r="Z9" s="439">
        <f t="shared" si="4"/>
        <v>3900190</v>
      </c>
      <c r="AA9" s="439">
        <f t="shared" si="9"/>
        <v>0</v>
      </c>
      <c r="AB9" s="439">
        <f t="shared" si="10"/>
        <v>0</v>
      </c>
    </row>
    <row r="10" spans="1:28" ht="30" customHeight="1" x14ac:dyDescent="0.25">
      <c r="A10" s="80"/>
      <c r="B10" s="83" t="s">
        <v>658</v>
      </c>
      <c r="C10" s="81" t="s">
        <v>253</v>
      </c>
      <c r="D10" s="81" t="s">
        <v>253</v>
      </c>
      <c r="E10" s="81"/>
      <c r="F10" s="427"/>
      <c r="G10" s="80"/>
      <c r="H10" s="69" t="s">
        <v>317</v>
      </c>
      <c r="I10" s="95"/>
      <c r="J10" s="95"/>
      <c r="K10" s="95"/>
      <c r="L10" s="416"/>
      <c r="M10" s="80"/>
      <c r="N10" s="83" t="s">
        <v>407</v>
      </c>
      <c r="O10" s="383" t="s">
        <v>253</v>
      </c>
      <c r="P10" s="383" t="s">
        <v>253</v>
      </c>
      <c r="Q10" s="383"/>
      <c r="R10" s="444"/>
      <c r="S10" s="80"/>
      <c r="T10" s="69" t="s">
        <v>317</v>
      </c>
      <c r="U10" s="291"/>
      <c r="V10" s="291">
        <v>40000</v>
      </c>
      <c r="W10" s="291">
        <v>39420</v>
      </c>
      <c r="X10" s="453">
        <f t="shared" si="15"/>
        <v>0.98550000000000004</v>
      </c>
      <c r="Y10" s="439">
        <f t="shared" si="4"/>
        <v>40000</v>
      </c>
      <c r="Z10" s="439">
        <f t="shared" si="4"/>
        <v>39420</v>
      </c>
      <c r="AA10" s="439" t="e">
        <f t="shared" si="9"/>
        <v>#VALUE!</v>
      </c>
      <c r="AB10" s="439">
        <f t="shared" si="10"/>
        <v>0</v>
      </c>
    </row>
    <row r="11" spans="1:28" ht="18" customHeight="1" x14ac:dyDescent="0.25">
      <c r="A11" s="80"/>
      <c r="B11" s="83" t="s">
        <v>659</v>
      </c>
      <c r="C11" s="81" t="s">
        <v>253</v>
      </c>
      <c r="D11" s="81" t="s">
        <v>253</v>
      </c>
      <c r="E11" s="81"/>
      <c r="F11" s="427"/>
      <c r="G11" s="84"/>
      <c r="H11" s="69" t="s">
        <v>318</v>
      </c>
      <c r="I11" s="203"/>
      <c r="J11" s="203"/>
      <c r="K11" s="203"/>
      <c r="L11" s="416"/>
      <c r="M11" s="80"/>
      <c r="N11" s="83" t="s">
        <v>408</v>
      </c>
      <c r="O11" s="383" t="s">
        <v>253</v>
      </c>
      <c r="P11" s="383" t="s">
        <v>253</v>
      </c>
      <c r="Q11" s="383"/>
      <c r="R11" s="444"/>
      <c r="S11" s="84"/>
      <c r="T11" s="69" t="s">
        <v>318</v>
      </c>
      <c r="U11" s="292"/>
      <c r="V11" s="292"/>
      <c r="W11" s="292"/>
      <c r="X11" s="453"/>
      <c r="Y11" s="439">
        <f t="shared" si="4"/>
        <v>0</v>
      </c>
      <c r="Z11" s="439">
        <f t="shared" si="4"/>
        <v>0</v>
      </c>
      <c r="AA11" s="439" t="e">
        <f t="shared" si="9"/>
        <v>#VALUE!</v>
      </c>
      <c r="AB11" s="439">
        <f t="shared" si="10"/>
        <v>0</v>
      </c>
    </row>
    <row r="12" spans="1:28" ht="20.25" customHeight="1" x14ac:dyDescent="0.25">
      <c r="A12" s="80"/>
      <c r="B12" s="111"/>
      <c r="C12" s="87"/>
      <c r="D12" s="87"/>
      <c r="E12" s="87"/>
      <c r="F12" s="422"/>
      <c r="G12" s="84"/>
      <c r="H12" s="69" t="s">
        <v>698</v>
      </c>
      <c r="I12" s="104">
        <v>50000</v>
      </c>
      <c r="J12" s="104">
        <v>325129</v>
      </c>
      <c r="K12" s="104">
        <v>325062</v>
      </c>
      <c r="L12" s="416">
        <f t="shared" si="14"/>
        <v>0.99979392794859889</v>
      </c>
      <c r="M12" s="80"/>
      <c r="N12" s="111"/>
      <c r="O12" s="384"/>
      <c r="P12" s="384"/>
      <c r="Q12" s="384"/>
      <c r="R12" s="445"/>
      <c r="S12" s="84"/>
      <c r="T12" s="69" t="s">
        <v>698</v>
      </c>
      <c r="U12" s="104">
        <v>400000</v>
      </c>
      <c r="V12" s="104">
        <v>747871</v>
      </c>
      <c r="W12" s="104">
        <v>747871</v>
      </c>
      <c r="X12" s="453">
        <f t="shared" si="15"/>
        <v>1</v>
      </c>
      <c r="Y12" s="439">
        <f t="shared" si="4"/>
        <v>1073000</v>
      </c>
      <c r="Z12" s="439">
        <f t="shared" si="4"/>
        <v>1072933</v>
      </c>
      <c r="AA12" s="439">
        <f t="shared" si="9"/>
        <v>0</v>
      </c>
      <c r="AB12" s="439">
        <f t="shared" si="10"/>
        <v>0</v>
      </c>
    </row>
    <row r="13" spans="1:28" ht="20.25" customHeight="1" x14ac:dyDescent="0.25">
      <c r="A13" s="80"/>
      <c r="B13" s="83" t="s">
        <v>409</v>
      </c>
      <c r="C13" s="87"/>
      <c r="D13" s="87"/>
      <c r="E13" s="87"/>
      <c r="F13" s="422"/>
      <c r="G13" s="84"/>
      <c r="H13" s="70" t="s">
        <v>320</v>
      </c>
      <c r="I13" s="104">
        <f>I4+I6+I7+I8+I9+I10+I11+I12</f>
        <v>19881600</v>
      </c>
      <c r="J13" s="104">
        <f t="shared" ref="J13:K13" si="16">J4+J6+J7+J8+J9+J10+J11+J12</f>
        <v>17090844</v>
      </c>
      <c r="K13" s="104">
        <f t="shared" si="16"/>
        <v>15636821</v>
      </c>
      <c r="L13" s="416">
        <f t="shared" si="14"/>
        <v>0.91492386215683674</v>
      </c>
      <c r="M13" s="80"/>
      <c r="N13" s="83" t="s">
        <v>409</v>
      </c>
      <c r="O13" s="384"/>
      <c r="P13" s="384"/>
      <c r="Q13" s="384"/>
      <c r="R13" s="445"/>
      <c r="S13" s="84"/>
      <c r="T13" s="70" t="s">
        <v>320</v>
      </c>
      <c r="U13" s="204">
        <f>U4+U6+U7+U8+U9+U10+U11+U12+U5</f>
        <v>34567250</v>
      </c>
      <c r="V13" s="204">
        <f t="shared" ref="V13" si="17">V4+V6+V7+V8+V9+V10+V11+V12+V5</f>
        <v>36189071</v>
      </c>
      <c r="W13" s="204">
        <f>SUM(W4:W12)</f>
        <v>36185763</v>
      </c>
      <c r="X13" s="453">
        <f t="shared" si="15"/>
        <v>0.99990859118765441</v>
      </c>
      <c r="Y13" s="439">
        <f t="shared" si="4"/>
        <v>53279915</v>
      </c>
      <c r="Z13" s="439">
        <f t="shared" si="4"/>
        <v>51822584</v>
      </c>
      <c r="AA13" s="439">
        <f t="shared" si="9"/>
        <v>0</v>
      </c>
      <c r="AB13" s="439">
        <f t="shared" si="10"/>
        <v>0</v>
      </c>
    </row>
    <row r="14" spans="1:28" ht="30" x14ac:dyDescent="0.25">
      <c r="A14" s="70"/>
      <c r="B14" s="83" t="s">
        <v>410</v>
      </c>
      <c r="C14" s="106"/>
      <c r="D14" s="106"/>
      <c r="E14" s="106"/>
      <c r="F14" s="427"/>
      <c r="G14" s="84"/>
      <c r="H14" s="69" t="s">
        <v>321</v>
      </c>
      <c r="I14" s="97"/>
      <c r="J14" s="97"/>
      <c r="K14" s="97"/>
      <c r="L14" s="416"/>
      <c r="M14" s="70"/>
      <c r="N14" s="83" t="s">
        <v>410</v>
      </c>
      <c r="O14" s="382"/>
      <c r="P14" s="382"/>
      <c r="Q14" s="382"/>
      <c r="R14" s="444"/>
      <c r="S14" s="84"/>
      <c r="T14" s="69" t="s">
        <v>321</v>
      </c>
      <c r="U14" s="293"/>
      <c r="V14" s="293"/>
      <c r="W14" s="293"/>
      <c r="X14" s="453"/>
      <c r="Y14" s="439">
        <f t="shared" si="4"/>
        <v>0</v>
      </c>
      <c r="Z14" s="439">
        <f t="shared" si="4"/>
        <v>0</v>
      </c>
      <c r="AA14" s="439">
        <f t="shared" si="9"/>
        <v>0</v>
      </c>
      <c r="AB14" s="439">
        <f t="shared" si="10"/>
        <v>0</v>
      </c>
    </row>
    <row r="15" spans="1:28" ht="29.25" customHeight="1" x14ac:dyDescent="0.25">
      <c r="A15" s="70"/>
      <c r="B15" s="83" t="s">
        <v>411</v>
      </c>
      <c r="C15" s="106"/>
      <c r="D15" s="106"/>
      <c r="E15" s="106"/>
      <c r="F15" s="427"/>
      <c r="G15" s="84"/>
      <c r="H15" s="69" t="s">
        <v>322</v>
      </c>
      <c r="I15" s="104"/>
      <c r="J15" s="104">
        <v>742000</v>
      </c>
      <c r="K15" s="104">
        <v>741530</v>
      </c>
      <c r="L15" s="416">
        <f t="shared" si="14"/>
        <v>0.99936657681940699</v>
      </c>
      <c r="M15" s="70"/>
      <c r="N15" s="83" t="s">
        <v>411</v>
      </c>
      <c r="O15" s="382"/>
      <c r="P15" s="382"/>
      <c r="Q15" s="382"/>
      <c r="R15" s="444"/>
      <c r="S15" s="84"/>
      <c r="T15" s="69" t="s">
        <v>705</v>
      </c>
      <c r="U15" s="204">
        <v>150000</v>
      </c>
      <c r="V15" s="204">
        <v>138000</v>
      </c>
      <c r="W15" s="204">
        <v>138000</v>
      </c>
      <c r="X15" s="453">
        <f t="shared" si="15"/>
        <v>1</v>
      </c>
      <c r="Y15" s="439">
        <f t="shared" si="4"/>
        <v>880000</v>
      </c>
      <c r="Z15" s="439">
        <f t="shared" si="4"/>
        <v>879530</v>
      </c>
      <c r="AA15" s="439">
        <f t="shared" si="9"/>
        <v>0</v>
      </c>
      <c r="AB15" s="439">
        <f t="shared" si="10"/>
        <v>0</v>
      </c>
    </row>
    <row r="16" spans="1:28" ht="29.25" customHeight="1" x14ac:dyDescent="0.25">
      <c r="A16" s="70"/>
      <c r="B16" s="83" t="s">
        <v>412</v>
      </c>
      <c r="C16" s="106"/>
      <c r="D16" s="106"/>
      <c r="E16" s="106"/>
      <c r="F16" s="427"/>
      <c r="G16" s="84"/>
      <c r="H16" s="69" t="s">
        <v>323</v>
      </c>
      <c r="I16" s="97"/>
      <c r="J16" s="97"/>
      <c r="K16" s="97"/>
      <c r="L16" s="416"/>
      <c r="M16" s="70"/>
      <c r="N16" s="83" t="s">
        <v>412</v>
      </c>
      <c r="O16" s="382"/>
      <c r="P16" s="382"/>
      <c r="Q16" s="382"/>
      <c r="R16" s="444"/>
      <c r="S16" s="84"/>
      <c r="T16" s="69" t="s">
        <v>670</v>
      </c>
      <c r="U16" s="204"/>
      <c r="V16" s="204"/>
      <c r="W16" s="204"/>
      <c r="X16" s="453"/>
      <c r="Y16" s="439">
        <f t="shared" si="4"/>
        <v>0</v>
      </c>
      <c r="Z16" s="439">
        <f t="shared" si="4"/>
        <v>0</v>
      </c>
      <c r="AA16" s="439">
        <f t="shared" si="9"/>
        <v>0</v>
      </c>
      <c r="AB16" s="439">
        <f t="shared" si="10"/>
        <v>0</v>
      </c>
    </row>
    <row r="17" spans="1:28" ht="21" customHeight="1" x14ac:dyDescent="0.25">
      <c r="A17" s="70"/>
      <c r="B17" s="83" t="s">
        <v>413</v>
      </c>
      <c r="C17" s="106"/>
      <c r="D17" s="106"/>
      <c r="E17" s="106"/>
      <c r="F17" s="427"/>
      <c r="G17" s="84"/>
      <c r="H17" s="70" t="s">
        <v>324</v>
      </c>
      <c r="I17" s="104">
        <f>I14+I15+I16</f>
        <v>0</v>
      </c>
      <c r="J17" s="104">
        <f t="shared" ref="J17:K17" si="18">J14+J15+J16</f>
        <v>742000</v>
      </c>
      <c r="K17" s="104">
        <f t="shared" si="18"/>
        <v>741530</v>
      </c>
      <c r="L17" s="416">
        <f t="shared" si="14"/>
        <v>0.99936657681940699</v>
      </c>
      <c r="M17" s="70"/>
      <c r="N17" s="83" t="s">
        <v>413</v>
      </c>
      <c r="O17" s="382"/>
      <c r="P17" s="382"/>
      <c r="Q17" s="382"/>
      <c r="R17" s="444"/>
      <c r="S17" s="84"/>
      <c r="T17" s="70" t="s">
        <v>324</v>
      </c>
      <c r="U17" s="204">
        <f>U14+U15+U16</f>
        <v>150000</v>
      </c>
      <c r="V17" s="204">
        <f t="shared" ref="V17:W17" si="19">V14+V15+V16</f>
        <v>138000</v>
      </c>
      <c r="W17" s="204">
        <f t="shared" si="19"/>
        <v>138000</v>
      </c>
      <c r="X17" s="453">
        <f t="shared" si="15"/>
        <v>1</v>
      </c>
      <c r="Y17" s="439">
        <f t="shared" si="4"/>
        <v>880000</v>
      </c>
      <c r="Z17" s="439">
        <f t="shared" si="4"/>
        <v>879530</v>
      </c>
      <c r="AA17" s="439">
        <f t="shared" si="9"/>
        <v>0</v>
      </c>
      <c r="AB17" s="439">
        <f t="shared" si="10"/>
        <v>0</v>
      </c>
    </row>
    <row r="18" spans="1:28" ht="18.75" customHeight="1" x14ac:dyDescent="0.25">
      <c r="A18" s="70"/>
      <c r="B18" s="83"/>
      <c r="C18" s="106"/>
      <c r="D18" s="106"/>
      <c r="E18" s="106"/>
      <c r="F18" s="427"/>
      <c r="G18" s="231" t="s">
        <v>45</v>
      </c>
      <c r="H18" s="227" t="s">
        <v>325</v>
      </c>
      <c r="I18" s="228">
        <f>SUM(I19:I22)</f>
        <v>4004549.676</v>
      </c>
      <c r="J18" s="228">
        <f t="shared" ref="J18:K18" si="20">SUM(J19:J22)</f>
        <v>4623954</v>
      </c>
      <c r="K18" s="228">
        <f t="shared" si="20"/>
        <v>4623761</v>
      </c>
      <c r="L18" s="415">
        <f>+K18/J18</f>
        <v>0.99995826083044947</v>
      </c>
      <c r="M18" s="70"/>
      <c r="N18" s="83"/>
      <c r="O18" s="382"/>
      <c r="P18" s="382"/>
      <c r="Q18" s="382"/>
      <c r="R18" s="444"/>
      <c r="S18" s="227" t="s">
        <v>45</v>
      </c>
      <c r="T18" s="228" t="s">
        <v>325</v>
      </c>
      <c r="U18" s="290">
        <f>SUM(U19:U22)</f>
        <v>7002514.6620000005</v>
      </c>
      <c r="V18" s="290">
        <f t="shared" ref="V18:W18" si="21">SUM(V19:V22)</f>
        <v>6822046</v>
      </c>
      <c r="W18" s="290">
        <f t="shared" si="21"/>
        <v>6821890</v>
      </c>
      <c r="X18" s="452">
        <f>+W18/V18</f>
        <v>0.99997713295981883</v>
      </c>
      <c r="Y18" s="439">
        <f t="shared" si="4"/>
        <v>11446000</v>
      </c>
      <c r="Z18" s="439">
        <f t="shared" si="4"/>
        <v>11445651</v>
      </c>
      <c r="AA18" s="439">
        <f t="shared" si="9"/>
        <v>0</v>
      </c>
      <c r="AB18" s="439">
        <f t="shared" si="10"/>
        <v>0</v>
      </c>
    </row>
    <row r="19" spans="1:28" ht="18.75" customHeight="1" x14ac:dyDescent="0.25">
      <c r="A19" s="70"/>
      <c r="B19" s="83"/>
      <c r="C19" s="106"/>
      <c r="D19" s="106"/>
      <c r="E19" s="106"/>
      <c r="F19" s="427"/>
      <c r="G19" s="80"/>
      <c r="H19" s="93" t="s">
        <v>759</v>
      </c>
      <c r="I19" s="104">
        <f>(I4+I6+I12+I17)*19.5%</f>
        <v>3710850</v>
      </c>
      <c r="J19" s="104">
        <v>3800050</v>
      </c>
      <c r="K19" s="104">
        <v>3800001</v>
      </c>
      <c r="L19" s="441">
        <f>+K19/J19</f>
        <v>0.99998710543282321</v>
      </c>
      <c r="M19" s="70"/>
      <c r="N19" s="83"/>
      <c r="O19" s="382"/>
      <c r="P19" s="382"/>
      <c r="Q19" s="382"/>
      <c r="R19" s="444"/>
      <c r="S19" s="80"/>
      <c r="T19" s="93" t="s">
        <v>759</v>
      </c>
      <c r="U19" s="204">
        <f>(U4+U6+U7+U12+U15)*19.5%</f>
        <v>6514560</v>
      </c>
      <c r="V19" s="204">
        <v>5768011</v>
      </c>
      <c r="W19" s="204">
        <v>5768011</v>
      </c>
      <c r="X19" s="441">
        <f>+W19/V19</f>
        <v>1</v>
      </c>
      <c r="Y19" s="439">
        <f t="shared" si="4"/>
        <v>9568061</v>
      </c>
      <c r="Z19" s="439">
        <f t="shared" si="4"/>
        <v>9568012</v>
      </c>
      <c r="AA19" s="439">
        <f t="shared" si="9"/>
        <v>0</v>
      </c>
      <c r="AB19" s="439">
        <f t="shared" si="10"/>
        <v>0</v>
      </c>
    </row>
    <row r="20" spans="1:28" ht="18.75" customHeight="1" x14ac:dyDescent="0.25">
      <c r="A20" s="70"/>
      <c r="B20" s="83"/>
      <c r="C20" s="106"/>
      <c r="D20" s="106"/>
      <c r="E20" s="106"/>
      <c r="F20" s="427"/>
      <c r="G20" s="80"/>
      <c r="H20" s="93" t="s">
        <v>760</v>
      </c>
      <c r="I20" s="104">
        <f>8.5*8000*12*1.18*14%+I46*127%*20%*1.18*19.5%+14</f>
        <v>142999.55600000001</v>
      </c>
      <c r="J20" s="104">
        <v>286312</v>
      </c>
      <c r="K20" s="104">
        <v>286313</v>
      </c>
      <c r="L20" s="441">
        <f t="shared" ref="L20:L21" si="22">+K20/J20</f>
        <v>1.0000034926932857</v>
      </c>
      <c r="M20" s="70"/>
      <c r="N20" s="83"/>
      <c r="O20" s="382"/>
      <c r="P20" s="382"/>
      <c r="Q20" s="382"/>
      <c r="R20" s="444"/>
      <c r="S20" s="80"/>
      <c r="T20" s="93" t="s">
        <v>760</v>
      </c>
      <c r="U20" s="204">
        <f>12*8000*12*1.18*14%+U46*127%*20%*1.18*19.5%+2*8000*9*1.18*14%</f>
        <v>239230.72200000001</v>
      </c>
      <c r="V20" s="204">
        <v>553731</v>
      </c>
      <c r="W20" s="204">
        <v>553659</v>
      </c>
      <c r="X20" s="441">
        <f t="shared" ref="X20:X22" si="23">+W20/V20</f>
        <v>0.99986997296521241</v>
      </c>
      <c r="Y20" s="439">
        <f t="shared" si="4"/>
        <v>840043</v>
      </c>
      <c r="Z20" s="439">
        <f t="shared" si="4"/>
        <v>839972</v>
      </c>
      <c r="AA20" s="439">
        <f t="shared" si="9"/>
        <v>0</v>
      </c>
      <c r="AB20" s="439">
        <f t="shared" si="10"/>
        <v>0</v>
      </c>
    </row>
    <row r="21" spans="1:28" ht="18.75" customHeight="1" x14ac:dyDescent="0.25">
      <c r="A21" s="70"/>
      <c r="B21" s="83"/>
      <c r="C21" s="106"/>
      <c r="D21" s="106"/>
      <c r="E21" s="106"/>
      <c r="F21" s="427"/>
      <c r="G21" s="80"/>
      <c r="H21" s="93" t="s">
        <v>1157</v>
      </c>
      <c r="I21" s="104"/>
      <c r="J21" s="104">
        <v>274900</v>
      </c>
      <c r="K21" s="104">
        <v>274836</v>
      </c>
      <c r="L21" s="441">
        <f t="shared" si="22"/>
        <v>0.99976718806838849</v>
      </c>
      <c r="M21" s="70"/>
      <c r="N21" s="83"/>
      <c r="O21" s="382"/>
      <c r="P21" s="382"/>
      <c r="Q21" s="382"/>
      <c r="R21" s="444"/>
      <c r="S21" s="80"/>
      <c r="T21" s="93" t="s">
        <v>1157</v>
      </c>
      <c r="U21" s="204"/>
      <c r="V21" s="204">
        <v>7280</v>
      </c>
      <c r="W21" s="204">
        <v>7280</v>
      </c>
      <c r="X21" s="441">
        <f t="shared" si="23"/>
        <v>1</v>
      </c>
      <c r="Y21" s="439">
        <f t="shared" si="4"/>
        <v>282180</v>
      </c>
      <c r="Z21" s="439">
        <f t="shared" si="4"/>
        <v>282116</v>
      </c>
      <c r="AA21" s="439">
        <f t="shared" si="9"/>
        <v>0</v>
      </c>
      <c r="AB21" s="439">
        <f t="shared" si="10"/>
        <v>0</v>
      </c>
    </row>
    <row r="22" spans="1:28" ht="18.75" customHeight="1" x14ac:dyDescent="0.25">
      <c r="A22" s="70"/>
      <c r="B22" s="83"/>
      <c r="C22" s="106"/>
      <c r="D22" s="106"/>
      <c r="E22" s="106"/>
      <c r="F22" s="427"/>
      <c r="G22" s="80"/>
      <c r="H22" s="93" t="s">
        <v>687</v>
      </c>
      <c r="I22" s="104">
        <f>8.5*8000*12*1.18*15%+I46*127%*20%*1.18*15%-26</f>
        <v>150700.12</v>
      </c>
      <c r="J22" s="104">
        <v>262692</v>
      </c>
      <c r="K22" s="104">
        <v>262611</v>
      </c>
      <c r="L22" s="441">
        <f t="shared" ref="L22" si="24">+K22/J22</f>
        <v>0.99969165410442651</v>
      </c>
      <c r="M22" s="70"/>
      <c r="N22" s="83"/>
      <c r="O22" s="382"/>
      <c r="P22" s="382"/>
      <c r="Q22" s="382"/>
      <c r="R22" s="444"/>
      <c r="S22" s="80"/>
      <c r="T22" s="93" t="s">
        <v>687</v>
      </c>
      <c r="U22" s="204">
        <f>12*8000*12*1.18*15%+U46*127%*20%*1.18*15%+2*8000*9*1.18*15%</f>
        <v>248723.94</v>
      </c>
      <c r="V22" s="204">
        <v>493024</v>
      </c>
      <c r="W22" s="204">
        <v>492940</v>
      </c>
      <c r="X22" s="441">
        <f t="shared" si="23"/>
        <v>0.99982962289868238</v>
      </c>
      <c r="Y22" s="439">
        <f t="shared" si="4"/>
        <v>755716</v>
      </c>
      <c r="Z22" s="439">
        <f t="shared" si="4"/>
        <v>755551</v>
      </c>
      <c r="AA22" s="439">
        <f t="shared" si="9"/>
        <v>0</v>
      </c>
      <c r="AB22" s="439">
        <f t="shared" si="10"/>
        <v>0</v>
      </c>
    </row>
    <row r="23" spans="1:28" ht="20.25" customHeight="1" x14ac:dyDescent="0.25">
      <c r="A23" s="231" t="s">
        <v>45</v>
      </c>
      <c r="B23" s="232" t="s">
        <v>445</v>
      </c>
      <c r="C23" s="233">
        <f>0</f>
        <v>0</v>
      </c>
      <c r="D23" s="233">
        <f>0</f>
        <v>0</v>
      </c>
      <c r="E23" s="233">
        <f>0</f>
        <v>0</v>
      </c>
      <c r="F23" s="429">
        <f>0</f>
        <v>0</v>
      </c>
      <c r="G23" s="231" t="s">
        <v>56</v>
      </c>
      <c r="H23" s="227" t="s">
        <v>326</v>
      </c>
      <c r="I23" s="228">
        <f>I44+I47+I74+I77+I83</f>
        <v>60831400</v>
      </c>
      <c r="J23" s="228">
        <f t="shared" ref="J23:K23" si="25">J44+J47+J74+J77+J83</f>
        <v>63297400</v>
      </c>
      <c r="K23" s="228">
        <f t="shared" si="25"/>
        <v>58532677</v>
      </c>
      <c r="L23" s="415">
        <f>+K23/J23</f>
        <v>0.92472482282052659</v>
      </c>
      <c r="M23" s="231" t="s">
        <v>45</v>
      </c>
      <c r="N23" s="228" t="s">
        <v>445</v>
      </c>
      <c r="O23" s="381">
        <f>0</f>
        <v>0</v>
      </c>
      <c r="P23" s="381">
        <f>0</f>
        <v>0</v>
      </c>
      <c r="Q23" s="381">
        <f>0</f>
        <v>0</v>
      </c>
      <c r="R23" s="443">
        <f>0</f>
        <v>0</v>
      </c>
      <c r="S23" s="227" t="s">
        <v>56</v>
      </c>
      <c r="T23" s="228" t="s">
        <v>326</v>
      </c>
      <c r="U23" s="290">
        <f>U44+U47+U74+U77+U83</f>
        <v>32891950</v>
      </c>
      <c r="V23" s="290">
        <f t="shared" ref="V23:W23" si="26">V44+V47+V74+V77+V83</f>
        <v>30425950</v>
      </c>
      <c r="W23" s="290">
        <f t="shared" si="26"/>
        <v>26110200</v>
      </c>
      <c r="X23" s="452">
        <f>+W23/V23</f>
        <v>0.85815562044899174</v>
      </c>
      <c r="Y23" s="439">
        <f t="shared" si="4"/>
        <v>93723350</v>
      </c>
      <c r="Z23" s="439">
        <f t="shared" si="4"/>
        <v>84642877</v>
      </c>
      <c r="AA23" s="439">
        <f t="shared" si="9"/>
        <v>0</v>
      </c>
      <c r="AB23" s="439">
        <f t="shared" si="10"/>
        <v>0</v>
      </c>
    </row>
    <row r="24" spans="1:28" ht="20.25" customHeight="1" x14ac:dyDescent="0.25">
      <c r="A24" s="85"/>
      <c r="B24" s="87"/>
      <c r="C24" s="95"/>
      <c r="D24" s="95"/>
      <c r="E24" s="95"/>
      <c r="F24" s="416"/>
      <c r="G24" s="71"/>
      <c r="H24" s="71" t="s">
        <v>327</v>
      </c>
      <c r="I24" s="104">
        <f>SUM(I25:I27)</f>
        <v>16000</v>
      </c>
      <c r="J24" s="104">
        <f t="shared" ref="J24:K24" si="27">SUM(J25:J27)</f>
        <v>16000</v>
      </c>
      <c r="K24" s="104">
        <f t="shared" si="27"/>
        <v>5619</v>
      </c>
      <c r="L24" s="418">
        <f>SUM(L25:L27)</f>
        <v>0.9365</v>
      </c>
      <c r="M24" s="85"/>
      <c r="N24" s="87"/>
      <c r="O24" s="385"/>
      <c r="P24" s="385"/>
      <c r="Q24" s="385"/>
      <c r="R24" s="446"/>
      <c r="S24" s="71"/>
      <c r="T24" s="71" t="s">
        <v>327</v>
      </c>
      <c r="U24" s="204">
        <f>SUM(U25:U27)</f>
        <v>20000</v>
      </c>
      <c r="V24" s="204">
        <f t="shared" ref="V24:W24" si="28">SUM(V25:V27)</f>
        <v>20000</v>
      </c>
      <c r="W24" s="204">
        <f t="shared" si="28"/>
        <v>18812</v>
      </c>
      <c r="X24" s="441">
        <f>SUM(X25:X27)</f>
        <v>0.76822112809201193</v>
      </c>
      <c r="Y24" s="439">
        <f t="shared" si="4"/>
        <v>36000</v>
      </c>
      <c r="Z24" s="439">
        <f t="shared" si="4"/>
        <v>24431</v>
      </c>
      <c r="AA24" s="439">
        <f t="shared" si="9"/>
        <v>0</v>
      </c>
      <c r="AB24" s="439">
        <f t="shared" si="10"/>
        <v>0</v>
      </c>
    </row>
    <row r="25" spans="1:28" ht="20.25" customHeight="1" x14ac:dyDescent="0.25">
      <c r="A25" s="231" t="s">
        <v>56</v>
      </c>
      <c r="B25" s="232" t="s">
        <v>444</v>
      </c>
      <c r="C25" s="233">
        <f>+C27+C40+C43++C49</f>
        <v>65557400</v>
      </c>
      <c r="D25" s="233">
        <f t="shared" ref="D25" si="29">+D27+D40+D43++D49</f>
        <v>65557400</v>
      </c>
      <c r="E25" s="233">
        <f>+E27+E40+E43++E49+E53+E51+E33</f>
        <v>66361742</v>
      </c>
      <c r="F25" s="429">
        <f>+E25/D25</f>
        <v>1.012269278525384</v>
      </c>
      <c r="G25" s="71"/>
      <c r="H25" s="71" t="s">
        <v>328</v>
      </c>
      <c r="I25" s="104">
        <v>10000</v>
      </c>
      <c r="J25" s="104">
        <v>10000</v>
      </c>
      <c r="K25" s="104"/>
      <c r="L25" s="418"/>
      <c r="M25" s="231" t="s">
        <v>56</v>
      </c>
      <c r="N25" s="228" t="s">
        <v>444</v>
      </c>
      <c r="O25" s="381">
        <f>O26+O27+O33+O40+O43+O49+O50+O51+O52+O53</f>
        <v>0</v>
      </c>
      <c r="P25" s="381">
        <f t="shared" ref="P25:R25" si="30">P26+P27+P33+P40+P43+P49+P50+P51+P52+P53</f>
        <v>0</v>
      </c>
      <c r="Q25" s="381">
        <f t="shared" si="30"/>
        <v>0</v>
      </c>
      <c r="R25" s="443">
        <f t="shared" si="30"/>
        <v>0</v>
      </c>
      <c r="S25" s="71"/>
      <c r="T25" s="71" t="s">
        <v>328</v>
      </c>
      <c r="U25" s="204">
        <v>20000</v>
      </c>
      <c r="V25" s="204">
        <v>20000</v>
      </c>
      <c r="W25" s="204">
        <v>18812</v>
      </c>
      <c r="X25" s="441">
        <f>SUM(X26:X28)</f>
        <v>0.76822112809201193</v>
      </c>
      <c r="Y25" s="439">
        <f t="shared" si="4"/>
        <v>30000</v>
      </c>
      <c r="Z25" s="439">
        <f t="shared" si="4"/>
        <v>18812</v>
      </c>
      <c r="AA25" s="439">
        <f t="shared" si="9"/>
        <v>65557400</v>
      </c>
      <c r="AB25" s="439">
        <f t="shared" si="10"/>
        <v>66361742</v>
      </c>
    </row>
    <row r="26" spans="1:28" ht="20.25" customHeight="1" x14ac:dyDescent="0.25">
      <c r="A26" s="85"/>
      <c r="B26" s="88" t="s">
        <v>446</v>
      </c>
      <c r="C26" s="101"/>
      <c r="D26" s="101"/>
      <c r="E26" s="101"/>
      <c r="F26" s="422"/>
      <c r="G26" s="71"/>
      <c r="H26" s="71" t="s">
        <v>329</v>
      </c>
      <c r="I26" s="104">
        <v>6000</v>
      </c>
      <c r="J26" s="104">
        <v>6000</v>
      </c>
      <c r="K26" s="104">
        <v>5619</v>
      </c>
      <c r="L26" s="441">
        <f t="shared" ref="L26" si="31">+K26/J26</f>
        <v>0.9365</v>
      </c>
      <c r="M26" s="85"/>
      <c r="N26" s="88" t="s">
        <v>446</v>
      </c>
      <c r="O26" s="386"/>
      <c r="P26" s="386"/>
      <c r="Q26" s="386"/>
      <c r="R26" s="445"/>
      <c r="S26" s="71"/>
      <c r="T26" s="71" t="s">
        <v>329</v>
      </c>
      <c r="U26" s="204"/>
      <c r="V26" s="204"/>
      <c r="W26" s="204"/>
      <c r="X26" s="441"/>
      <c r="Y26" s="439">
        <f t="shared" si="4"/>
        <v>6000</v>
      </c>
      <c r="Z26" s="439">
        <f t="shared" si="4"/>
        <v>5619</v>
      </c>
      <c r="AA26" s="439">
        <f t="shared" si="9"/>
        <v>0</v>
      </c>
      <c r="AB26" s="439">
        <f t="shared" si="10"/>
        <v>0</v>
      </c>
    </row>
    <row r="27" spans="1:28" ht="20.25" customHeight="1" x14ac:dyDescent="0.25">
      <c r="A27" s="85"/>
      <c r="B27" s="88" t="s">
        <v>447</v>
      </c>
      <c r="C27" s="101">
        <f>SUM(C28:C32)</f>
        <v>50545000</v>
      </c>
      <c r="D27" s="101">
        <f t="shared" ref="D27" si="32">SUM(D28:D32)</f>
        <v>50545000</v>
      </c>
      <c r="E27" s="101">
        <f>SUM(E28:E32)</f>
        <v>50665610</v>
      </c>
      <c r="F27" s="422">
        <f>+E27/D27</f>
        <v>1.002386190523296</v>
      </c>
      <c r="G27" s="71"/>
      <c r="H27" s="71" t="s">
        <v>699</v>
      </c>
      <c r="I27" s="104"/>
      <c r="J27" s="104"/>
      <c r="K27" s="104"/>
      <c r="L27" s="418"/>
      <c r="M27" s="85"/>
      <c r="N27" s="88" t="s">
        <v>447</v>
      </c>
      <c r="O27" s="386">
        <f>SUM(O28:O32)</f>
        <v>0</v>
      </c>
      <c r="P27" s="386">
        <f t="shared" ref="P27:R27" si="33">SUM(P28:P32)</f>
        <v>0</v>
      </c>
      <c r="Q27" s="386">
        <f t="shared" si="33"/>
        <v>0</v>
      </c>
      <c r="R27" s="445">
        <f t="shared" si="33"/>
        <v>0</v>
      </c>
      <c r="S27" s="71"/>
      <c r="T27" s="71" t="s">
        <v>330</v>
      </c>
      <c r="U27" s="204"/>
      <c r="V27" s="204"/>
      <c r="W27" s="204"/>
      <c r="X27" s="441"/>
      <c r="Y27" s="439">
        <f t="shared" si="4"/>
        <v>0</v>
      </c>
      <c r="Z27" s="439">
        <f t="shared" si="4"/>
        <v>0</v>
      </c>
      <c r="AA27" s="439">
        <f t="shared" si="9"/>
        <v>50545000</v>
      </c>
      <c r="AB27" s="439">
        <f t="shared" si="10"/>
        <v>50665610</v>
      </c>
    </row>
    <row r="28" spans="1:28" ht="20.25" customHeight="1" x14ac:dyDescent="0.25">
      <c r="A28" s="85"/>
      <c r="B28" s="88" t="s">
        <v>466</v>
      </c>
      <c r="C28" s="101"/>
      <c r="D28" s="101"/>
      <c r="E28" s="101"/>
      <c r="F28" s="422"/>
      <c r="G28" s="71"/>
      <c r="H28" s="71" t="s">
        <v>337</v>
      </c>
      <c r="I28" s="104">
        <f>SUM(I29:I40)</f>
        <v>36280000</v>
      </c>
      <c r="J28" s="104">
        <f t="shared" ref="J28" si="34">SUM(J29:J40)</f>
        <v>36033000</v>
      </c>
      <c r="K28" s="104">
        <f>SUM(K29:K40)</f>
        <v>33633676</v>
      </c>
      <c r="L28" s="418">
        <f>+K28/J28</f>
        <v>0.93341314905780814</v>
      </c>
      <c r="M28" s="85"/>
      <c r="N28" s="88" t="s">
        <v>466</v>
      </c>
      <c r="O28" s="386">
        <v>0</v>
      </c>
      <c r="P28" s="386">
        <v>0</v>
      </c>
      <c r="Q28" s="386">
        <v>0</v>
      </c>
      <c r="R28" s="445">
        <v>0</v>
      </c>
      <c r="S28" s="71"/>
      <c r="T28" s="71" t="s">
        <v>337</v>
      </c>
      <c r="U28" s="204">
        <f>SUM(U29:U42)</f>
        <v>13894000</v>
      </c>
      <c r="V28" s="204">
        <f t="shared" ref="V28" si="35">SUM(V29:V42)</f>
        <v>12694000</v>
      </c>
      <c r="W28" s="204">
        <f>SUM(W29:W42)</f>
        <v>9751799</v>
      </c>
      <c r="X28" s="441">
        <f t="shared" ref="X28:X83" si="36">+W28/V28</f>
        <v>0.76822112809201193</v>
      </c>
      <c r="Y28" s="439">
        <f t="shared" si="4"/>
        <v>48727000</v>
      </c>
      <c r="Z28" s="439">
        <f t="shared" si="4"/>
        <v>43385475</v>
      </c>
      <c r="AA28" s="439">
        <f t="shared" si="9"/>
        <v>0</v>
      </c>
      <c r="AB28" s="439">
        <f t="shared" si="10"/>
        <v>0</v>
      </c>
    </row>
    <row r="29" spans="1:28" ht="20.25" customHeight="1" x14ac:dyDescent="0.25">
      <c r="A29" s="85"/>
      <c r="B29" s="21" t="s">
        <v>775</v>
      </c>
      <c r="C29" s="101">
        <f>2500000+350000</f>
        <v>2850000</v>
      </c>
      <c r="D29" s="101">
        <f t="shared" ref="D29" si="37">2500000+350000</f>
        <v>2850000</v>
      </c>
      <c r="E29" s="101">
        <v>2340121</v>
      </c>
      <c r="F29" s="422">
        <f t="shared" ref="F29:F49" si="38">+E29/D29</f>
        <v>0.82109508771929829</v>
      </c>
      <c r="G29" s="71"/>
      <c r="H29" s="71" t="s">
        <v>666</v>
      </c>
      <c r="I29" s="204">
        <v>33200000</v>
      </c>
      <c r="J29" s="204">
        <v>32953000</v>
      </c>
      <c r="K29" s="204">
        <v>31520658</v>
      </c>
      <c r="L29" s="418">
        <f t="shared" ref="L29:L83" si="39">+K29/J29</f>
        <v>0.95653379055017751</v>
      </c>
      <c r="M29" s="85"/>
      <c r="N29" s="88" t="s">
        <v>464</v>
      </c>
      <c r="O29" s="386"/>
      <c r="P29" s="386"/>
      <c r="Q29" s="386"/>
      <c r="R29" s="445"/>
      <c r="S29" s="71"/>
      <c r="T29" s="71" t="s">
        <v>331</v>
      </c>
      <c r="U29" s="204"/>
      <c r="V29" s="204"/>
      <c r="W29" s="204"/>
      <c r="X29" s="441"/>
      <c r="Y29" s="439">
        <f t="shared" si="4"/>
        <v>32953000</v>
      </c>
      <c r="Z29" s="439">
        <f t="shared" si="4"/>
        <v>31520658</v>
      </c>
      <c r="AA29" s="439">
        <f t="shared" si="9"/>
        <v>2850000</v>
      </c>
      <c r="AB29" s="439">
        <f t="shared" si="10"/>
        <v>2340121</v>
      </c>
    </row>
    <row r="30" spans="1:28" ht="20.25" customHeight="1" x14ac:dyDescent="0.25">
      <c r="A30" s="85"/>
      <c r="B30" s="88" t="s">
        <v>491</v>
      </c>
      <c r="C30" s="101">
        <v>2895000</v>
      </c>
      <c r="D30" s="101">
        <v>2895000</v>
      </c>
      <c r="E30" s="101">
        <f>5197+13436+709320+240365+1020523+1206564+164548</f>
        <v>3359953</v>
      </c>
      <c r="F30" s="422">
        <f t="shared" si="38"/>
        <v>1.1606055267702937</v>
      </c>
      <c r="G30" s="71"/>
      <c r="H30" s="71" t="s">
        <v>332</v>
      </c>
      <c r="I30" s="104">
        <v>100000</v>
      </c>
      <c r="J30" s="104">
        <v>100000</v>
      </c>
      <c r="K30" s="104">
        <v>88983</v>
      </c>
      <c r="L30" s="418">
        <f t="shared" si="39"/>
        <v>0.88983000000000001</v>
      </c>
      <c r="M30" s="85"/>
      <c r="N30" s="21" t="s">
        <v>465</v>
      </c>
      <c r="O30" s="386"/>
      <c r="P30" s="386"/>
      <c r="Q30" s="386"/>
      <c r="R30" s="445"/>
      <c r="S30" s="71"/>
      <c r="T30" s="71" t="s">
        <v>332</v>
      </c>
      <c r="U30" s="204">
        <v>50000</v>
      </c>
      <c r="V30" s="204">
        <v>50000</v>
      </c>
      <c r="W30" s="204">
        <f>2913+23640</f>
        <v>26553</v>
      </c>
      <c r="X30" s="441">
        <f t="shared" si="36"/>
        <v>0.53105999999999998</v>
      </c>
      <c r="Y30" s="439">
        <f t="shared" si="4"/>
        <v>150000</v>
      </c>
      <c r="Z30" s="439">
        <f t="shared" si="4"/>
        <v>115536</v>
      </c>
      <c r="AA30" s="439">
        <f t="shared" si="9"/>
        <v>2895000</v>
      </c>
      <c r="AB30" s="439">
        <f t="shared" si="10"/>
        <v>3359953</v>
      </c>
    </row>
    <row r="31" spans="1:28" ht="20.25" customHeight="1" x14ac:dyDescent="0.25">
      <c r="A31" s="85"/>
      <c r="B31" s="88" t="s">
        <v>776</v>
      </c>
      <c r="C31" s="101">
        <v>41200000</v>
      </c>
      <c r="D31" s="101">
        <v>41200000</v>
      </c>
      <c r="E31" s="101">
        <f>13455889+745683+3757904+20074770+3443521+39210</f>
        <v>41516977</v>
      </c>
      <c r="F31" s="422">
        <f t="shared" si="38"/>
        <v>1.0076936165048545</v>
      </c>
      <c r="G31" s="71"/>
      <c r="H31" s="71" t="s">
        <v>333</v>
      </c>
      <c r="I31" s="104">
        <v>50000</v>
      </c>
      <c r="J31" s="104">
        <v>50000</v>
      </c>
      <c r="K31" s="104"/>
      <c r="L31" s="418">
        <f t="shared" si="39"/>
        <v>0</v>
      </c>
      <c r="M31" s="85"/>
      <c r="N31" s="88" t="s">
        <v>491</v>
      </c>
      <c r="O31" s="386"/>
      <c r="P31" s="386"/>
      <c r="Q31" s="386"/>
      <c r="R31" s="445"/>
      <c r="S31" s="71"/>
      <c r="T31" s="71" t="s">
        <v>333</v>
      </c>
      <c r="U31" s="204">
        <v>30000</v>
      </c>
      <c r="V31" s="204">
        <v>30000</v>
      </c>
      <c r="W31" s="204"/>
      <c r="X31" s="441">
        <f t="shared" si="36"/>
        <v>0</v>
      </c>
      <c r="Y31" s="439">
        <f t="shared" si="4"/>
        <v>80000</v>
      </c>
      <c r="Z31" s="439">
        <f t="shared" si="4"/>
        <v>0</v>
      </c>
      <c r="AA31" s="439">
        <f t="shared" si="9"/>
        <v>41200000</v>
      </c>
      <c r="AB31" s="439">
        <f t="shared" si="10"/>
        <v>41516977</v>
      </c>
    </row>
    <row r="32" spans="1:28" ht="20.25" customHeight="1" x14ac:dyDescent="0.25">
      <c r="A32" s="85"/>
      <c r="B32" s="88" t="s">
        <v>695</v>
      </c>
      <c r="C32" s="101">
        <v>3600000</v>
      </c>
      <c r="D32" s="101">
        <v>3600000</v>
      </c>
      <c r="E32" s="101">
        <f>263266+3185293</f>
        <v>3448559</v>
      </c>
      <c r="F32" s="422">
        <f t="shared" si="38"/>
        <v>0.95793305555555552</v>
      </c>
      <c r="G32" s="71"/>
      <c r="H32" s="71" t="s">
        <v>334</v>
      </c>
      <c r="I32" s="104"/>
      <c r="J32" s="104"/>
      <c r="K32" s="104"/>
      <c r="L32" s="418"/>
      <c r="M32" s="85"/>
      <c r="N32" s="88" t="s">
        <v>492</v>
      </c>
      <c r="O32" s="386"/>
      <c r="P32" s="386"/>
      <c r="Q32" s="386"/>
      <c r="R32" s="445"/>
      <c r="S32" s="71"/>
      <c r="T32" s="71" t="s">
        <v>790</v>
      </c>
      <c r="U32" s="204">
        <f>5*200000+100000+500000</f>
        <v>1600000</v>
      </c>
      <c r="V32" s="204">
        <f t="shared" ref="V32" si="40">5*200000+100000+500000</f>
        <v>1600000</v>
      </c>
      <c r="W32" s="204">
        <v>596673</v>
      </c>
      <c r="X32" s="441">
        <f t="shared" si="36"/>
        <v>0.37292062500000001</v>
      </c>
      <c r="Y32" s="439">
        <f t="shared" si="4"/>
        <v>1600000</v>
      </c>
      <c r="Z32" s="439">
        <f t="shared" si="4"/>
        <v>596673</v>
      </c>
      <c r="AA32" s="439">
        <f t="shared" si="9"/>
        <v>3600000</v>
      </c>
      <c r="AB32" s="439">
        <f t="shared" si="10"/>
        <v>3448559</v>
      </c>
    </row>
    <row r="33" spans="1:28" ht="20.25" customHeight="1" x14ac:dyDescent="0.25">
      <c r="A33" s="85"/>
      <c r="B33" s="88" t="s">
        <v>448</v>
      </c>
      <c r="C33" s="101"/>
      <c r="D33" s="101"/>
      <c r="E33" s="101">
        <v>269160</v>
      </c>
      <c r="F33" s="422"/>
      <c r="G33" s="71"/>
      <c r="H33" s="71" t="s">
        <v>335</v>
      </c>
      <c r="I33" s="104">
        <f>+(4*4000+3*4000+7000+3*4000)*8+350000</f>
        <v>726000</v>
      </c>
      <c r="J33" s="104">
        <f t="shared" ref="J33" si="41">+(4*4000+3*4000+7000+3*4000)*8+350000</f>
        <v>726000</v>
      </c>
      <c r="K33" s="104">
        <v>340945</v>
      </c>
      <c r="L33" s="418">
        <f t="shared" si="39"/>
        <v>0.46962121212121211</v>
      </c>
      <c r="M33" s="85"/>
      <c r="N33" s="88" t="s">
        <v>448</v>
      </c>
      <c r="O33" s="386"/>
      <c r="P33" s="386"/>
      <c r="Q33" s="386"/>
      <c r="R33" s="445"/>
      <c r="S33" s="71"/>
      <c r="T33" s="71" t="s">
        <v>335</v>
      </c>
      <c r="U33" s="204">
        <f>56000*13</f>
        <v>728000</v>
      </c>
      <c r="V33" s="204">
        <f t="shared" ref="V33" si="42">56000*13</f>
        <v>728000</v>
      </c>
      <c r="W33" s="204">
        <v>332183</v>
      </c>
      <c r="X33" s="441">
        <f t="shared" si="36"/>
        <v>0.45629532967032965</v>
      </c>
      <c r="Y33" s="439">
        <f t="shared" si="4"/>
        <v>1454000</v>
      </c>
      <c r="Z33" s="439">
        <f t="shared" si="4"/>
        <v>673128</v>
      </c>
      <c r="AA33" s="439">
        <f t="shared" si="9"/>
        <v>0</v>
      </c>
      <c r="AB33" s="439">
        <f t="shared" si="10"/>
        <v>269160</v>
      </c>
    </row>
    <row r="34" spans="1:28" ht="20.25" customHeight="1" x14ac:dyDescent="0.25">
      <c r="A34" s="85"/>
      <c r="B34" s="88" t="s">
        <v>449</v>
      </c>
      <c r="C34" s="101"/>
      <c r="D34" s="101"/>
      <c r="E34" s="101"/>
      <c r="F34" s="422"/>
      <c r="G34" s="71"/>
      <c r="H34" s="240" t="s">
        <v>609</v>
      </c>
      <c r="I34" s="104">
        <v>100000</v>
      </c>
      <c r="J34" s="104">
        <v>100000</v>
      </c>
      <c r="K34" s="104"/>
      <c r="L34" s="418">
        <f t="shared" si="39"/>
        <v>0</v>
      </c>
      <c r="M34" s="85"/>
      <c r="N34" s="88"/>
      <c r="O34" s="386"/>
      <c r="P34" s="386"/>
      <c r="Q34" s="386"/>
      <c r="R34" s="445"/>
      <c r="S34" s="71"/>
      <c r="T34" s="240" t="s">
        <v>609</v>
      </c>
      <c r="U34" s="104"/>
      <c r="V34" s="104"/>
      <c r="W34" s="104"/>
      <c r="X34" s="441"/>
      <c r="Y34" s="439">
        <f t="shared" ref="Y34:Y65" si="43">+J34+V34</f>
        <v>100000</v>
      </c>
      <c r="Z34" s="439">
        <f t="shared" ref="Z34:Z65" si="44">+K34+W34</f>
        <v>0</v>
      </c>
      <c r="AA34" s="439">
        <f t="shared" si="9"/>
        <v>0</v>
      </c>
      <c r="AB34" s="439">
        <f t="shared" si="10"/>
        <v>0</v>
      </c>
    </row>
    <row r="35" spans="1:28" ht="20.25" customHeight="1" x14ac:dyDescent="0.25">
      <c r="A35" s="85"/>
      <c r="B35" s="88"/>
      <c r="C35" s="101"/>
      <c r="D35" s="101"/>
      <c r="E35" s="101"/>
      <c r="F35" s="422"/>
      <c r="G35" s="71"/>
      <c r="H35" s="240" t="s">
        <v>667</v>
      </c>
      <c r="I35" s="204">
        <v>900000</v>
      </c>
      <c r="J35" s="204">
        <v>900000</v>
      </c>
      <c r="K35" s="204">
        <v>701253</v>
      </c>
      <c r="L35" s="418">
        <f t="shared" si="39"/>
        <v>0.77917000000000003</v>
      </c>
      <c r="M35" s="85"/>
      <c r="N35" s="88"/>
      <c r="O35" s="386"/>
      <c r="P35" s="386"/>
      <c r="Q35" s="386"/>
      <c r="R35" s="445"/>
      <c r="S35" s="71"/>
      <c r="T35" s="240" t="s">
        <v>671</v>
      </c>
      <c r="U35" s="204">
        <f>2550000+150000</f>
        <v>2700000</v>
      </c>
      <c r="V35" s="204">
        <v>2000000</v>
      </c>
      <c r="W35" s="204">
        <f>37113+12409+471818+9434+9010+61056+99016</f>
        <v>699856</v>
      </c>
      <c r="X35" s="441">
        <f t="shared" si="36"/>
        <v>0.34992800000000002</v>
      </c>
      <c r="Y35" s="439">
        <f t="shared" si="43"/>
        <v>2900000</v>
      </c>
      <c r="Z35" s="439">
        <f t="shared" si="44"/>
        <v>1401109</v>
      </c>
      <c r="AA35" s="439">
        <f t="shared" si="9"/>
        <v>0</v>
      </c>
      <c r="AB35" s="439">
        <f t="shared" si="10"/>
        <v>0</v>
      </c>
    </row>
    <row r="36" spans="1:28" ht="20.25" customHeight="1" x14ac:dyDescent="0.25">
      <c r="A36" s="85"/>
      <c r="B36" s="88"/>
      <c r="C36" s="101"/>
      <c r="D36" s="101"/>
      <c r="E36" s="101"/>
      <c r="F36" s="422"/>
      <c r="G36" s="71"/>
      <c r="H36" s="240" t="s">
        <v>700</v>
      </c>
      <c r="I36" s="204">
        <v>350000</v>
      </c>
      <c r="J36" s="204">
        <v>350000</v>
      </c>
      <c r="K36" s="204">
        <v>464682</v>
      </c>
      <c r="L36" s="418">
        <f t="shared" si="39"/>
        <v>1.327662857142857</v>
      </c>
      <c r="M36" s="85"/>
      <c r="N36" s="88"/>
      <c r="O36" s="386"/>
      <c r="P36" s="386"/>
      <c r="Q36" s="386"/>
      <c r="R36" s="445"/>
      <c r="S36" s="71"/>
      <c r="T36" s="240" t="s">
        <v>672</v>
      </c>
      <c r="U36" s="204">
        <v>600000</v>
      </c>
      <c r="V36" s="204">
        <v>600000</v>
      </c>
      <c r="W36" s="204">
        <f>597283+2756</f>
        <v>600039</v>
      </c>
      <c r="X36" s="441">
        <f t="shared" si="36"/>
        <v>1.000065</v>
      </c>
      <c r="Y36" s="439">
        <f t="shared" si="43"/>
        <v>950000</v>
      </c>
      <c r="Z36" s="439">
        <f t="shared" si="44"/>
        <v>1064721</v>
      </c>
      <c r="AA36" s="439">
        <f t="shared" si="9"/>
        <v>0</v>
      </c>
      <c r="AB36" s="439">
        <f t="shared" si="10"/>
        <v>0</v>
      </c>
    </row>
    <row r="37" spans="1:28" ht="20.25" customHeight="1" x14ac:dyDescent="0.25">
      <c r="A37" s="85"/>
      <c r="B37" s="88"/>
      <c r="C37" s="101"/>
      <c r="D37" s="101"/>
      <c r="E37" s="101"/>
      <c r="F37" s="422"/>
      <c r="G37" s="71"/>
      <c r="H37" s="240" t="s">
        <v>701</v>
      </c>
      <c r="I37" s="204">
        <f>309000+345000</f>
        <v>654000</v>
      </c>
      <c r="J37" s="204">
        <f t="shared" ref="J37" si="45">309000+345000</f>
        <v>654000</v>
      </c>
      <c r="K37" s="204">
        <v>301487</v>
      </c>
      <c r="L37" s="418">
        <f t="shared" si="39"/>
        <v>0.46098929663608562</v>
      </c>
      <c r="M37" s="85"/>
      <c r="N37" s="88"/>
      <c r="O37" s="386"/>
      <c r="P37" s="386"/>
      <c r="Q37" s="386"/>
      <c r="R37" s="445"/>
      <c r="S37" s="71"/>
      <c r="T37" s="240" t="s">
        <v>791</v>
      </c>
      <c r="U37" s="204">
        <v>1100000</v>
      </c>
      <c r="V37" s="204">
        <v>600000</v>
      </c>
      <c r="W37" s="204">
        <v>308400</v>
      </c>
      <c r="X37" s="441">
        <f t="shared" si="36"/>
        <v>0.51400000000000001</v>
      </c>
      <c r="Y37" s="439">
        <f t="shared" si="43"/>
        <v>1254000</v>
      </c>
      <c r="Z37" s="439">
        <f t="shared" si="44"/>
        <v>609887</v>
      </c>
      <c r="AA37" s="439">
        <f t="shared" si="9"/>
        <v>0</v>
      </c>
      <c r="AB37" s="439">
        <f t="shared" si="10"/>
        <v>0</v>
      </c>
    </row>
    <row r="38" spans="1:28" ht="33" customHeight="1" x14ac:dyDescent="0.25">
      <c r="A38" s="85"/>
      <c r="B38" s="88"/>
      <c r="C38" s="101"/>
      <c r="D38" s="101"/>
      <c r="E38" s="101"/>
      <c r="F38" s="422"/>
      <c r="G38" s="71"/>
      <c r="H38" s="240" t="s">
        <v>778</v>
      </c>
      <c r="I38" s="104">
        <v>100000</v>
      </c>
      <c r="J38" s="104">
        <v>100000</v>
      </c>
      <c r="K38" s="104"/>
      <c r="L38" s="418">
        <f t="shared" si="39"/>
        <v>0</v>
      </c>
      <c r="M38" s="85"/>
      <c r="N38" s="88"/>
      <c r="O38" s="386"/>
      <c r="P38" s="386"/>
      <c r="Q38" s="386"/>
      <c r="R38" s="445"/>
      <c r="S38" s="71"/>
      <c r="T38" s="312" t="s">
        <v>792</v>
      </c>
      <c r="U38" s="104">
        <f>3500000+396000+325000+250000+170000</f>
        <v>4641000</v>
      </c>
      <c r="V38" s="104">
        <f t="shared" ref="V38" si="46">3500000+396000+325000+250000+170000</f>
        <v>4641000</v>
      </c>
      <c r="W38" s="104">
        <v>6193461</v>
      </c>
      <c r="X38" s="441">
        <f t="shared" si="36"/>
        <v>1.3345100193923722</v>
      </c>
      <c r="Y38" s="439">
        <f t="shared" si="43"/>
        <v>4741000</v>
      </c>
      <c r="Z38" s="439">
        <f t="shared" si="44"/>
        <v>6193461</v>
      </c>
      <c r="AA38" s="439">
        <f t="shared" si="9"/>
        <v>0</v>
      </c>
      <c r="AB38" s="439">
        <f t="shared" si="10"/>
        <v>0</v>
      </c>
    </row>
    <row r="39" spans="1:28" ht="20.25" customHeight="1" x14ac:dyDescent="0.25">
      <c r="A39" s="85"/>
      <c r="B39" s="88"/>
      <c r="C39" s="101"/>
      <c r="D39" s="101"/>
      <c r="E39" s="101"/>
      <c r="F39" s="422"/>
      <c r="G39" s="71"/>
      <c r="H39" s="240" t="s">
        <v>779</v>
      </c>
      <c r="I39" s="204">
        <v>100000</v>
      </c>
      <c r="J39" s="204">
        <v>100000</v>
      </c>
      <c r="K39" s="204"/>
      <c r="L39" s="418">
        <f t="shared" si="39"/>
        <v>0</v>
      </c>
      <c r="M39" s="85"/>
      <c r="N39" s="88"/>
      <c r="O39" s="386"/>
      <c r="P39" s="386"/>
      <c r="Q39" s="386"/>
      <c r="R39" s="445"/>
      <c r="S39" s="71"/>
      <c r="T39" s="240" t="s">
        <v>793</v>
      </c>
      <c r="U39" s="104">
        <f>390000+55000+1500000</f>
        <v>1945000</v>
      </c>
      <c r="V39" s="104">
        <f t="shared" ref="V39" si="47">390000+55000+1500000</f>
        <v>1945000</v>
      </c>
      <c r="W39" s="104">
        <v>569698</v>
      </c>
      <c r="X39" s="441">
        <f t="shared" si="36"/>
        <v>0.29290385604113112</v>
      </c>
      <c r="Y39" s="439">
        <f t="shared" si="43"/>
        <v>2045000</v>
      </c>
      <c r="Z39" s="439">
        <f t="shared" si="44"/>
        <v>569698</v>
      </c>
      <c r="AA39" s="439">
        <f t="shared" si="9"/>
        <v>0</v>
      </c>
      <c r="AB39" s="439">
        <f t="shared" si="10"/>
        <v>0</v>
      </c>
    </row>
    <row r="40" spans="1:28" ht="20.25" customHeight="1" x14ac:dyDescent="0.25">
      <c r="A40" s="85"/>
      <c r="C40" s="101"/>
      <c r="D40" s="101"/>
      <c r="E40" s="101"/>
      <c r="F40" s="422"/>
      <c r="G40" s="71"/>
      <c r="H40" s="71" t="s">
        <v>1738</v>
      </c>
      <c r="I40" s="104"/>
      <c r="J40" s="104"/>
      <c r="K40" s="104">
        <v>215668</v>
      </c>
      <c r="L40" s="418"/>
      <c r="M40" s="85"/>
      <c r="N40" s="88" t="s">
        <v>449</v>
      </c>
      <c r="O40" s="386"/>
      <c r="P40" s="386"/>
      <c r="Q40" s="386"/>
      <c r="R40" s="445"/>
      <c r="S40" s="71"/>
      <c r="T40" s="240" t="s">
        <v>1739</v>
      </c>
      <c r="U40" s="104">
        <v>150000</v>
      </c>
      <c r="V40" s="104">
        <v>150000</v>
      </c>
      <c r="W40" s="104">
        <v>193827</v>
      </c>
      <c r="X40" s="441">
        <f t="shared" si="36"/>
        <v>1.2921800000000001</v>
      </c>
      <c r="Y40" s="439">
        <f t="shared" si="43"/>
        <v>150000</v>
      </c>
      <c r="Z40" s="439">
        <f t="shared" si="44"/>
        <v>409495</v>
      </c>
      <c r="AA40" s="439">
        <f t="shared" si="9"/>
        <v>0</v>
      </c>
      <c r="AB40" s="439">
        <f t="shared" si="10"/>
        <v>0</v>
      </c>
    </row>
    <row r="41" spans="1:28" ht="20.25" customHeight="1" x14ac:dyDescent="0.25">
      <c r="A41" s="85"/>
      <c r="B41" s="88"/>
      <c r="C41" s="101"/>
      <c r="D41" s="101"/>
      <c r="E41" s="101"/>
      <c r="F41" s="422"/>
      <c r="G41" s="71"/>
      <c r="H41" s="71"/>
      <c r="I41" s="104"/>
      <c r="J41" s="104"/>
      <c r="K41" s="104"/>
      <c r="L41" s="418"/>
      <c r="M41" s="85"/>
      <c r="N41" s="88"/>
      <c r="O41" s="386"/>
      <c r="P41" s="386"/>
      <c r="Q41" s="386"/>
      <c r="R41" s="445"/>
      <c r="S41" s="71"/>
      <c r="T41" s="240" t="s">
        <v>794</v>
      </c>
      <c r="U41" s="104">
        <v>150000</v>
      </c>
      <c r="V41" s="104">
        <v>150000</v>
      </c>
      <c r="W41" s="104">
        <v>231109</v>
      </c>
      <c r="X41" s="441">
        <f t="shared" si="36"/>
        <v>1.5407266666666666</v>
      </c>
      <c r="Y41" s="439">
        <f t="shared" si="43"/>
        <v>150000</v>
      </c>
      <c r="Z41" s="439">
        <f t="shared" si="44"/>
        <v>231109</v>
      </c>
      <c r="AA41" s="439">
        <f t="shared" si="9"/>
        <v>0</v>
      </c>
      <c r="AB41" s="439">
        <f t="shared" si="10"/>
        <v>0</v>
      </c>
    </row>
    <row r="42" spans="1:28" ht="20.25" customHeight="1" x14ac:dyDescent="0.25">
      <c r="A42" s="85"/>
      <c r="B42" s="88"/>
      <c r="C42" s="101"/>
      <c r="D42" s="101"/>
      <c r="E42" s="101"/>
      <c r="F42" s="422"/>
      <c r="G42" s="71"/>
      <c r="H42" s="71"/>
      <c r="I42" s="104"/>
      <c r="J42" s="104"/>
      <c r="K42" s="104"/>
      <c r="L42" s="418"/>
      <c r="M42" s="85"/>
      <c r="N42" s="88"/>
      <c r="O42" s="386"/>
      <c r="P42" s="386"/>
      <c r="Q42" s="386"/>
      <c r="R42" s="445"/>
      <c r="S42" s="71"/>
      <c r="T42" s="240" t="s">
        <v>795</v>
      </c>
      <c r="U42" s="104">
        <v>200000</v>
      </c>
      <c r="V42" s="104">
        <v>200000</v>
      </c>
      <c r="W42" s="104"/>
      <c r="X42" s="441">
        <f t="shared" si="36"/>
        <v>0</v>
      </c>
      <c r="Y42" s="439">
        <f t="shared" si="43"/>
        <v>200000</v>
      </c>
      <c r="Z42" s="439">
        <f t="shared" si="44"/>
        <v>0</v>
      </c>
      <c r="AA42" s="439">
        <f t="shared" si="9"/>
        <v>0</v>
      </c>
      <c r="AB42" s="439">
        <f t="shared" si="10"/>
        <v>0</v>
      </c>
    </row>
    <row r="43" spans="1:28" ht="20.25" customHeight="1" x14ac:dyDescent="0.25">
      <c r="A43" s="85"/>
      <c r="B43" s="88" t="s">
        <v>450</v>
      </c>
      <c r="C43" s="101">
        <f>SUM(C44:C48)</f>
        <v>1075000</v>
      </c>
      <c r="D43" s="101">
        <f t="shared" ref="D43:E43" si="48">SUM(D44:D48)</f>
        <v>1075000</v>
      </c>
      <c r="E43" s="101">
        <f t="shared" si="48"/>
        <v>1164901</v>
      </c>
      <c r="F43" s="422">
        <f t="shared" si="38"/>
        <v>1.0836288372093024</v>
      </c>
      <c r="G43" s="71"/>
      <c r="H43" s="71" t="s">
        <v>338</v>
      </c>
      <c r="I43" s="104"/>
      <c r="J43" s="104"/>
      <c r="K43" s="104"/>
      <c r="L43" s="418"/>
      <c r="M43" s="85"/>
      <c r="N43" s="88" t="s">
        <v>450</v>
      </c>
      <c r="O43" s="386">
        <f>SUM(O44:O48)</f>
        <v>0</v>
      </c>
      <c r="P43" s="386">
        <f t="shared" ref="P43:R43" si="49">SUM(P44:P48)</f>
        <v>0</v>
      </c>
      <c r="Q43" s="386">
        <f t="shared" si="49"/>
        <v>0</v>
      </c>
      <c r="R43" s="445">
        <f t="shared" si="49"/>
        <v>0</v>
      </c>
      <c r="S43" s="71"/>
      <c r="T43" s="71" t="s">
        <v>338</v>
      </c>
      <c r="U43" s="204"/>
      <c r="V43" s="204"/>
      <c r="W43" s="204"/>
      <c r="X43" s="441"/>
      <c r="Y43" s="439">
        <f t="shared" si="43"/>
        <v>0</v>
      </c>
      <c r="Z43" s="439">
        <f t="shared" si="44"/>
        <v>0</v>
      </c>
      <c r="AA43" s="439">
        <f t="shared" si="9"/>
        <v>1075000</v>
      </c>
      <c r="AB43" s="439">
        <f t="shared" si="10"/>
        <v>1164901</v>
      </c>
    </row>
    <row r="44" spans="1:28" ht="20.25" customHeight="1" x14ac:dyDescent="0.25">
      <c r="A44" s="85"/>
      <c r="B44" s="21" t="s">
        <v>696</v>
      </c>
      <c r="C44" s="101">
        <v>1075000</v>
      </c>
      <c r="D44" s="101">
        <v>1075000</v>
      </c>
      <c r="E44" s="101">
        <v>1164901</v>
      </c>
      <c r="F44" s="422">
        <f t="shared" si="38"/>
        <v>1.0836288372093024</v>
      </c>
      <c r="G44" s="71"/>
      <c r="H44" s="72" t="s">
        <v>339</v>
      </c>
      <c r="I44" s="104">
        <f>I24+I28+I43</f>
        <v>36296000</v>
      </c>
      <c r="J44" s="104">
        <f t="shared" ref="J44:K44" si="50">J24+J28+J43</f>
        <v>36049000</v>
      </c>
      <c r="K44" s="104">
        <f t="shared" si="50"/>
        <v>33639295</v>
      </c>
      <c r="L44" s="418">
        <f t="shared" si="39"/>
        <v>0.93315473383450309</v>
      </c>
      <c r="M44" s="85"/>
      <c r="N44" s="21" t="s">
        <v>494</v>
      </c>
      <c r="O44" s="386"/>
      <c r="P44" s="386"/>
      <c r="Q44" s="386"/>
      <c r="R44" s="445"/>
      <c r="S44" s="71"/>
      <c r="T44" s="72" t="s">
        <v>339</v>
      </c>
      <c r="U44" s="204">
        <f>U24+U28+U43</f>
        <v>13914000</v>
      </c>
      <c r="V44" s="204">
        <f t="shared" ref="V44:W44" si="51">V24+V28+V43</f>
        <v>12714000</v>
      </c>
      <c r="W44" s="204">
        <f t="shared" si="51"/>
        <v>9770611</v>
      </c>
      <c r="X44" s="441">
        <f t="shared" si="36"/>
        <v>0.76849229196161717</v>
      </c>
      <c r="Y44" s="439">
        <f t="shared" si="43"/>
        <v>48763000</v>
      </c>
      <c r="Z44" s="439">
        <f t="shared" si="44"/>
        <v>43409906</v>
      </c>
      <c r="AA44" s="439">
        <f t="shared" si="9"/>
        <v>1075000</v>
      </c>
      <c r="AB44" s="439">
        <f t="shared" si="10"/>
        <v>1164901</v>
      </c>
    </row>
    <row r="45" spans="1:28" ht="20.25" customHeight="1" x14ac:dyDescent="0.25">
      <c r="A45" s="85"/>
      <c r="B45" s="87" t="s">
        <v>495</v>
      </c>
      <c r="C45" s="114">
        <v>0</v>
      </c>
      <c r="D45" s="114">
        <v>0</v>
      </c>
      <c r="E45" s="114">
        <v>0</v>
      </c>
      <c r="F45" s="422"/>
      <c r="G45" s="71"/>
      <c r="H45" s="71" t="s">
        <v>626</v>
      </c>
      <c r="I45" s="104">
        <f>36000+12*5000+40000</f>
        <v>136000</v>
      </c>
      <c r="J45" s="104">
        <f t="shared" ref="J45" si="52">36000+12*5000+40000</f>
        <v>136000</v>
      </c>
      <c r="K45" s="104">
        <v>114400</v>
      </c>
      <c r="L45" s="418">
        <f t="shared" si="39"/>
        <v>0.8411764705882353</v>
      </c>
      <c r="M45" s="85"/>
      <c r="N45" s="87" t="s">
        <v>495</v>
      </c>
      <c r="O45" s="387"/>
      <c r="P45" s="387"/>
      <c r="Q45" s="387"/>
      <c r="R45" s="447"/>
      <c r="S45" s="71"/>
      <c r="T45" s="71" t="s">
        <v>341</v>
      </c>
      <c r="U45" s="204"/>
      <c r="V45" s="204"/>
      <c r="W45" s="204"/>
      <c r="X45" s="441"/>
      <c r="Y45" s="439">
        <f t="shared" si="43"/>
        <v>136000</v>
      </c>
      <c r="Z45" s="439">
        <f t="shared" si="44"/>
        <v>114400</v>
      </c>
      <c r="AA45" s="439">
        <f t="shared" si="9"/>
        <v>0</v>
      </c>
      <c r="AB45" s="439">
        <f t="shared" si="10"/>
        <v>0</v>
      </c>
    </row>
    <row r="46" spans="1:28" ht="20.25" customHeight="1" x14ac:dyDescent="0.25">
      <c r="A46" s="85"/>
      <c r="B46" s="87" t="s">
        <v>493</v>
      </c>
      <c r="C46" s="101"/>
      <c r="D46" s="101"/>
      <c r="E46" s="101"/>
      <c r="F46" s="422"/>
      <c r="G46" s="71"/>
      <c r="H46" s="71" t="s">
        <v>342</v>
      </c>
      <c r="I46" s="104">
        <v>140000</v>
      </c>
      <c r="J46" s="104">
        <v>140000</v>
      </c>
      <c r="K46" s="104">
        <v>80074</v>
      </c>
      <c r="L46" s="418">
        <f t="shared" si="39"/>
        <v>0.57195714285714283</v>
      </c>
      <c r="M46" s="85"/>
      <c r="N46" s="87" t="s">
        <v>493</v>
      </c>
      <c r="O46" s="386"/>
      <c r="P46" s="386"/>
      <c r="Q46" s="386"/>
      <c r="R46" s="445"/>
      <c r="S46" s="71"/>
      <c r="T46" s="71" t="s">
        <v>489</v>
      </c>
      <c r="U46" s="204">
        <v>430000</v>
      </c>
      <c r="V46" s="204">
        <v>430000</v>
      </c>
      <c r="W46" s="204">
        <v>352306</v>
      </c>
      <c r="X46" s="441">
        <f t="shared" si="36"/>
        <v>0.81931627906976745</v>
      </c>
      <c r="Y46" s="439">
        <f t="shared" si="43"/>
        <v>570000</v>
      </c>
      <c r="Z46" s="439">
        <f t="shared" si="44"/>
        <v>432380</v>
      </c>
      <c r="AA46" s="439">
        <f t="shared" si="9"/>
        <v>0</v>
      </c>
      <c r="AB46" s="439">
        <f t="shared" si="10"/>
        <v>0</v>
      </c>
    </row>
    <row r="47" spans="1:28" ht="20.25" customHeight="1" x14ac:dyDescent="0.25">
      <c r="A47" s="85"/>
      <c r="B47" s="87" t="s">
        <v>451</v>
      </c>
      <c r="C47" s="101"/>
      <c r="D47" s="101"/>
      <c r="E47" s="101"/>
      <c r="F47" s="422"/>
      <c r="G47" s="71"/>
      <c r="H47" s="72" t="s">
        <v>340</v>
      </c>
      <c r="I47" s="104">
        <f>I45+I46</f>
        <v>276000</v>
      </c>
      <c r="J47" s="104">
        <f t="shared" ref="J47:K47" si="53">J45+J46</f>
        <v>276000</v>
      </c>
      <c r="K47" s="104">
        <f t="shared" si="53"/>
        <v>194474</v>
      </c>
      <c r="L47" s="418">
        <f t="shared" si="39"/>
        <v>0.70461594202898548</v>
      </c>
      <c r="M47" s="85"/>
      <c r="N47" s="87" t="s">
        <v>451</v>
      </c>
      <c r="O47" s="386"/>
      <c r="P47" s="386"/>
      <c r="Q47" s="386"/>
      <c r="R47" s="445"/>
      <c r="S47" s="71"/>
      <c r="T47" s="72" t="s">
        <v>340</v>
      </c>
      <c r="U47" s="204">
        <f>SUM(U45:U46)</f>
        <v>430000</v>
      </c>
      <c r="V47" s="204">
        <f t="shared" ref="V47:W47" si="54">SUM(V45:V46)</f>
        <v>430000</v>
      </c>
      <c r="W47" s="204">
        <f t="shared" si="54"/>
        <v>352306</v>
      </c>
      <c r="X47" s="441">
        <f t="shared" si="36"/>
        <v>0.81931627906976745</v>
      </c>
      <c r="Y47" s="439">
        <f t="shared" si="43"/>
        <v>706000</v>
      </c>
      <c r="Z47" s="439">
        <f t="shared" si="44"/>
        <v>546780</v>
      </c>
      <c r="AA47" s="439">
        <f t="shared" si="9"/>
        <v>0</v>
      </c>
      <c r="AB47" s="439">
        <f t="shared" si="10"/>
        <v>0</v>
      </c>
    </row>
    <row r="48" spans="1:28" ht="20.25" customHeight="1" x14ac:dyDescent="0.25">
      <c r="A48" s="85"/>
      <c r="B48" s="21" t="s">
        <v>496</v>
      </c>
      <c r="C48" s="101"/>
      <c r="D48" s="101"/>
      <c r="E48" s="101"/>
      <c r="F48" s="422"/>
      <c r="G48" s="71"/>
      <c r="H48" s="71" t="s">
        <v>344</v>
      </c>
      <c r="I48" s="104">
        <f>SUM(I49:I51)</f>
        <v>2290000</v>
      </c>
      <c r="J48" s="104">
        <f t="shared" ref="J48:K48" si="55">SUM(J49:J51)</f>
        <v>4422000</v>
      </c>
      <c r="K48" s="104">
        <f t="shared" si="55"/>
        <v>4421065</v>
      </c>
      <c r="L48" s="418">
        <f t="shared" si="39"/>
        <v>0.99978855721393034</v>
      </c>
      <c r="M48" s="85"/>
      <c r="N48" s="21" t="s">
        <v>496</v>
      </c>
      <c r="O48" s="386"/>
      <c r="P48" s="386"/>
      <c r="Q48" s="386"/>
      <c r="R48" s="445"/>
      <c r="S48" s="71"/>
      <c r="T48" s="71" t="s">
        <v>344</v>
      </c>
      <c r="U48" s="204">
        <f>SUM(U49:U51)</f>
        <v>0</v>
      </c>
      <c r="V48" s="204">
        <f t="shared" ref="V48:W48" si="56">SUM(V49:V51)</f>
        <v>0</v>
      </c>
      <c r="W48" s="204">
        <f t="shared" si="56"/>
        <v>0</v>
      </c>
      <c r="X48" s="441"/>
      <c r="Y48" s="439">
        <f t="shared" si="43"/>
        <v>4422000</v>
      </c>
      <c r="Z48" s="439">
        <f t="shared" si="44"/>
        <v>4421065</v>
      </c>
      <c r="AA48" s="439">
        <f t="shared" si="9"/>
        <v>0</v>
      </c>
      <c r="AB48" s="439">
        <f t="shared" si="10"/>
        <v>0</v>
      </c>
    </row>
    <row r="49" spans="1:28" ht="20.25" customHeight="1" x14ac:dyDescent="0.25">
      <c r="A49" s="85"/>
      <c r="B49" s="88" t="s">
        <v>452</v>
      </c>
      <c r="C49" s="101">
        <v>13937400</v>
      </c>
      <c r="D49" s="101">
        <v>13937400</v>
      </c>
      <c r="E49" s="101">
        <v>14084633</v>
      </c>
      <c r="F49" s="422">
        <f t="shared" si="38"/>
        <v>1.0105638784852269</v>
      </c>
      <c r="G49" s="71"/>
      <c r="H49" s="71" t="s">
        <v>345</v>
      </c>
      <c r="I49" s="104">
        <v>990000</v>
      </c>
      <c r="J49" s="104">
        <f>1962000+55000+5000</f>
        <v>2022000</v>
      </c>
      <c r="K49" s="104">
        <v>2021822</v>
      </c>
      <c r="L49" s="418">
        <f t="shared" si="39"/>
        <v>0.99991196834817009</v>
      </c>
      <c r="M49" s="85"/>
      <c r="N49" s="88" t="s">
        <v>452</v>
      </c>
      <c r="O49" s="386"/>
      <c r="P49" s="386"/>
      <c r="Q49" s="386"/>
      <c r="R49" s="445"/>
      <c r="S49" s="71"/>
      <c r="T49" s="71" t="s">
        <v>345</v>
      </c>
      <c r="U49" s="204"/>
      <c r="V49" s="204"/>
      <c r="W49" s="204"/>
      <c r="X49" s="441"/>
      <c r="Y49" s="439">
        <f t="shared" si="43"/>
        <v>2022000</v>
      </c>
      <c r="Z49" s="439">
        <f t="shared" si="44"/>
        <v>2021822</v>
      </c>
      <c r="AA49" s="439">
        <f t="shared" si="9"/>
        <v>13937400</v>
      </c>
      <c r="AB49" s="439">
        <f t="shared" si="10"/>
        <v>14084633</v>
      </c>
    </row>
    <row r="50" spans="1:28" ht="20.25" customHeight="1" x14ac:dyDescent="0.25">
      <c r="A50" s="87"/>
      <c r="B50" s="88" t="s">
        <v>453</v>
      </c>
      <c r="C50" s="101">
        <v>0</v>
      </c>
      <c r="D50" s="101">
        <v>0</v>
      </c>
      <c r="E50" s="101">
        <v>0</v>
      </c>
      <c r="F50" s="422"/>
      <c r="G50" s="71"/>
      <c r="H50" s="71" t="s">
        <v>668</v>
      </c>
      <c r="I50" s="204">
        <v>500000</v>
      </c>
      <c r="J50" s="204">
        <f>500000-55000</f>
        <v>445000</v>
      </c>
      <c r="K50" s="204">
        <v>444818</v>
      </c>
      <c r="L50" s="418">
        <f t="shared" si="39"/>
        <v>0.99959101123595506</v>
      </c>
      <c r="M50" s="318"/>
      <c r="N50" s="88" t="s">
        <v>453</v>
      </c>
      <c r="O50" s="384"/>
      <c r="P50" s="384"/>
      <c r="Q50" s="384"/>
      <c r="R50" s="445"/>
      <c r="S50" s="71"/>
      <c r="T50" s="71" t="s">
        <v>347</v>
      </c>
      <c r="U50" s="204"/>
      <c r="V50" s="204"/>
      <c r="W50" s="204"/>
      <c r="X50" s="441"/>
      <c r="Y50" s="439">
        <f t="shared" si="43"/>
        <v>445000</v>
      </c>
      <c r="Z50" s="439">
        <f t="shared" si="44"/>
        <v>444818</v>
      </c>
      <c r="AA50" s="439">
        <f t="shared" si="9"/>
        <v>0</v>
      </c>
      <c r="AB50" s="439">
        <f t="shared" si="10"/>
        <v>0</v>
      </c>
    </row>
    <row r="51" spans="1:28" ht="20.25" customHeight="1" x14ac:dyDescent="0.25">
      <c r="A51" s="87"/>
      <c r="B51" s="88" t="s">
        <v>660</v>
      </c>
      <c r="C51" s="87"/>
      <c r="D51" s="87"/>
      <c r="E51" s="87">
        <v>1</v>
      </c>
      <c r="F51" s="422"/>
      <c r="G51" s="71"/>
      <c r="H51" s="71" t="s">
        <v>346</v>
      </c>
      <c r="I51" s="104">
        <v>800000</v>
      </c>
      <c r="J51" s="104">
        <f>1960000-5000</f>
        <v>1955000</v>
      </c>
      <c r="K51" s="104">
        <v>1954425</v>
      </c>
      <c r="L51" s="418">
        <f t="shared" si="39"/>
        <v>0.99970588235294122</v>
      </c>
      <c r="M51" s="318"/>
      <c r="N51" s="88" t="s">
        <v>454</v>
      </c>
      <c r="O51" s="384"/>
      <c r="P51" s="384"/>
      <c r="Q51" s="384"/>
      <c r="R51" s="445"/>
      <c r="S51" s="71"/>
      <c r="T51" s="71" t="s">
        <v>346</v>
      </c>
      <c r="U51" s="204"/>
      <c r="V51" s="204"/>
      <c r="W51" s="204"/>
      <c r="X51" s="441"/>
      <c r="Y51" s="439">
        <f t="shared" si="43"/>
        <v>1955000</v>
      </c>
      <c r="Z51" s="439">
        <f t="shared" si="44"/>
        <v>1954425</v>
      </c>
      <c r="AA51" s="439">
        <f t="shared" si="9"/>
        <v>0</v>
      </c>
      <c r="AB51" s="439">
        <f t="shared" si="10"/>
        <v>1</v>
      </c>
    </row>
    <row r="52" spans="1:28" ht="20.25" customHeight="1" x14ac:dyDescent="0.25">
      <c r="A52" s="87"/>
      <c r="B52" s="88" t="s">
        <v>455</v>
      </c>
      <c r="C52" s="87"/>
      <c r="D52" s="87"/>
      <c r="E52" s="87"/>
      <c r="F52" s="422"/>
      <c r="G52" s="71"/>
      <c r="H52" s="71" t="s">
        <v>348</v>
      </c>
      <c r="I52" s="104">
        <v>0</v>
      </c>
      <c r="J52" s="104">
        <v>0</v>
      </c>
      <c r="K52" s="104">
        <v>0</v>
      </c>
      <c r="L52" s="418"/>
      <c r="M52" s="318"/>
      <c r="N52" s="88" t="s">
        <v>455</v>
      </c>
      <c r="O52" s="384"/>
      <c r="P52" s="384"/>
      <c r="Q52" s="384"/>
      <c r="R52" s="445"/>
      <c r="S52" s="71"/>
      <c r="T52" s="71" t="s">
        <v>348</v>
      </c>
      <c r="U52" s="204">
        <v>0</v>
      </c>
      <c r="V52" s="204">
        <v>0</v>
      </c>
      <c r="W52" s="204">
        <v>0</v>
      </c>
      <c r="X52" s="441"/>
      <c r="Y52" s="439">
        <f t="shared" si="43"/>
        <v>0</v>
      </c>
      <c r="Z52" s="439">
        <f t="shared" si="44"/>
        <v>0</v>
      </c>
      <c r="AA52" s="439">
        <f t="shared" si="9"/>
        <v>0</v>
      </c>
      <c r="AB52" s="439">
        <f t="shared" si="10"/>
        <v>0</v>
      </c>
    </row>
    <row r="53" spans="1:28" ht="20.25" customHeight="1" x14ac:dyDescent="0.25">
      <c r="A53" s="87"/>
      <c r="B53" s="88" t="s">
        <v>456</v>
      </c>
      <c r="C53" s="87">
        <f>SUM(C55:C61)</f>
        <v>0</v>
      </c>
      <c r="D53" s="87">
        <f t="shared" ref="D53" si="57">SUM(D55:D61)</f>
        <v>0</v>
      </c>
      <c r="E53" s="101">
        <v>177437</v>
      </c>
      <c r="F53" s="422"/>
      <c r="G53" s="71"/>
      <c r="H53" s="71" t="s">
        <v>780</v>
      </c>
      <c r="I53" s="104">
        <f>10000*12</f>
        <v>120000</v>
      </c>
      <c r="J53" s="104">
        <f t="shared" ref="J53" si="58">10000*12</f>
        <v>120000</v>
      </c>
      <c r="K53" s="104">
        <v>0</v>
      </c>
      <c r="L53" s="418">
        <f t="shared" si="39"/>
        <v>0</v>
      </c>
      <c r="M53" s="318"/>
      <c r="N53" s="88" t="s">
        <v>456</v>
      </c>
      <c r="O53" s="384">
        <f>SUM(O55:O61)</f>
        <v>0</v>
      </c>
      <c r="P53" s="384">
        <f t="shared" ref="P53:R53" si="59">SUM(P55:P61)</f>
        <v>0</v>
      </c>
      <c r="Q53" s="384">
        <f t="shared" si="59"/>
        <v>0</v>
      </c>
      <c r="R53" s="445">
        <f t="shared" si="59"/>
        <v>0</v>
      </c>
      <c r="S53" s="71"/>
      <c r="T53" s="71" t="s">
        <v>673</v>
      </c>
      <c r="U53" s="204">
        <f>SUM(U54:U54)</f>
        <v>1200000</v>
      </c>
      <c r="V53" s="204">
        <f t="shared" ref="V53:W53" si="60">SUM(V54:V54)</f>
        <v>1200000</v>
      </c>
      <c r="W53" s="204">
        <f t="shared" si="60"/>
        <v>1200000</v>
      </c>
      <c r="X53" s="441">
        <f t="shared" si="36"/>
        <v>1</v>
      </c>
      <c r="Y53" s="439">
        <f t="shared" si="43"/>
        <v>1320000</v>
      </c>
      <c r="Z53" s="439">
        <f t="shared" si="44"/>
        <v>1200000</v>
      </c>
      <c r="AA53" s="439">
        <f t="shared" si="9"/>
        <v>0</v>
      </c>
      <c r="AB53" s="439">
        <f t="shared" si="10"/>
        <v>177437</v>
      </c>
    </row>
    <row r="54" spans="1:28" ht="20.25" customHeight="1" x14ac:dyDescent="0.25">
      <c r="A54" s="87"/>
      <c r="B54" s="87"/>
      <c r="C54" s="87"/>
      <c r="D54" s="87"/>
      <c r="E54" s="87"/>
      <c r="F54" s="422"/>
      <c r="G54" s="71"/>
      <c r="H54" s="71"/>
      <c r="I54" s="104"/>
      <c r="J54" s="104"/>
      <c r="K54" s="104"/>
      <c r="L54" s="418"/>
      <c r="M54" s="318"/>
      <c r="N54" s="88"/>
      <c r="O54" s="384"/>
      <c r="P54" s="384"/>
      <c r="Q54" s="384"/>
      <c r="R54" s="445"/>
      <c r="S54" s="71"/>
      <c r="T54" s="71" t="s">
        <v>706</v>
      </c>
      <c r="U54" s="204">
        <v>1200000</v>
      </c>
      <c r="V54" s="204">
        <v>1200000</v>
      </c>
      <c r="W54" s="204">
        <v>1200000</v>
      </c>
      <c r="X54" s="441">
        <f t="shared" si="36"/>
        <v>1</v>
      </c>
      <c r="Y54" s="439">
        <f t="shared" si="43"/>
        <v>1200000</v>
      </c>
      <c r="Z54" s="439">
        <f t="shared" si="44"/>
        <v>1200000</v>
      </c>
      <c r="AA54" s="439">
        <f t="shared" si="9"/>
        <v>0</v>
      </c>
      <c r="AB54" s="439">
        <f t="shared" si="10"/>
        <v>0</v>
      </c>
    </row>
    <row r="55" spans="1:28" ht="20.25" customHeight="1" x14ac:dyDescent="0.25">
      <c r="A55" s="87"/>
      <c r="B55" s="87"/>
      <c r="C55" s="87"/>
      <c r="D55" s="87"/>
      <c r="E55" s="87"/>
      <c r="F55" s="422"/>
      <c r="G55" s="71"/>
      <c r="H55" s="71" t="s">
        <v>350</v>
      </c>
      <c r="I55" s="104">
        <f>SUM(I56:I58)</f>
        <v>1030000</v>
      </c>
      <c r="J55" s="104">
        <f t="shared" ref="J55:K55" si="61">SUM(J56:J58)</f>
        <v>1030000</v>
      </c>
      <c r="K55" s="104">
        <f t="shared" si="61"/>
        <v>195906</v>
      </c>
      <c r="L55" s="418">
        <f t="shared" si="39"/>
        <v>0.19020000000000001</v>
      </c>
      <c r="M55" s="318"/>
      <c r="N55" s="87"/>
      <c r="O55" s="384"/>
      <c r="P55" s="384"/>
      <c r="Q55" s="384"/>
      <c r="R55" s="445"/>
      <c r="S55" s="71"/>
      <c r="T55" s="71" t="s">
        <v>350</v>
      </c>
      <c r="U55" s="204">
        <f>SUM(U56:U59)</f>
        <v>8147000</v>
      </c>
      <c r="V55" s="204">
        <f t="shared" ref="V55:W55" si="62">SUM(V56:V59)</f>
        <v>7447000</v>
      </c>
      <c r="W55" s="204">
        <f t="shared" si="62"/>
        <v>7340566</v>
      </c>
      <c r="X55" s="441">
        <f t="shared" si="36"/>
        <v>0.98570780179938233</v>
      </c>
      <c r="Y55" s="439">
        <f t="shared" si="43"/>
        <v>8477000</v>
      </c>
      <c r="Z55" s="439">
        <f t="shared" si="44"/>
        <v>7536472</v>
      </c>
      <c r="AA55" s="439">
        <f t="shared" si="9"/>
        <v>0</v>
      </c>
      <c r="AB55" s="439">
        <f t="shared" si="10"/>
        <v>0</v>
      </c>
    </row>
    <row r="56" spans="1:28" ht="20.25" customHeight="1" x14ac:dyDescent="0.25">
      <c r="A56" s="87"/>
      <c r="B56" s="87"/>
      <c r="C56" s="87"/>
      <c r="D56" s="87"/>
      <c r="E56" s="87"/>
      <c r="F56" s="422"/>
      <c r="G56" s="71"/>
      <c r="H56" s="240" t="s">
        <v>781</v>
      </c>
      <c r="I56" s="104">
        <v>500000</v>
      </c>
      <c r="J56" s="104">
        <v>500000</v>
      </c>
      <c r="K56" s="104"/>
      <c r="L56" s="418">
        <f t="shared" si="39"/>
        <v>0</v>
      </c>
      <c r="M56" s="318"/>
      <c r="N56" s="87"/>
      <c r="O56" s="384"/>
      <c r="P56" s="384"/>
      <c r="Q56" s="384"/>
      <c r="R56" s="445"/>
      <c r="S56" s="71"/>
      <c r="T56" s="240" t="s">
        <v>796</v>
      </c>
      <c r="U56" s="204">
        <f>600000+547000</f>
        <v>1147000</v>
      </c>
      <c r="V56" s="204">
        <f t="shared" ref="V56" si="63">600000+547000</f>
        <v>1147000</v>
      </c>
      <c r="W56" s="204">
        <v>1543040</v>
      </c>
      <c r="X56" s="441">
        <f t="shared" si="36"/>
        <v>1.345283347863993</v>
      </c>
      <c r="Y56" s="439">
        <f t="shared" si="43"/>
        <v>1647000</v>
      </c>
      <c r="Z56" s="439">
        <f t="shared" si="44"/>
        <v>1543040</v>
      </c>
      <c r="AA56" s="439">
        <f t="shared" si="9"/>
        <v>0</v>
      </c>
      <c r="AB56" s="439">
        <f t="shared" si="10"/>
        <v>0</v>
      </c>
    </row>
    <row r="57" spans="1:28" ht="20.25" customHeight="1" x14ac:dyDescent="0.25">
      <c r="A57" s="87"/>
      <c r="B57" s="87"/>
      <c r="C57" s="87"/>
      <c r="D57" s="87"/>
      <c r="E57" s="87"/>
      <c r="F57" s="422"/>
      <c r="G57" s="71"/>
      <c r="H57" s="240" t="s">
        <v>782</v>
      </c>
      <c r="I57" s="104">
        <v>350000</v>
      </c>
      <c r="J57" s="104">
        <v>350000</v>
      </c>
      <c r="K57" s="104">
        <v>195906</v>
      </c>
      <c r="L57" s="418">
        <f t="shared" si="39"/>
        <v>0.55973142857142855</v>
      </c>
      <c r="M57" s="318"/>
      <c r="N57" s="87"/>
      <c r="O57" s="384"/>
      <c r="P57" s="384"/>
      <c r="Q57" s="384"/>
      <c r="R57" s="445"/>
      <c r="S57" s="71"/>
      <c r="T57" s="240" t="s">
        <v>610</v>
      </c>
      <c r="U57" s="204">
        <v>600000</v>
      </c>
      <c r="V57" s="204">
        <v>600000</v>
      </c>
      <c r="W57" s="204">
        <v>1153070</v>
      </c>
      <c r="X57" s="441">
        <f t="shared" si="36"/>
        <v>1.9217833333333334</v>
      </c>
      <c r="Y57" s="439">
        <f t="shared" si="43"/>
        <v>950000</v>
      </c>
      <c r="Z57" s="439">
        <f t="shared" si="44"/>
        <v>1348976</v>
      </c>
      <c r="AA57" s="439">
        <f t="shared" si="9"/>
        <v>0</v>
      </c>
      <c r="AB57" s="439">
        <f t="shared" si="10"/>
        <v>0</v>
      </c>
    </row>
    <row r="58" spans="1:28" ht="20.25" customHeight="1" x14ac:dyDescent="0.25">
      <c r="A58" s="87"/>
      <c r="B58" s="87"/>
      <c r="C58" s="87"/>
      <c r="D58" s="87"/>
      <c r="E58" s="87"/>
      <c r="F58" s="422"/>
      <c r="G58" s="71"/>
      <c r="H58" s="240" t="s">
        <v>783</v>
      </c>
      <c r="I58" s="104">
        <f>15000*12</f>
        <v>180000</v>
      </c>
      <c r="J58" s="104">
        <f t="shared" ref="J58" si="64">15000*12</f>
        <v>180000</v>
      </c>
      <c r="K58" s="104"/>
      <c r="L58" s="418">
        <f t="shared" si="39"/>
        <v>0</v>
      </c>
      <c r="M58" s="318"/>
      <c r="N58" s="87"/>
      <c r="O58" s="384"/>
      <c r="P58" s="384"/>
      <c r="Q58" s="384"/>
      <c r="R58" s="445"/>
      <c r="S58" s="71"/>
      <c r="T58" s="240" t="s">
        <v>674</v>
      </c>
      <c r="U58" s="204">
        <f>3000000+2400000</f>
        <v>5400000</v>
      </c>
      <c r="V58" s="204">
        <f t="shared" ref="V58" si="65">3000000+2400000</f>
        <v>5400000</v>
      </c>
      <c r="W58" s="204">
        <v>4644456</v>
      </c>
      <c r="X58" s="441">
        <f t="shared" si="36"/>
        <v>0.86008444444444443</v>
      </c>
      <c r="Y58" s="439">
        <f t="shared" si="43"/>
        <v>5580000</v>
      </c>
      <c r="Z58" s="439">
        <f t="shared" si="44"/>
        <v>4644456</v>
      </c>
      <c r="AA58" s="439">
        <f t="shared" si="9"/>
        <v>0</v>
      </c>
      <c r="AB58" s="439">
        <f t="shared" si="10"/>
        <v>0</v>
      </c>
    </row>
    <row r="59" spans="1:28" ht="20.25" customHeight="1" x14ac:dyDescent="0.25">
      <c r="A59" s="87"/>
      <c r="B59" s="87"/>
      <c r="C59" s="87"/>
      <c r="D59" s="87"/>
      <c r="E59" s="87"/>
      <c r="F59" s="422"/>
      <c r="G59" s="71"/>
      <c r="H59" s="240"/>
      <c r="I59" s="104"/>
      <c r="J59" s="104"/>
      <c r="K59" s="104"/>
      <c r="L59" s="418"/>
      <c r="M59" s="318"/>
      <c r="N59" s="87"/>
      <c r="O59" s="384"/>
      <c r="P59" s="384"/>
      <c r="Q59" s="384"/>
      <c r="R59" s="445"/>
      <c r="S59" s="71"/>
      <c r="T59" s="240" t="s">
        <v>702</v>
      </c>
      <c r="U59" s="204">
        <v>1000000</v>
      </c>
      <c r="V59" s="204">
        <v>300000</v>
      </c>
      <c r="W59" s="204"/>
      <c r="X59" s="441">
        <f t="shared" si="36"/>
        <v>0</v>
      </c>
      <c r="Y59" s="439">
        <f t="shared" si="43"/>
        <v>300000</v>
      </c>
      <c r="Z59" s="439">
        <f t="shared" si="44"/>
        <v>0</v>
      </c>
      <c r="AA59" s="439">
        <f t="shared" si="9"/>
        <v>0</v>
      </c>
      <c r="AB59" s="439">
        <f t="shared" si="10"/>
        <v>0</v>
      </c>
    </row>
    <row r="60" spans="1:28" ht="20.25" customHeight="1" x14ac:dyDescent="0.25">
      <c r="A60" s="87"/>
      <c r="B60" s="87"/>
      <c r="C60" s="87"/>
      <c r="D60" s="87"/>
      <c r="E60" s="87"/>
      <c r="F60" s="422"/>
      <c r="G60" s="71"/>
      <c r="H60" s="71" t="s">
        <v>351</v>
      </c>
      <c r="I60" s="104"/>
      <c r="J60" s="104"/>
      <c r="K60" s="104"/>
      <c r="L60" s="418"/>
      <c r="M60" s="318"/>
      <c r="N60" s="87"/>
      <c r="O60" s="384"/>
      <c r="P60" s="384"/>
      <c r="Q60" s="384"/>
      <c r="R60" s="445"/>
      <c r="S60" s="71"/>
      <c r="T60" s="71" t="s">
        <v>351</v>
      </c>
      <c r="U60" s="204"/>
      <c r="V60" s="204"/>
      <c r="W60" s="204"/>
      <c r="X60" s="441"/>
      <c r="Y60" s="439">
        <f t="shared" si="43"/>
        <v>0</v>
      </c>
      <c r="Z60" s="439">
        <f t="shared" si="44"/>
        <v>0</v>
      </c>
      <c r="AA60" s="439">
        <f t="shared" si="9"/>
        <v>0</v>
      </c>
      <c r="AB60" s="439">
        <f t="shared" si="10"/>
        <v>0</v>
      </c>
    </row>
    <row r="61" spans="1:28" ht="20.25" customHeight="1" x14ac:dyDescent="0.25">
      <c r="A61" s="85"/>
      <c r="B61" s="87"/>
      <c r="C61" s="101"/>
      <c r="D61" s="101"/>
      <c r="E61" s="101"/>
      <c r="F61" s="422"/>
      <c r="G61" s="71"/>
      <c r="H61" s="71" t="s">
        <v>784</v>
      </c>
      <c r="I61" s="204">
        <f>9*5000+30000</f>
        <v>75000</v>
      </c>
      <c r="J61" s="204">
        <v>55000</v>
      </c>
      <c r="K61" s="204">
        <f>6*5000</f>
        <v>30000</v>
      </c>
      <c r="L61" s="418">
        <f t="shared" si="39"/>
        <v>0.54545454545454541</v>
      </c>
      <c r="M61" s="85"/>
      <c r="N61" s="87"/>
      <c r="O61" s="386"/>
      <c r="P61" s="386"/>
      <c r="Q61" s="386"/>
      <c r="R61" s="445"/>
      <c r="S61" s="71"/>
      <c r="T61" s="71" t="s">
        <v>784</v>
      </c>
      <c r="U61" s="204">
        <f>13*5000</f>
        <v>65000</v>
      </c>
      <c r="V61" s="204">
        <v>100000</v>
      </c>
      <c r="W61" s="204">
        <v>65000</v>
      </c>
      <c r="X61" s="441">
        <f t="shared" si="36"/>
        <v>0.65</v>
      </c>
      <c r="Y61" s="439">
        <f t="shared" si="43"/>
        <v>155000</v>
      </c>
      <c r="Z61" s="439">
        <f t="shared" si="44"/>
        <v>95000</v>
      </c>
      <c r="AA61" s="439">
        <f t="shared" si="9"/>
        <v>0</v>
      </c>
      <c r="AB61" s="439">
        <f t="shared" si="10"/>
        <v>0</v>
      </c>
    </row>
    <row r="62" spans="1:28" ht="20.25" customHeight="1" x14ac:dyDescent="0.25">
      <c r="A62" s="87"/>
      <c r="B62" s="88"/>
      <c r="C62" s="87"/>
      <c r="D62" s="87"/>
      <c r="E62" s="87"/>
      <c r="F62" s="422"/>
      <c r="G62" s="71"/>
      <c r="H62" s="71" t="s">
        <v>353</v>
      </c>
      <c r="I62" s="104">
        <f>SUM(I63:I73)</f>
        <v>6023000</v>
      </c>
      <c r="J62" s="104">
        <f t="shared" ref="J62:K62" si="66">SUM(J63:J73)</f>
        <v>6023000</v>
      </c>
      <c r="K62" s="104">
        <f t="shared" si="66"/>
        <v>5098806</v>
      </c>
      <c r="L62" s="418">
        <f t="shared" si="39"/>
        <v>0.84655586916818859</v>
      </c>
      <c r="M62" s="318"/>
      <c r="N62" s="88"/>
      <c r="O62" s="384"/>
      <c r="P62" s="384"/>
      <c r="Q62" s="384"/>
      <c r="R62" s="445"/>
      <c r="S62" s="71"/>
      <c r="T62" s="71" t="s">
        <v>353</v>
      </c>
      <c r="U62" s="204">
        <f>SUM(U63:U71)</f>
        <v>1858650</v>
      </c>
      <c r="V62" s="204">
        <f t="shared" ref="V62" si="67">SUM(V63:V71)</f>
        <v>1858650</v>
      </c>
      <c r="W62" s="204">
        <f>SUM(W63:W71)</f>
        <v>1657196</v>
      </c>
      <c r="X62" s="441">
        <f t="shared" si="36"/>
        <v>0.89161272966938365</v>
      </c>
      <c r="Y62" s="439">
        <f t="shared" si="43"/>
        <v>7881650</v>
      </c>
      <c r="Z62" s="439">
        <f t="shared" si="44"/>
        <v>6756002</v>
      </c>
      <c r="AA62" s="439">
        <f t="shared" si="9"/>
        <v>0</v>
      </c>
      <c r="AB62" s="439">
        <f t="shared" si="10"/>
        <v>0</v>
      </c>
    </row>
    <row r="63" spans="1:28" ht="20.25" customHeight="1" x14ac:dyDescent="0.25">
      <c r="A63" s="87"/>
      <c r="B63" s="88"/>
      <c r="C63" s="87"/>
      <c r="D63" s="87"/>
      <c r="E63" s="87"/>
      <c r="F63" s="422"/>
      <c r="G63" s="71"/>
      <c r="H63" s="71" t="s">
        <v>354</v>
      </c>
      <c r="I63" s="104">
        <v>10000</v>
      </c>
      <c r="J63" s="104">
        <v>10000</v>
      </c>
      <c r="K63" s="104">
        <v>2250</v>
      </c>
      <c r="L63" s="418">
        <f t="shared" si="39"/>
        <v>0.22500000000000001</v>
      </c>
      <c r="M63" s="318"/>
      <c r="N63" s="88"/>
      <c r="O63" s="384"/>
      <c r="P63" s="384"/>
      <c r="Q63" s="384"/>
      <c r="R63" s="445"/>
      <c r="S63" s="71"/>
      <c r="T63" s="241" t="s">
        <v>354</v>
      </c>
      <c r="U63" s="204"/>
      <c r="V63" s="204"/>
      <c r="W63" s="204"/>
      <c r="X63" s="441"/>
      <c r="Y63" s="439">
        <f t="shared" si="43"/>
        <v>10000</v>
      </c>
      <c r="Z63" s="439">
        <f t="shared" si="44"/>
        <v>2250</v>
      </c>
      <c r="AA63" s="439">
        <f t="shared" si="9"/>
        <v>0</v>
      </c>
      <c r="AB63" s="439">
        <f t="shared" si="10"/>
        <v>0</v>
      </c>
    </row>
    <row r="64" spans="1:28" ht="20.25" customHeight="1" x14ac:dyDescent="0.25">
      <c r="A64" s="87"/>
      <c r="B64" s="88"/>
      <c r="C64" s="87"/>
      <c r="D64" s="87"/>
      <c r="E64" s="87"/>
      <c r="F64" s="422"/>
      <c r="G64" s="71"/>
      <c r="H64" s="240" t="s">
        <v>669</v>
      </c>
      <c r="I64" s="104">
        <f>193000+50000+20000</f>
        <v>263000</v>
      </c>
      <c r="J64" s="104">
        <f t="shared" ref="J64" si="68">193000+50000+20000</f>
        <v>263000</v>
      </c>
      <c r="K64" s="104">
        <v>257453</v>
      </c>
      <c r="L64" s="418">
        <f t="shared" si="39"/>
        <v>0.97890874524714833</v>
      </c>
      <c r="M64" s="318"/>
      <c r="N64" s="88"/>
      <c r="O64" s="384"/>
      <c r="P64" s="384"/>
      <c r="Q64" s="384"/>
      <c r="R64" s="445"/>
      <c r="S64" s="71"/>
      <c r="T64" s="240" t="s">
        <v>797</v>
      </c>
      <c r="U64" s="104">
        <f>2878*52-6</f>
        <v>149650</v>
      </c>
      <c r="V64" s="104">
        <f t="shared" ref="V64" si="69">2878*52-6</f>
        <v>149650</v>
      </c>
      <c r="W64" s="104">
        <v>101166</v>
      </c>
      <c r="X64" s="441">
        <f t="shared" si="36"/>
        <v>0.67601737387236882</v>
      </c>
      <c r="Y64" s="439">
        <f t="shared" si="43"/>
        <v>412650</v>
      </c>
      <c r="Z64" s="439">
        <f t="shared" si="44"/>
        <v>358619</v>
      </c>
      <c r="AA64" s="439">
        <f t="shared" si="9"/>
        <v>0</v>
      </c>
      <c r="AB64" s="439">
        <f t="shared" si="10"/>
        <v>0</v>
      </c>
    </row>
    <row r="65" spans="1:28" ht="20.25" customHeight="1" x14ac:dyDescent="0.25">
      <c r="A65" s="87"/>
      <c r="B65" s="88"/>
      <c r="C65" s="87"/>
      <c r="D65" s="87"/>
      <c r="E65" s="87"/>
      <c r="F65" s="422"/>
      <c r="G65" s="71"/>
      <c r="H65" s="240" t="s">
        <v>603</v>
      </c>
      <c r="I65" s="104">
        <v>200000</v>
      </c>
      <c r="J65" s="104">
        <v>200000</v>
      </c>
      <c r="K65" s="104">
        <v>100000</v>
      </c>
      <c r="L65" s="418">
        <f t="shared" si="39"/>
        <v>0.5</v>
      </c>
      <c r="M65" s="318"/>
      <c r="N65" s="88"/>
      <c r="O65" s="384"/>
      <c r="P65" s="384"/>
      <c r="Q65" s="384"/>
      <c r="R65" s="445"/>
      <c r="S65" s="71"/>
      <c r="T65" s="240" t="s">
        <v>707</v>
      </c>
      <c r="U65" s="104">
        <f>121000*12</f>
        <v>1452000</v>
      </c>
      <c r="V65" s="104">
        <f t="shared" ref="V65" si="70">121000*12</f>
        <v>1452000</v>
      </c>
      <c r="W65" s="104">
        <v>1232499</v>
      </c>
      <c r="X65" s="441">
        <f t="shared" si="36"/>
        <v>0.84882851239669421</v>
      </c>
      <c r="Y65" s="439">
        <f t="shared" si="43"/>
        <v>1652000</v>
      </c>
      <c r="Z65" s="439">
        <f t="shared" si="44"/>
        <v>1332499</v>
      </c>
      <c r="AA65" s="439">
        <f t="shared" si="9"/>
        <v>0</v>
      </c>
      <c r="AB65" s="439">
        <f t="shared" si="10"/>
        <v>0</v>
      </c>
    </row>
    <row r="66" spans="1:28" ht="20.25" customHeight="1" x14ac:dyDescent="0.25">
      <c r="A66" s="87"/>
      <c r="B66" s="88"/>
      <c r="C66" s="87"/>
      <c r="D66" s="87"/>
      <c r="E66" s="87"/>
      <c r="F66" s="422"/>
      <c r="G66" s="71"/>
      <c r="H66" s="240" t="s">
        <v>604</v>
      </c>
      <c r="I66" s="104">
        <v>500000</v>
      </c>
      <c r="J66" s="104">
        <v>500000</v>
      </c>
      <c r="K66" s="104">
        <f>496651+2954+2503</f>
        <v>502108</v>
      </c>
      <c r="L66" s="418">
        <f t="shared" si="39"/>
        <v>1.004216</v>
      </c>
      <c r="M66" s="318"/>
      <c r="N66" s="88"/>
      <c r="O66" s="384"/>
      <c r="P66" s="384"/>
      <c r="Q66" s="384"/>
      <c r="R66" s="445"/>
      <c r="S66" s="71"/>
      <c r="T66" s="243" t="s">
        <v>355</v>
      </c>
      <c r="U66" s="204">
        <f>24000*4+14000*4</f>
        <v>152000</v>
      </c>
      <c r="V66" s="204">
        <f t="shared" ref="V66" si="71">24000*4+14000*4</f>
        <v>152000</v>
      </c>
      <c r="W66" s="204">
        <v>168442</v>
      </c>
      <c r="X66" s="441">
        <f t="shared" si="36"/>
        <v>1.1081710526315789</v>
      </c>
      <c r="Y66" s="439">
        <f t="shared" ref="Y66:Z97" si="72">+J66+V66</f>
        <v>652000</v>
      </c>
      <c r="Z66" s="439">
        <f t="shared" si="72"/>
        <v>670550</v>
      </c>
      <c r="AA66" s="439">
        <f t="shared" si="9"/>
        <v>0</v>
      </c>
      <c r="AB66" s="439">
        <f t="shared" si="10"/>
        <v>0</v>
      </c>
    </row>
    <row r="67" spans="1:28" ht="20.25" customHeight="1" x14ac:dyDescent="0.25">
      <c r="A67" s="87"/>
      <c r="B67" s="88"/>
      <c r="C67" s="87"/>
      <c r="D67" s="87"/>
      <c r="E67" s="87"/>
      <c r="F67" s="422"/>
      <c r="G67" s="71"/>
      <c r="H67" s="240" t="s">
        <v>605</v>
      </c>
      <c r="I67" s="104">
        <f>410000*12</f>
        <v>4920000</v>
      </c>
      <c r="J67" s="104">
        <f t="shared" ref="J67" si="73">410000*12</f>
        <v>4920000</v>
      </c>
      <c r="K67" s="104">
        <v>4230495</v>
      </c>
      <c r="L67" s="418">
        <f t="shared" si="39"/>
        <v>0.8598567073170732</v>
      </c>
      <c r="M67" s="318"/>
      <c r="N67" s="88"/>
      <c r="O67" s="384"/>
      <c r="P67" s="384"/>
      <c r="Q67" s="384"/>
      <c r="R67" s="445"/>
      <c r="S67" s="71"/>
      <c r="T67" s="243" t="s">
        <v>611</v>
      </c>
      <c r="U67" s="104">
        <f>75000+30000</f>
        <v>105000</v>
      </c>
      <c r="V67" s="104">
        <f t="shared" ref="V67" si="74">75000+30000</f>
        <v>105000</v>
      </c>
      <c r="W67" s="104">
        <v>85000</v>
      </c>
      <c r="X67" s="441">
        <f t="shared" si="36"/>
        <v>0.80952380952380953</v>
      </c>
      <c r="Y67" s="439">
        <f t="shared" si="72"/>
        <v>5025000</v>
      </c>
      <c r="Z67" s="439">
        <f t="shared" si="72"/>
        <v>4315495</v>
      </c>
      <c r="AA67" s="439">
        <f t="shared" ref="AA67:AA130" si="75">+D67+P67</f>
        <v>0</v>
      </c>
      <c r="AB67" s="439">
        <f t="shared" ref="AB67:AB130" si="76">+E67+Q67</f>
        <v>0</v>
      </c>
    </row>
    <row r="68" spans="1:28" ht="20.25" customHeight="1" x14ac:dyDescent="0.25">
      <c r="A68" s="87"/>
      <c r="B68" s="88"/>
      <c r="C68" s="87"/>
      <c r="D68" s="87"/>
      <c r="E68" s="87"/>
      <c r="F68" s="422"/>
      <c r="G68" s="71"/>
      <c r="H68" s="71" t="s">
        <v>785</v>
      </c>
      <c r="I68" s="104">
        <v>50000</v>
      </c>
      <c r="J68" s="104">
        <v>50000</v>
      </c>
      <c r="K68" s="104">
        <v>6500</v>
      </c>
      <c r="L68" s="418">
        <f t="shared" si="39"/>
        <v>0.13</v>
      </c>
      <c r="M68" s="318"/>
      <c r="N68" s="88"/>
      <c r="O68" s="384"/>
      <c r="P68" s="384"/>
      <c r="Q68" s="384"/>
      <c r="R68" s="445"/>
      <c r="S68" s="71"/>
      <c r="T68" s="243" t="s">
        <v>1159</v>
      </c>
      <c r="U68" s="204"/>
      <c r="V68" s="204"/>
      <c r="W68" s="204">
        <v>70089</v>
      </c>
      <c r="X68" s="441"/>
      <c r="Y68" s="439">
        <f t="shared" si="72"/>
        <v>50000</v>
      </c>
      <c r="Z68" s="439">
        <f t="shared" si="72"/>
        <v>76589</v>
      </c>
      <c r="AA68" s="439">
        <f t="shared" si="75"/>
        <v>0</v>
      </c>
      <c r="AB68" s="439">
        <f t="shared" si="76"/>
        <v>0</v>
      </c>
    </row>
    <row r="69" spans="1:28" ht="20.25" customHeight="1" x14ac:dyDescent="0.25">
      <c r="A69" s="87"/>
      <c r="B69" s="88"/>
      <c r="C69" s="87"/>
      <c r="D69" s="87"/>
      <c r="E69" s="87"/>
      <c r="F69" s="422"/>
      <c r="G69" s="71"/>
      <c r="H69" s="71" t="s">
        <v>703</v>
      </c>
      <c r="I69" s="104">
        <v>15000</v>
      </c>
      <c r="J69" s="104">
        <v>15000</v>
      </c>
      <c r="K69" s="104"/>
      <c r="L69" s="418">
        <f t="shared" si="39"/>
        <v>0</v>
      </c>
      <c r="M69" s="318"/>
      <c r="N69" s="88"/>
      <c r="O69" s="384"/>
      <c r="P69" s="384"/>
      <c r="Q69" s="384"/>
      <c r="R69" s="445"/>
      <c r="S69" s="71"/>
      <c r="T69" s="243"/>
      <c r="U69" s="204"/>
      <c r="V69" s="204"/>
      <c r="W69" s="204"/>
      <c r="X69" s="441"/>
      <c r="Y69" s="439">
        <f t="shared" si="72"/>
        <v>15000</v>
      </c>
      <c r="Z69" s="439">
        <f t="shared" si="72"/>
        <v>0</v>
      </c>
      <c r="AA69" s="439">
        <f t="shared" si="75"/>
        <v>0</v>
      </c>
      <c r="AB69" s="439">
        <f t="shared" si="76"/>
        <v>0</v>
      </c>
    </row>
    <row r="70" spans="1:28" ht="20.25" hidden="1" customHeight="1" x14ac:dyDescent="0.25">
      <c r="A70" s="87"/>
      <c r="B70" s="88"/>
      <c r="C70" s="87"/>
      <c r="D70" s="87"/>
      <c r="E70" s="87"/>
      <c r="F70" s="422"/>
      <c r="G70" s="71"/>
      <c r="H70" s="71" t="s">
        <v>600</v>
      </c>
      <c r="I70" s="104"/>
      <c r="J70" s="104"/>
      <c r="K70" s="104"/>
      <c r="L70" s="418" t="e">
        <f t="shared" si="39"/>
        <v>#DIV/0!</v>
      </c>
      <c r="M70" s="318"/>
      <c r="N70" s="88"/>
      <c r="O70" s="384"/>
      <c r="P70" s="384"/>
      <c r="Q70" s="384"/>
      <c r="R70" s="445"/>
      <c r="S70" s="71"/>
      <c r="T70" s="115"/>
      <c r="U70" s="204"/>
      <c r="V70" s="204"/>
      <c r="W70" s="204"/>
      <c r="X70" s="441"/>
      <c r="Y70" s="439">
        <f t="shared" si="72"/>
        <v>0</v>
      </c>
      <c r="Z70" s="439">
        <f t="shared" si="72"/>
        <v>0</v>
      </c>
      <c r="AA70" s="439">
        <f t="shared" si="75"/>
        <v>0</v>
      </c>
      <c r="AB70" s="439">
        <f t="shared" si="76"/>
        <v>0</v>
      </c>
    </row>
    <row r="71" spans="1:28" ht="20.25" hidden="1" customHeight="1" x14ac:dyDescent="0.25">
      <c r="A71" s="87"/>
      <c r="B71" s="88"/>
      <c r="C71" s="87"/>
      <c r="D71" s="87"/>
      <c r="E71" s="87"/>
      <c r="F71" s="422"/>
      <c r="G71" s="71"/>
      <c r="H71" s="240"/>
      <c r="I71" s="104"/>
      <c r="J71" s="104"/>
      <c r="K71" s="104"/>
      <c r="L71" s="418" t="e">
        <f t="shared" si="39"/>
        <v>#DIV/0!</v>
      </c>
      <c r="M71" s="318"/>
      <c r="N71" s="88"/>
      <c r="O71" s="384"/>
      <c r="P71" s="384"/>
      <c r="Q71" s="384"/>
      <c r="R71" s="445"/>
      <c r="S71" s="71"/>
      <c r="T71" s="115"/>
      <c r="U71" s="204"/>
      <c r="V71" s="204"/>
      <c r="W71" s="204"/>
      <c r="X71" s="441"/>
      <c r="Y71" s="439">
        <f t="shared" si="72"/>
        <v>0</v>
      </c>
      <c r="Z71" s="439">
        <f t="shared" si="72"/>
        <v>0</v>
      </c>
      <c r="AA71" s="439">
        <f t="shared" si="75"/>
        <v>0</v>
      </c>
      <c r="AB71" s="439">
        <f t="shared" si="76"/>
        <v>0</v>
      </c>
    </row>
    <row r="72" spans="1:28" ht="20.25" hidden="1" customHeight="1" x14ac:dyDescent="0.25">
      <c r="A72" s="87"/>
      <c r="B72" s="87"/>
      <c r="C72" s="87"/>
      <c r="D72" s="87"/>
      <c r="E72" s="87"/>
      <c r="F72" s="422"/>
      <c r="G72" s="71"/>
      <c r="H72" s="71"/>
      <c r="I72" s="104"/>
      <c r="J72" s="104"/>
      <c r="K72" s="104"/>
      <c r="L72" s="418" t="e">
        <f t="shared" si="39"/>
        <v>#DIV/0!</v>
      </c>
      <c r="M72" s="318"/>
      <c r="N72" s="87"/>
      <c r="O72" s="384"/>
      <c r="P72" s="384"/>
      <c r="Q72" s="384"/>
      <c r="R72" s="445"/>
      <c r="S72" s="71"/>
      <c r="U72" s="204"/>
      <c r="V72" s="204"/>
      <c r="W72" s="204"/>
      <c r="X72" s="441"/>
      <c r="Y72" s="439">
        <f t="shared" si="72"/>
        <v>0</v>
      </c>
      <c r="Z72" s="439">
        <f t="shared" si="72"/>
        <v>0</v>
      </c>
      <c r="AA72" s="439">
        <f t="shared" si="75"/>
        <v>0</v>
      </c>
      <c r="AB72" s="439">
        <f t="shared" si="76"/>
        <v>0</v>
      </c>
    </row>
    <row r="73" spans="1:28" ht="20.25" customHeight="1" x14ac:dyDescent="0.25">
      <c r="A73" s="87"/>
      <c r="B73" s="87"/>
      <c r="C73" s="87"/>
      <c r="D73" s="87"/>
      <c r="E73" s="87"/>
      <c r="F73" s="422"/>
      <c r="G73" s="71"/>
      <c r="H73" s="71" t="s">
        <v>600</v>
      </c>
      <c r="I73" s="104">
        <v>65000</v>
      </c>
      <c r="J73" s="104">
        <v>65000</v>
      </c>
      <c r="K73" s="104"/>
      <c r="L73" s="418">
        <f t="shared" si="39"/>
        <v>0</v>
      </c>
      <c r="M73" s="318"/>
      <c r="N73" s="87"/>
      <c r="O73" s="384"/>
      <c r="P73" s="384"/>
      <c r="Q73" s="384"/>
      <c r="R73" s="445"/>
      <c r="S73" s="71"/>
      <c r="U73" s="204"/>
      <c r="V73" s="204"/>
      <c r="W73" s="204"/>
      <c r="X73" s="441"/>
      <c r="Y73" s="439">
        <f t="shared" si="72"/>
        <v>65000</v>
      </c>
      <c r="Z73" s="439">
        <f t="shared" si="72"/>
        <v>0</v>
      </c>
      <c r="AA73" s="439">
        <f t="shared" si="75"/>
        <v>0</v>
      </c>
      <c r="AB73" s="439">
        <f t="shared" si="76"/>
        <v>0</v>
      </c>
    </row>
    <row r="74" spans="1:28" ht="20.25" customHeight="1" x14ac:dyDescent="0.25">
      <c r="A74" s="87"/>
      <c r="B74" s="87"/>
      <c r="C74" s="87"/>
      <c r="D74" s="87"/>
      <c r="E74" s="87"/>
      <c r="F74" s="422"/>
      <c r="G74" s="71"/>
      <c r="H74" s="72" t="s">
        <v>343</v>
      </c>
      <c r="I74" s="104">
        <f>I48+I52+I53+I55+I60+I61+I62</f>
        <v>9538000</v>
      </c>
      <c r="J74" s="104">
        <f t="shared" ref="J74:K74" si="77">J48+J52+J53+J55+J60+J61+J62</f>
        <v>11650000</v>
      </c>
      <c r="K74" s="104">
        <f t="shared" si="77"/>
        <v>9745777</v>
      </c>
      <c r="L74" s="418">
        <f t="shared" si="39"/>
        <v>0.83654738197424894</v>
      </c>
      <c r="M74" s="318"/>
      <c r="N74" s="87"/>
      <c r="O74" s="384"/>
      <c r="P74" s="384"/>
      <c r="Q74" s="384"/>
      <c r="R74" s="445"/>
      <c r="S74" s="71"/>
      <c r="T74" s="72" t="s">
        <v>343</v>
      </c>
      <c r="U74" s="204">
        <f>U48+U52+U53+U55+U60+U61+U62</f>
        <v>11270650</v>
      </c>
      <c r="V74" s="204">
        <f t="shared" ref="V74:W74" si="78">V48+V52+V53+V55+V60+V61+V62</f>
        <v>10605650</v>
      </c>
      <c r="W74" s="204">
        <f t="shared" si="78"/>
        <v>10262762</v>
      </c>
      <c r="X74" s="441">
        <f t="shared" si="36"/>
        <v>0.9676693083403658</v>
      </c>
      <c r="Y74" s="439">
        <f>+J74+V74</f>
        <v>22255650</v>
      </c>
      <c r="Z74" s="439">
        <f>+K74+W74</f>
        <v>20008539</v>
      </c>
      <c r="AA74" s="439">
        <f t="shared" si="75"/>
        <v>0</v>
      </c>
      <c r="AB74" s="439">
        <f t="shared" si="76"/>
        <v>0</v>
      </c>
    </row>
    <row r="75" spans="1:28" ht="20.25" customHeight="1" x14ac:dyDescent="0.25">
      <c r="A75" s="87"/>
      <c r="B75" s="87"/>
      <c r="C75" s="87"/>
      <c r="D75" s="87"/>
      <c r="E75" s="87"/>
      <c r="F75" s="422"/>
      <c r="G75" s="71"/>
      <c r="H75" s="71" t="s">
        <v>356</v>
      </c>
      <c r="I75" s="104">
        <v>20000</v>
      </c>
      <c r="J75" s="104">
        <v>20000</v>
      </c>
      <c r="K75" s="104">
        <v>0</v>
      </c>
      <c r="L75" s="418">
        <f t="shared" si="39"/>
        <v>0</v>
      </c>
      <c r="M75" s="318"/>
      <c r="N75" s="87"/>
      <c r="O75" s="384"/>
      <c r="P75" s="384"/>
      <c r="Q75" s="384"/>
      <c r="R75" s="445"/>
      <c r="S75" s="71"/>
      <c r="T75" s="71" t="s">
        <v>356</v>
      </c>
      <c r="U75" s="104">
        <f>35000*12+40000+15000*12</f>
        <v>640000</v>
      </c>
      <c r="V75" s="104">
        <f t="shared" ref="V75" si="79">35000*12+40000+15000*12</f>
        <v>640000</v>
      </c>
      <c r="W75" s="104">
        <v>475221</v>
      </c>
      <c r="X75" s="441">
        <f t="shared" si="36"/>
        <v>0.74253281250000003</v>
      </c>
      <c r="Y75" s="439">
        <f t="shared" si="72"/>
        <v>660000</v>
      </c>
      <c r="Z75" s="439">
        <f t="shared" si="72"/>
        <v>475221</v>
      </c>
      <c r="AA75" s="439">
        <f t="shared" si="75"/>
        <v>0</v>
      </c>
      <c r="AB75" s="439">
        <f t="shared" si="76"/>
        <v>0</v>
      </c>
    </row>
    <row r="76" spans="1:28" ht="20.25" customHeight="1" x14ac:dyDescent="0.25">
      <c r="A76" s="87"/>
      <c r="B76" s="87"/>
      <c r="C76" s="87"/>
      <c r="D76" s="87"/>
      <c r="E76" s="87"/>
      <c r="F76" s="422"/>
      <c r="G76" s="71"/>
      <c r="H76" s="71" t="s">
        <v>607</v>
      </c>
      <c r="I76" s="104">
        <f>70000*6+154000</f>
        <v>574000</v>
      </c>
      <c r="J76" s="104">
        <v>521000</v>
      </c>
      <c r="K76" s="104">
        <v>352498</v>
      </c>
      <c r="L76" s="418">
        <f t="shared" si="39"/>
        <v>0.67657965451055657</v>
      </c>
      <c r="M76" s="318"/>
      <c r="N76" s="87"/>
      <c r="O76" s="384"/>
      <c r="P76" s="384"/>
      <c r="Q76" s="384"/>
      <c r="R76" s="445"/>
      <c r="S76" s="71"/>
      <c r="T76" s="71" t="s">
        <v>357</v>
      </c>
      <c r="U76" s="204"/>
      <c r="V76" s="204">
        <v>53000</v>
      </c>
      <c r="W76" s="204">
        <v>52305</v>
      </c>
      <c r="X76" s="441">
        <f t="shared" si="36"/>
        <v>0.98688679245283017</v>
      </c>
      <c r="Y76" s="439">
        <f t="shared" si="72"/>
        <v>574000</v>
      </c>
      <c r="Z76" s="439">
        <f t="shared" si="72"/>
        <v>404803</v>
      </c>
      <c r="AA76" s="439">
        <f t="shared" si="75"/>
        <v>0</v>
      </c>
      <c r="AB76" s="439">
        <f t="shared" si="76"/>
        <v>0</v>
      </c>
    </row>
    <row r="77" spans="1:28" ht="20.25" customHeight="1" x14ac:dyDescent="0.25">
      <c r="A77" s="231" t="s">
        <v>64</v>
      </c>
      <c r="B77" s="232" t="s">
        <v>460</v>
      </c>
      <c r="C77" s="233">
        <f>C78+C79+C80</f>
        <v>0</v>
      </c>
      <c r="D77" s="233">
        <f t="shared" ref="D77:F77" si="80">D78+D79+D80</f>
        <v>0</v>
      </c>
      <c r="E77" s="233">
        <f t="shared" si="80"/>
        <v>0</v>
      </c>
      <c r="F77" s="429">
        <f t="shared" si="80"/>
        <v>0</v>
      </c>
      <c r="G77" s="71"/>
      <c r="H77" s="72" t="s">
        <v>358</v>
      </c>
      <c r="I77" s="104">
        <f>SUM(I75:I76)</f>
        <v>594000</v>
      </c>
      <c r="J77" s="104">
        <f t="shared" ref="J77:K77" si="81">SUM(J75:J76)</f>
        <v>541000</v>
      </c>
      <c r="K77" s="104">
        <f t="shared" si="81"/>
        <v>352498</v>
      </c>
      <c r="L77" s="418">
        <f t="shared" si="39"/>
        <v>0.6515674676524954</v>
      </c>
      <c r="M77" s="231" t="s">
        <v>64</v>
      </c>
      <c r="N77" s="228" t="s">
        <v>460</v>
      </c>
      <c r="O77" s="381">
        <f>O78+O79+O80</f>
        <v>0</v>
      </c>
      <c r="P77" s="381">
        <f t="shared" ref="P77:R77" si="82">P78+P79+P80</f>
        <v>0</v>
      </c>
      <c r="Q77" s="381">
        <f t="shared" si="82"/>
        <v>0</v>
      </c>
      <c r="R77" s="443">
        <f t="shared" si="82"/>
        <v>0</v>
      </c>
      <c r="S77" s="71"/>
      <c r="T77" s="72" t="s">
        <v>358</v>
      </c>
      <c r="U77" s="204">
        <f>SUM(U75:U76)</f>
        <v>640000</v>
      </c>
      <c r="V77" s="204">
        <f t="shared" ref="V77:W77" si="83">SUM(V75:V76)</f>
        <v>693000</v>
      </c>
      <c r="W77" s="204">
        <f t="shared" si="83"/>
        <v>527526</v>
      </c>
      <c r="X77" s="441">
        <f t="shared" si="36"/>
        <v>0.76122077922077924</v>
      </c>
      <c r="Y77" s="439">
        <f t="shared" si="72"/>
        <v>1234000</v>
      </c>
      <c r="Z77" s="439">
        <f t="shared" si="72"/>
        <v>880024</v>
      </c>
      <c r="AA77" s="439">
        <f t="shared" si="75"/>
        <v>0</v>
      </c>
      <c r="AB77" s="439">
        <f t="shared" si="76"/>
        <v>0</v>
      </c>
    </row>
    <row r="78" spans="1:28" ht="30" x14ac:dyDescent="0.25">
      <c r="A78" s="85"/>
      <c r="B78" s="88" t="s">
        <v>461</v>
      </c>
      <c r="C78" s="101"/>
      <c r="D78" s="101"/>
      <c r="E78" s="101"/>
      <c r="F78" s="422"/>
      <c r="G78" s="71"/>
      <c r="H78" s="71" t="s">
        <v>360</v>
      </c>
      <c r="I78" s="204">
        <v>9290230</v>
      </c>
      <c r="J78" s="204">
        <v>7952400</v>
      </c>
      <c r="K78" s="204">
        <v>7771633</v>
      </c>
      <c r="L78" s="418">
        <f t="shared" si="39"/>
        <v>0.97726887480509028</v>
      </c>
      <c r="M78" s="85"/>
      <c r="N78" s="88" t="s">
        <v>461</v>
      </c>
      <c r="O78" s="386"/>
      <c r="P78" s="386"/>
      <c r="Q78" s="386"/>
      <c r="R78" s="445"/>
      <c r="S78" s="71"/>
      <c r="T78" s="71" t="s">
        <v>360</v>
      </c>
      <c r="U78" s="204">
        <v>6465300</v>
      </c>
      <c r="V78" s="204">
        <v>5465300</v>
      </c>
      <c r="W78" s="204">
        <v>4679165</v>
      </c>
      <c r="X78" s="441">
        <f t="shared" si="36"/>
        <v>0.85615885678736758</v>
      </c>
      <c r="Y78" s="439">
        <f t="shared" si="72"/>
        <v>13417700</v>
      </c>
      <c r="Z78" s="439">
        <f t="shared" si="72"/>
        <v>12450798</v>
      </c>
      <c r="AA78" s="439">
        <f t="shared" si="75"/>
        <v>0</v>
      </c>
      <c r="AB78" s="439">
        <f t="shared" si="76"/>
        <v>0</v>
      </c>
    </row>
    <row r="79" spans="1:28" ht="28.5" customHeight="1" x14ac:dyDescent="0.25">
      <c r="A79" s="85"/>
      <c r="B79" s="83" t="s">
        <v>462</v>
      </c>
      <c r="C79" s="101"/>
      <c r="D79" s="101"/>
      <c r="E79" s="101"/>
      <c r="F79" s="422"/>
      <c r="G79" s="71"/>
      <c r="H79" s="71" t="s">
        <v>361</v>
      </c>
      <c r="I79" s="204">
        <v>4787170</v>
      </c>
      <c r="J79" s="204">
        <v>6823000</v>
      </c>
      <c r="K79" s="204">
        <v>6823000</v>
      </c>
      <c r="L79" s="418">
        <f t="shared" si="39"/>
        <v>1</v>
      </c>
      <c r="M79" s="85"/>
      <c r="N79" s="83" t="s">
        <v>462</v>
      </c>
      <c r="O79" s="386"/>
      <c r="P79" s="386"/>
      <c r="Q79" s="386"/>
      <c r="R79" s="445"/>
      <c r="S79" s="71"/>
      <c r="T79" s="71" t="s">
        <v>587</v>
      </c>
      <c r="U79" s="204"/>
      <c r="V79" s="204"/>
      <c r="W79" s="204"/>
      <c r="X79" s="441"/>
      <c r="Y79" s="439">
        <f t="shared" si="72"/>
        <v>6823000</v>
      </c>
      <c r="Z79" s="439">
        <f t="shared" si="72"/>
        <v>6823000</v>
      </c>
      <c r="AA79" s="439">
        <f t="shared" si="75"/>
        <v>0</v>
      </c>
      <c r="AB79" s="439">
        <f t="shared" si="76"/>
        <v>0</v>
      </c>
    </row>
    <row r="80" spans="1:28" ht="19.5" customHeight="1" x14ac:dyDescent="0.25">
      <c r="A80" s="85"/>
      <c r="B80" s="88" t="s">
        <v>463</v>
      </c>
      <c r="C80" s="101"/>
      <c r="D80" s="101"/>
      <c r="E80" s="101"/>
      <c r="F80" s="422"/>
      <c r="G80" s="71"/>
      <c r="H80" s="71" t="s">
        <v>362</v>
      </c>
      <c r="I80" s="104"/>
      <c r="J80" s="104"/>
      <c r="K80" s="104"/>
      <c r="L80" s="418"/>
      <c r="M80" s="85"/>
      <c r="N80" s="88" t="s">
        <v>463</v>
      </c>
      <c r="O80" s="386"/>
      <c r="P80" s="386"/>
      <c r="Q80" s="386"/>
      <c r="R80" s="445"/>
      <c r="S80" s="71"/>
      <c r="T80" s="246" t="s">
        <v>362</v>
      </c>
      <c r="U80" s="293"/>
      <c r="V80" s="293"/>
      <c r="W80" s="293"/>
      <c r="X80" s="441"/>
      <c r="Y80" s="439">
        <f t="shared" si="72"/>
        <v>0</v>
      </c>
      <c r="Z80" s="439">
        <f t="shared" si="72"/>
        <v>0</v>
      </c>
      <c r="AA80" s="439">
        <f t="shared" si="75"/>
        <v>0</v>
      </c>
      <c r="AB80" s="439">
        <f t="shared" si="76"/>
        <v>0</v>
      </c>
    </row>
    <row r="81" spans="1:28" ht="19.5" customHeight="1" x14ac:dyDescent="0.25">
      <c r="A81" s="85"/>
      <c r="B81" s="88"/>
      <c r="C81" s="101"/>
      <c r="D81" s="101"/>
      <c r="E81" s="101"/>
      <c r="F81" s="422"/>
      <c r="G81" s="71"/>
      <c r="H81" s="71" t="s">
        <v>363</v>
      </c>
      <c r="I81" s="104"/>
      <c r="J81" s="104"/>
      <c r="K81" s="104"/>
      <c r="L81" s="418"/>
      <c r="M81" s="85"/>
      <c r="N81" s="88"/>
      <c r="O81" s="386"/>
      <c r="P81" s="386"/>
      <c r="Q81" s="386"/>
      <c r="R81" s="445"/>
      <c r="S81" s="71"/>
      <c r="T81" s="71" t="s">
        <v>363</v>
      </c>
      <c r="U81" s="293"/>
      <c r="V81" s="293"/>
      <c r="W81" s="293"/>
      <c r="X81" s="441"/>
      <c r="Y81" s="439">
        <f t="shared" si="72"/>
        <v>0</v>
      </c>
      <c r="Z81" s="439">
        <f t="shared" si="72"/>
        <v>0</v>
      </c>
      <c r="AA81" s="439">
        <f t="shared" si="75"/>
        <v>0</v>
      </c>
      <c r="AB81" s="439">
        <f t="shared" si="76"/>
        <v>0</v>
      </c>
    </row>
    <row r="82" spans="1:28" ht="30" x14ac:dyDescent="0.25">
      <c r="A82" s="85"/>
      <c r="B82" s="88"/>
      <c r="C82" s="99"/>
      <c r="D82" s="99"/>
      <c r="E82" s="99"/>
      <c r="F82" s="430"/>
      <c r="G82" s="71"/>
      <c r="H82" s="112" t="s">
        <v>608</v>
      </c>
      <c r="I82" s="105">
        <v>50000</v>
      </c>
      <c r="J82" s="105">
        <v>6000</v>
      </c>
      <c r="K82" s="105">
        <v>6000</v>
      </c>
      <c r="L82" s="418">
        <f t="shared" si="39"/>
        <v>1</v>
      </c>
      <c r="M82" s="85"/>
      <c r="N82" s="88"/>
      <c r="O82" s="386"/>
      <c r="P82" s="386"/>
      <c r="Q82" s="386"/>
      <c r="R82" s="445"/>
      <c r="S82" s="71"/>
      <c r="T82" s="112" t="s">
        <v>627</v>
      </c>
      <c r="U82" s="105">
        <f>40000+33000*4</f>
        <v>172000</v>
      </c>
      <c r="V82" s="105">
        <v>518000</v>
      </c>
      <c r="W82" s="105">
        <v>517830</v>
      </c>
      <c r="X82" s="441">
        <f t="shared" si="36"/>
        <v>0.99967181467181465</v>
      </c>
      <c r="Y82" s="439">
        <f t="shared" si="72"/>
        <v>524000</v>
      </c>
      <c r="Z82" s="439">
        <f t="shared" si="72"/>
        <v>523830</v>
      </c>
      <c r="AA82" s="439">
        <f t="shared" si="75"/>
        <v>0</v>
      </c>
      <c r="AB82" s="439">
        <f t="shared" si="76"/>
        <v>0</v>
      </c>
    </row>
    <row r="83" spans="1:28" ht="19.5" customHeight="1" x14ac:dyDescent="0.25">
      <c r="A83" s="85"/>
      <c r="B83" s="88"/>
      <c r="C83" s="99"/>
      <c r="D83" s="99"/>
      <c r="E83" s="99"/>
      <c r="F83" s="430"/>
      <c r="G83" s="71"/>
      <c r="H83" s="72" t="s">
        <v>359</v>
      </c>
      <c r="I83" s="105">
        <f>I78+I79+I80+I81+I82</f>
        <v>14127400</v>
      </c>
      <c r="J83" s="105">
        <f t="shared" ref="J83:K83" si="84">J78+J79+J80+J81+J82</f>
        <v>14781400</v>
      </c>
      <c r="K83" s="105">
        <f t="shared" si="84"/>
        <v>14600633</v>
      </c>
      <c r="L83" s="418">
        <f t="shared" si="39"/>
        <v>0.98777064418796601</v>
      </c>
      <c r="M83" s="85"/>
      <c r="N83" s="88"/>
      <c r="O83" s="386"/>
      <c r="P83" s="386"/>
      <c r="Q83" s="386"/>
      <c r="R83" s="445"/>
      <c r="S83" s="71"/>
      <c r="T83" s="72" t="s">
        <v>359</v>
      </c>
      <c r="U83" s="244">
        <f>U78+U79+U80+U81+U82</f>
        <v>6637300</v>
      </c>
      <c r="V83" s="244">
        <f t="shared" ref="V83" si="85">V78+V79+V80+V81+V82</f>
        <v>5983300</v>
      </c>
      <c r="W83" s="244">
        <f>W78+W79+W80+W81+W82</f>
        <v>5196995</v>
      </c>
      <c r="X83" s="441">
        <f t="shared" si="36"/>
        <v>0.86858339043671551</v>
      </c>
      <c r="Y83" s="439">
        <f t="shared" si="72"/>
        <v>20764700</v>
      </c>
      <c r="Z83" s="439">
        <f t="shared" si="72"/>
        <v>19797628</v>
      </c>
      <c r="AA83" s="439">
        <f t="shared" si="75"/>
        <v>0</v>
      </c>
      <c r="AB83" s="439">
        <f t="shared" si="76"/>
        <v>0</v>
      </c>
    </row>
    <row r="84" spans="1:28" ht="19.5" customHeight="1" x14ac:dyDescent="0.25">
      <c r="A84" s="85"/>
      <c r="B84" s="88"/>
      <c r="C84" s="99"/>
      <c r="D84" s="99"/>
      <c r="E84" s="99"/>
      <c r="F84" s="430"/>
      <c r="G84" s="231" t="s">
        <v>64</v>
      </c>
      <c r="H84" s="227" t="s">
        <v>365</v>
      </c>
      <c r="I84" s="228">
        <f>SUM(I85:I90)</f>
        <v>0</v>
      </c>
      <c r="J84" s="228">
        <f t="shared" ref="J84:L84" si="86">SUM(J85:J90)</f>
        <v>0</v>
      </c>
      <c r="K84" s="228">
        <f t="shared" si="86"/>
        <v>0</v>
      </c>
      <c r="L84" s="415">
        <f t="shared" si="86"/>
        <v>0</v>
      </c>
      <c r="M84" s="85"/>
      <c r="N84" s="88"/>
      <c r="O84" s="386"/>
      <c r="P84" s="386"/>
      <c r="Q84" s="386"/>
      <c r="R84" s="445"/>
      <c r="S84" s="227" t="s">
        <v>64</v>
      </c>
      <c r="T84" s="228" t="s">
        <v>365</v>
      </c>
      <c r="U84" s="290">
        <f>SUM(U85:U90)</f>
        <v>0</v>
      </c>
      <c r="V84" s="290">
        <f t="shared" ref="V84:X84" si="87">SUM(V85:V90)</f>
        <v>0</v>
      </c>
      <c r="W84" s="290">
        <f t="shared" si="87"/>
        <v>0</v>
      </c>
      <c r="X84" s="452">
        <f t="shared" si="87"/>
        <v>0</v>
      </c>
      <c r="Y84" s="439">
        <f t="shared" si="72"/>
        <v>0</v>
      </c>
      <c r="Z84" s="439">
        <f t="shared" si="72"/>
        <v>0</v>
      </c>
      <c r="AA84" s="439">
        <f t="shared" si="75"/>
        <v>0</v>
      </c>
      <c r="AB84" s="439">
        <f t="shared" si="76"/>
        <v>0</v>
      </c>
    </row>
    <row r="85" spans="1:28" ht="19.5" customHeight="1" x14ac:dyDescent="0.25">
      <c r="A85" s="85"/>
      <c r="B85" s="88"/>
      <c r="C85" s="99"/>
      <c r="D85" s="99"/>
      <c r="E85" s="99"/>
      <c r="F85" s="430"/>
      <c r="G85" s="71"/>
      <c r="H85" s="71" t="s">
        <v>366</v>
      </c>
      <c r="I85" s="100"/>
      <c r="J85" s="100"/>
      <c r="K85" s="100"/>
      <c r="L85" s="420"/>
      <c r="M85" s="85"/>
      <c r="N85" s="88"/>
      <c r="O85" s="386"/>
      <c r="P85" s="386"/>
      <c r="Q85" s="386"/>
      <c r="R85" s="445"/>
      <c r="S85" s="71"/>
      <c r="T85" s="71" t="s">
        <v>366</v>
      </c>
      <c r="U85" s="294"/>
      <c r="V85" s="294"/>
      <c r="W85" s="294"/>
      <c r="X85" s="455"/>
      <c r="Y85" s="439">
        <f t="shared" si="72"/>
        <v>0</v>
      </c>
      <c r="Z85" s="439">
        <f t="shared" si="72"/>
        <v>0</v>
      </c>
      <c r="AA85" s="439">
        <f t="shared" si="75"/>
        <v>0</v>
      </c>
      <c r="AB85" s="439">
        <f t="shared" si="76"/>
        <v>0</v>
      </c>
    </row>
    <row r="86" spans="1:28" ht="19.5" customHeight="1" x14ac:dyDescent="0.25">
      <c r="A86" s="85"/>
      <c r="B86" s="88"/>
      <c r="C86" s="99"/>
      <c r="D86" s="99"/>
      <c r="E86" s="99"/>
      <c r="F86" s="430"/>
      <c r="G86" s="71"/>
      <c r="H86" s="87" t="s">
        <v>367</v>
      </c>
      <c r="I86" s="100"/>
      <c r="J86" s="100"/>
      <c r="K86" s="100"/>
      <c r="L86" s="420"/>
      <c r="M86" s="85"/>
      <c r="N86" s="88"/>
      <c r="O86" s="386"/>
      <c r="P86" s="386"/>
      <c r="Q86" s="386"/>
      <c r="R86" s="445"/>
      <c r="S86" s="71"/>
      <c r="T86" s="87" t="s">
        <v>367</v>
      </c>
      <c r="U86" s="294"/>
      <c r="V86" s="294"/>
      <c r="W86" s="294"/>
      <c r="X86" s="455"/>
      <c r="Y86" s="439">
        <f t="shared" si="72"/>
        <v>0</v>
      </c>
      <c r="Z86" s="439">
        <f t="shared" si="72"/>
        <v>0</v>
      </c>
      <c r="AA86" s="439">
        <f t="shared" si="75"/>
        <v>0</v>
      </c>
      <c r="AB86" s="439">
        <f t="shared" si="76"/>
        <v>0</v>
      </c>
    </row>
    <row r="87" spans="1:28" ht="19.5" customHeight="1" x14ac:dyDescent="0.25">
      <c r="A87" s="85"/>
      <c r="B87" s="88"/>
      <c r="C87" s="99"/>
      <c r="D87" s="99"/>
      <c r="E87" s="99"/>
      <c r="F87" s="430"/>
      <c r="G87" s="71"/>
      <c r="H87" s="71" t="s">
        <v>368</v>
      </c>
      <c r="I87" s="100"/>
      <c r="J87" s="100"/>
      <c r="K87" s="100"/>
      <c r="L87" s="420"/>
      <c r="M87" s="85"/>
      <c r="N87" s="88"/>
      <c r="O87" s="386"/>
      <c r="P87" s="386"/>
      <c r="Q87" s="386"/>
      <c r="R87" s="445"/>
      <c r="S87" s="71"/>
      <c r="T87" s="71" t="s">
        <v>368</v>
      </c>
      <c r="U87" s="294"/>
      <c r="V87" s="294"/>
      <c r="W87" s="294"/>
      <c r="X87" s="455"/>
      <c r="Y87" s="439">
        <f t="shared" si="72"/>
        <v>0</v>
      </c>
      <c r="Z87" s="439">
        <f t="shared" si="72"/>
        <v>0</v>
      </c>
      <c r="AA87" s="439">
        <f t="shared" si="75"/>
        <v>0</v>
      </c>
      <c r="AB87" s="439">
        <f t="shared" si="76"/>
        <v>0</v>
      </c>
    </row>
    <row r="88" spans="1:28" ht="19.5" customHeight="1" x14ac:dyDescent="0.25">
      <c r="A88" s="85"/>
      <c r="B88" s="88"/>
      <c r="C88" s="99"/>
      <c r="D88" s="99"/>
      <c r="E88" s="99"/>
      <c r="F88" s="430"/>
      <c r="G88" s="71"/>
      <c r="H88" s="71" t="s">
        <v>369</v>
      </c>
      <c r="I88" s="100"/>
      <c r="J88" s="100"/>
      <c r="K88" s="100"/>
      <c r="L88" s="420"/>
      <c r="M88" s="85"/>
      <c r="N88" s="88"/>
      <c r="O88" s="386"/>
      <c r="P88" s="386"/>
      <c r="Q88" s="386"/>
      <c r="R88" s="445"/>
      <c r="S88" s="71"/>
      <c r="T88" s="71" t="s">
        <v>369</v>
      </c>
      <c r="U88" s="294"/>
      <c r="V88" s="294"/>
      <c r="W88" s="294"/>
      <c r="X88" s="455"/>
      <c r="Y88" s="439">
        <f t="shared" si="72"/>
        <v>0</v>
      </c>
      <c r="Z88" s="439">
        <f t="shared" si="72"/>
        <v>0</v>
      </c>
      <c r="AA88" s="439">
        <f t="shared" si="75"/>
        <v>0</v>
      </c>
      <c r="AB88" s="439">
        <f t="shared" si="76"/>
        <v>0</v>
      </c>
    </row>
    <row r="89" spans="1:28" ht="19.5" customHeight="1" x14ac:dyDescent="0.25">
      <c r="A89" s="85"/>
      <c r="B89" s="88"/>
      <c r="C89" s="99"/>
      <c r="D89" s="99"/>
      <c r="E89" s="99"/>
      <c r="F89" s="430"/>
      <c r="G89" s="71"/>
      <c r="H89" s="71" t="s">
        <v>370</v>
      </c>
      <c r="I89" s="100"/>
      <c r="J89" s="100"/>
      <c r="K89" s="100"/>
      <c r="L89" s="420"/>
      <c r="M89" s="85"/>
      <c r="N89" s="88"/>
      <c r="O89" s="386"/>
      <c r="P89" s="386"/>
      <c r="Q89" s="386"/>
      <c r="R89" s="445"/>
      <c r="S89" s="71"/>
      <c r="T89" s="71" t="s">
        <v>370</v>
      </c>
      <c r="U89" s="294"/>
      <c r="V89" s="294"/>
      <c r="W89" s="294"/>
      <c r="X89" s="455"/>
      <c r="Y89" s="439">
        <f t="shared" si="72"/>
        <v>0</v>
      </c>
      <c r="Z89" s="439">
        <f t="shared" si="72"/>
        <v>0</v>
      </c>
      <c r="AA89" s="439">
        <f t="shared" si="75"/>
        <v>0</v>
      </c>
      <c r="AB89" s="439">
        <f t="shared" si="76"/>
        <v>0</v>
      </c>
    </row>
    <row r="90" spans="1:28" ht="19.5" customHeight="1" x14ac:dyDescent="0.25">
      <c r="A90" s="85"/>
      <c r="B90" s="88"/>
      <c r="C90" s="99"/>
      <c r="D90" s="99"/>
      <c r="E90" s="99"/>
      <c r="F90" s="430"/>
      <c r="G90" s="71"/>
      <c r="H90" s="71" t="s">
        <v>371</v>
      </c>
      <c r="I90" s="100"/>
      <c r="J90" s="100"/>
      <c r="K90" s="100"/>
      <c r="L90" s="420"/>
      <c r="M90" s="85"/>
      <c r="N90" s="88"/>
      <c r="O90" s="386"/>
      <c r="P90" s="386"/>
      <c r="Q90" s="386"/>
      <c r="R90" s="445"/>
      <c r="S90" s="71"/>
      <c r="T90" s="71" t="s">
        <v>371</v>
      </c>
      <c r="U90" s="294"/>
      <c r="V90" s="294"/>
      <c r="W90" s="294"/>
      <c r="X90" s="455"/>
      <c r="Y90" s="439">
        <f t="shared" si="72"/>
        <v>0</v>
      </c>
      <c r="Z90" s="439">
        <f t="shared" si="72"/>
        <v>0</v>
      </c>
      <c r="AA90" s="439">
        <f t="shared" si="75"/>
        <v>0</v>
      </c>
      <c r="AB90" s="439">
        <f t="shared" si="76"/>
        <v>0</v>
      </c>
    </row>
    <row r="91" spans="1:28" ht="19.5" customHeight="1" x14ac:dyDescent="0.25">
      <c r="A91" s="85"/>
      <c r="B91" s="86"/>
      <c r="C91" s="99"/>
      <c r="D91" s="99"/>
      <c r="E91" s="99"/>
      <c r="F91" s="430"/>
      <c r="G91" s="231" t="s">
        <v>100</v>
      </c>
      <c r="H91" s="227" t="s">
        <v>499</v>
      </c>
      <c r="I91" s="228">
        <f>SUM(I92:I97)</f>
        <v>0</v>
      </c>
      <c r="J91" s="228">
        <f t="shared" ref="J91:L91" si="88">SUM(J92:J97)</f>
        <v>0</v>
      </c>
      <c r="K91" s="228">
        <f t="shared" si="88"/>
        <v>0</v>
      </c>
      <c r="L91" s="415">
        <f t="shared" si="88"/>
        <v>0</v>
      </c>
      <c r="M91" s="85"/>
      <c r="N91" s="86"/>
      <c r="O91" s="386"/>
      <c r="P91" s="386"/>
      <c r="Q91" s="386"/>
      <c r="R91" s="445"/>
      <c r="S91" s="227" t="s">
        <v>100</v>
      </c>
      <c r="T91" s="228" t="s">
        <v>499</v>
      </c>
      <c r="U91" s="290">
        <f>SUM(U92:U97)</f>
        <v>0</v>
      </c>
      <c r="V91" s="290">
        <f t="shared" ref="V91:X91" si="89">SUM(V92:V97)</f>
        <v>0</v>
      </c>
      <c r="W91" s="290">
        <f t="shared" si="89"/>
        <v>0</v>
      </c>
      <c r="X91" s="452">
        <f t="shared" si="89"/>
        <v>0</v>
      </c>
      <c r="Y91" s="439">
        <f t="shared" si="72"/>
        <v>0</v>
      </c>
      <c r="Z91" s="439">
        <f t="shared" si="72"/>
        <v>0</v>
      </c>
      <c r="AA91" s="439">
        <f t="shared" si="75"/>
        <v>0</v>
      </c>
      <c r="AB91" s="439">
        <f t="shared" si="76"/>
        <v>0</v>
      </c>
    </row>
    <row r="92" spans="1:28" ht="21.75" customHeight="1" x14ac:dyDescent="0.25">
      <c r="A92" s="85"/>
      <c r="B92" s="88"/>
      <c r="C92" s="99"/>
      <c r="D92" s="99"/>
      <c r="E92" s="99"/>
      <c r="F92" s="430"/>
      <c r="G92" s="71"/>
      <c r="H92" s="71" t="s">
        <v>372</v>
      </c>
      <c r="I92" s="105" t="s">
        <v>253</v>
      </c>
      <c r="J92" s="105"/>
      <c r="K92" s="105"/>
      <c r="L92" s="417"/>
      <c r="M92" s="85"/>
      <c r="N92" s="88"/>
      <c r="O92" s="386"/>
      <c r="P92" s="386"/>
      <c r="Q92" s="386"/>
      <c r="R92" s="445"/>
      <c r="S92" s="71"/>
      <c r="T92" s="71" t="s">
        <v>372</v>
      </c>
      <c r="U92" s="244" t="s">
        <v>253</v>
      </c>
      <c r="V92" s="244"/>
      <c r="W92" s="244"/>
      <c r="X92" s="454"/>
      <c r="Y92" s="439">
        <f t="shared" si="72"/>
        <v>0</v>
      </c>
      <c r="Z92" s="439">
        <f t="shared" si="72"/>
        <v>0</v>
      </c>
      <c r="AA92" s="439">
        <f t="shared" si="75"/>
        <v>0</v>
      </c>
      <c r="AB92" s="439">
        <f t="shared" si="76"/>
        <v>0</v>
      </c>
    </row>
    <row r="93" spans="1:28" ht="21.75" customHeight="1" x14ac:dyDescent="0.25">
      <c r="A93" s="85"/>
      <c r="B93" s="83"/>
      <c r="C93" s="99"/>
      <c r="D93" s="99"/>
      <c r="E93" s="99"/>
      <c r="F93" s="430"/>
      <c r="G93" s="71"/>
      <c r="H93" s="71" t="s">
        <v>373</v>
      </c>
      <c r="I93" s="100"/>
      <c r="J93" s="100"/>
      <c r="K93" s="100"/>
      <c r="L93" s="420"/>
      <c r="M93" s="85"/>
      <c r="N93" s="83"/>
      <c r="O93" s="386"/>
      <c r="P93" s="386"/>
      <c r="Q93" s="386"/>
      <c r="R93" s="445"/>
      <c r="S93" s="71"/>
      <c r="T93" s="71" t="s">
        <v>373</v>
      </c>
      <c r="U93" s="294"/>
      <c r="V93" s="294"/>
      <c r="W93" s="294"/>
      <c r="X93" s="455"/>
      <c r="Y93" s="439">
        <f t="shared" si="72"/>
        <v>0</v>
      </c>
      <c r="Z93" s="439">
        <f t="shared" si="72"/>
        <v>0</v>
      </c>
      <c r="AA93" s="439">
        <f t="shared" si="75"/>
        <v>0</v>
      </c>
      <c r="AB93" s="439">
        <f t="shared" si="76"/>
        <v>0</v>
      </c>
    </row>
    <row r="94" spans="1:28" ht="19.5" customHeight="1" x14ac:dyDescent="0.25">
      <c r="A94" s="85"/>
      <c r="B94" s="88"/>
      <c r="C94" s="99"/>
      <c r="D94" s="99"/>
      <c r="E94" s="99"/>
      <c r="F94" s="430"/>
      <c r="G94" s="71"/>
      <c r="H94" s="71" t="s">
        <v>374</v>
      </c>
      <c r="I94" s="100"/>
      <c r="J94" s="100"/>
      <c r="K94" s="100"/>
      <c r="L94" s="420"/>
      <c r="M94" s="85"/>
      <c r="N94" s="88"/>
      <c r="O94" s="386"/>
      <c r="P94" s="386"/>
      <c r="Q94" s="386"/>
      <c r="R94" s="445"/>
      <c r="S94" s="71"/>
      <c r="T94" s="71" t="s">
        <v>374</v>
      </c>
      <c r="U94" s="294"/>
      <c r="V94" s="294"/>
      <c r="W94" s="294"/>
      <c r="X94" s="455"/>
      <c r="Y94" s="439">
        <f t="shared" si="72"/>
        <v>0</v>
      </c>
      <c r="Z94" s="439">
        <f t="shared" si="72"/>
        <v>0</v>
      </c>
      <c r="AA94" s="439">
        <f t="shared" si="75"/>
        <v>0</v>
      </c>
      <c r="AB94" s="439">
        <f t="shared" si="76"/>
        <v>0</v>
      </c>
    </row>
    <row r="95" spans="1:28" ht="19.5" customHeight="1" x14ac:dyDescent="0.25">
      <c r="A95" s="85"/>
      <c r="B95" s="88"/>
      <c r="C95" s="99"/>
      <c r="D95" s="99"/>
      <c r="E95" s="99"/>
      <c r="F95" s="430"/>
      <c r="G95" s="71"/>
      <c r="H95" s="71" t="s">
        <v>375</v>
      </c>
      <c r="I95" s="100"/>
      <c r="J95" s="100"/>
      <c r="K95" s="100"/>
      <c r="L95" s="420"/>
      <c r="M95" s="85"/>
      <c r="N95" s="88"/>
      <c r="O95" s="386"/>
      <c r="P95" s="386"/>
      <c r="Q95" s="386"/>
      <c r="R95" s="445"/>
      <c r="S95" s="71"/>
      <c r="T95" s="71" t="s">
        <v>375</v>
      </c>
      <c r="U95" s="294"/>
      <c r="V95" s="294"/>
      <c r="W95" s="294"/>
      <c r="X95" s="455"/>
      <c r="Y95" s="439">
        <f t="shared" si="72"/>
        <v>0</v>
      </c>
      <c r="Z95" s="439">
        <f t="shared" si="72"/>
        <v>0</v>
      </c>
      <c r="AA95" s="439">
        <f t="shared" si="75"/>
        <v>0</v>
      </c>
      <c r="AB95" s="439">
        <f t="shared" si="76"/>
        <v>0</v>
      </c>
    </row>
    <row r="96" spans="1:28" ht="19.5" customHeight="1" x14ac:dyDescent="0.25">
      <c r="A96" s="85"/>
      <c r="B96" s="88"/>
      <c r="C96" s="99"/>
      <c r="D96" s="99"/>
      <c r="E96" s="99"/>
      <c r="F96" s="430"/>
      <c r="G96" s="71"/>
      <c r="H96" s="71" t="s">
        <v>656</v>
      </c>
      <c r="I96" s="100"/>
      <c r="J96" s="100"/>
      <c r="K96" s="100"/>
      <c r="L96" s="420"/>
      <c r="M96" s="85"/>
      <c r="N96" s="88"/>
      <c r="O96" s="386"/>
      <c r="P96" s="386"/>
      <c r="Q96" s="386"/>
      <c r="R96" s="445"/>
      <c r="S96" s="71"/>
      <c r="T96" s="71" t="s">
        <v>656</v>
      </c>
      <c r="U96" s="294"/>
      <c r="V96" s="294"/>
      <c r="W96" s="294"/>
      <c r="X96" s="455"/>
      <c r="Y96" s="439">
        <f t="shared" si="72"/>
        <v>0</v>
      </c>
      <c r="Z96" s="439">
        <f t="shared" si="72"/>
        <v>0</v>
      </c>
      <c r="AA96" s="439">
        <f t="shared" si="75"/>
        <v>0</v>
      </c>
      <c r="AB96" s="439">
        <f t="shared" si="76"/>
        <v>0</v>
      </c>
    </row>
    <row r="97" spans="1:28" ht="20.25" customHeight="1" x14ac:dyDescent="0.25">
      <c r="A97" s="85"/>
      <c r="B97" s="88"/>
      <c r="C97" s="99"/>
      <c r="D97" s="99"/>
      <c r="E97" s="99"/>
      <c r="F97" s="430"/>
      <c r="G97" s="71"/>
      <c r="H97" s="71" t="s">
        <v>665</v>
      </c>
      <c r="I97" s="100"/>
      <c r="J97" s="100"/>
      <c r="K97" s="100"/>
      <c r="L97" s="420"/>
      <c r="M97" s="85"/>
      <c r="N97" s="88"/>
      <c r="O97" s="386"/>
      <c r="P97" s="386"/>
      <c r="Q97" s="386"/>
      <c r="R97" s="445"/>
      <c r="S97" s="71"/>
      <c r="T97" s="71" t="s">
        <v>665</v>
      </c>
      <c r="U97" s="294"/>
      <c r="V97" s="294"/>
      <c r="W97" s="294"/>
      <c r="X97" s="455"/>
      <c r="Y97" s="439">
        <f t="shared" si="72"/>
        <v>0</v>
      </c>
      <c r="Z97" s="439">
        <f t="shared" si="72"/>
        <v>0</v>
      </c>
      <c r="AA97" s="439">
        <f t="shared" si="75"/>
        <v>0</v>
      </c>
      <c r="AB97" s="439">
        <f t="shared" si="76"/>
        <v>0</v>
      </c>
    </row>
    <row r="98" spans="1:28" ht="20.25" customHeight="1" x14ac:dyDescent="0.25">
      <c r="A98" s="306"/>
      <c r="B98" s="307" t="s">
        <v>192</v>
      </c>
      <c r="C98" s="308">
        <f>C99+C105+C111</f>
        <v>0</v>
      </c>
      <c r="D98" s="308">
        <f t="shared" ref="D98:F98" si="90">D99+D105+D111</f>
        <v>0</v>
      </c>
      <c r="E98" s="308">
        <f t="shared" si="90"/>
        <v>0</v>
      </c>
      <c r="F98" s="414">
        <f t="shared" si="90"/>
        <v>0</v>
      </c>
      <c r="G98" s="306"/>
      <c r="H98" s="307" t="s">
        <v>200</v>
      </c>
      <c r="I98" s="308">
        <f>I99+I107+I112</f>
        <v>5166380</v>
      </c>
      <c r="J98" s="308">
        <f t="shared" ref="J98:K98" si="91">J99+J107+J112</f>
        <v>5166379.7480314961</v>
      </c>
      <c r="K98" s="308">
        <f t="shared" si="91"/>
        <v>2529896</v>
      </c>
      <c r="L98" s="414">
        <f>+K98/J98</f>
        <v>0.48968448379427504</v>
      </c>
      <c r="M98" s="316"/>
      <c r="N98" s="308" t="s">
        <v>192</v>
      </c>
      <c r="O98" s="388">
        <f>O99+O105+O111</f>
        <v>0</v>
      </c>
      <c r="P98" s="388">
        <f t="shared" ref="P98:R98" si="92">P99+P105+P111</f>
        <v>0</v>
      </c>
      <c r="Q98" s="388">
        <f t="shared" si="92"/>
        <v>0</v>
      </c>
      <c r="R98" s="442">
        <f t="shared" si="92"/>
        <v>0</v>
      </c>
      <c r="S98" s="307"/>
      <c r="T98" s="308" t="s">
        <v>200</v>
      </c>
      <c r="U98" s="389">
        <f>U99+U107+U112</f>
        <v>20622260</v>
      </c>
      <c r="V98" s="389">
        <f t="shared" ref="V98:W98" si="93">V99+V107+V112</f>
        <v>4407260</v>
      </c>
      <c r="W98" s="389">
        <f t="shared" si="93"/>
        <v>397373</v>
      </c>
      <c r="X98" s="442">
        <f>+W98/V98</f>
        <v>9.0163276049064503E-2</v>
      </c>
      <c r="Y98" s="439">
        <f t="shared" ref="Y98:Z106" si="94">+J98+V98</f>
        <v>9573639.748031497</v>
      </c>
      <c r="Z98" s="439">
        <f t="shared" si="94"/>
        <v>2927269</v>
      </c>
      <c r="AA98" s="439">
        <f t="shared" si="75"/>
        <v>0</v>
      </c>
      <c r="AB98" s="439">
        <f t="shared" si="76"/>
        <v>0</v>
      </c>
    </row>
    <row r="99" spans="1:28" ht="20.25" customHeight="1" x14ac:dyDescent="0.25">
      <c r="A99" s="231" t="s">
        <v>100</v>
      </c>
      <c r="B99" s="232" t="s">
        <v>414</v>
      </c>
      <c r="C99" s="233">
        <f>SUM(C100:C104)</f>
        <v>0</v>
      </c>
      <c r="D99" s="233">
        <f t="shared" ref="D99:F99" si="95">SUM(D100:D104)</f>
        <v>0</v>
      </c>
      <c r="E99" s="233">
        <f t="shared" si="95"/>
        <v>0</v>
      </c>
      <c r="F99" s="429">
        <f t="shared" si="95"/>
        <v>0</v>
      </c>
      <c r="G99" s="231" t="s">
        <v>181</v>
      </c>
      <c r="H99" s="227" t="s">
        <v>379</v>
      </c>
      <c r="I99" s="228">
        <f>SUM(I100:I106)</f>
        <v>5166380</v>
      </c>
      <c r="J99" s="228">
        <f t="shared" ref="J99:K99" si="96">SUM(J100:J106)</f>
        <v>5166379.7480314961</v>
      </c>
      <c r="K99" s="228">
        <f t="shared" si="96"/>
        <v>2529896</v>
      </c>
      <c r="L99" s="415">
        <f>+K99/J99</f>
        <v>0.48968448379427504</v>
      </c>
      <c r="M99" s="231" t="s">
        <v>100</v>
      </c>
      <c r="N99" s="228" t="s">
        <v>414</v>
      </c>
      <c r="O99" s="381">
        <f>SUM(O100:O104)</f>
        <v>0</v>
      </c>
      <c r="P99" s="381">
        <f t="shared" ref="P99:R99" si="97">SUM(P100:P104)</f>
        <v>0</v>
      </c>
      <c r="Q99" s="381">
        <f t="shared" si="97"/>
        <v>0</v>
      </c>
      <c r="R99" s="443">
        <f t="shared" si="97"/>
        <v>0</v>
      </c>
      <c r="S99" s="227" t="s">
        <v>181</v>
      </c>
      <c r="T99" s="228" t="s">
        <v>379</v>
      </c>
      <c r="U99" s="290">
        <f>SUM(U100:U106)</f>
        <v>20622260</v>
      </c>
      <c r="V99" s="290">
        <f t="shared" ref="V99:W99" si="98">SUM(V100:V106)</f>
        <v>4407260</v>
      </c>
      <c r="W99" s="290">
        <f t="shared" si="98"/>
        <v>397373</v>
      </c>
      <c r="X99" s="452">
        <f>+W99/V99</f>
        <v>9.0163276049064503E-2</v>
      </c>
      <c r="Y99" s="439">
        <f t="shared" si="94"/>
        <v>9573639.748031497</v>
      </c>
      <c r="Z99" s="439">
        <f t="shared" si="94"/>
        <v>2927269</v>
      </c>
      <c r="AA99" s="439">
        <f t="shared" si="75"/>
        <v>0</v>
      </c>
      <c r="AB99" s="439">
        <f t="shared" si="76"/>
        <v>0</v>
      </c>
    </row>
    <row r="100" spans="1:28" ht="20.25" customHeight="1" x14ac:dyDescent="0.25">
      <c r="A100" s="85"/>
      <c r="B100" s="83" t="s">
        <v>415</v>
      </c>
      <c r="C100" s="101"/>
      <c r="D100" s="101"/>
      <c r="E100" s="101"/>
      <c r="F100" s="422"/>
      <c r="G100" s="85"/>
      <c r="H100" s="91" t="s">
        <v>377</v>
      </c>
      <c r="I100" s="95"/>
      <c r="J100" s="95"/>
      <c r="K100" s="95"/>
      <c r="L100" s="416"/>
      <c r="M100" s="85"/>
      <c r="N100" s="83" t="s">
        <v>415</v>
      </c>
      <c r="O100" s="386"/>
      <c r="P100" s="386"/>
      <c r="Q100" s="386"/>
      <c r="R100" s="445"/>
      <c r="S100" s="85"/>
      <c r="T100" s="91" t="s">
        <v>377</v>
      </c>
      <c r="U100" s="291"/>
      <c r="V100" s="291"/>
      <c r="W100" s="291"/>
      <c r="X100" s="453"/>
      <c r="Y100" s="439">
        <f t="shared" si="94"/>
        <v>0</v>
      </c>
      <c r="Z100" s="439">
        <f t="shared" si="94"/>
        <v>0</v>
      </c>
      <c r="AA100" s="439">
        <f t="shared" si="75"/>
        <v>0</v>
      </c>
      <c r="AB100" s="439">
        <f t="shared" si="76"/>
        <v>0</v>
      </c>
    </row>
    <row r="101" spans="1:28" ht="29.25" customHeight="1" x14ac:dyDescent="0.25">
      <c r="A101" s="85"/>
      <c r="B101" s="83" t="s">
        <v>416</v>
      </c>
      <c r="C101" s="101"/>
      <c r="D101" s="101"/>
      <c r="E101" s="101"/>
      <c r="F101" s="422"/>
      <c r="G101" s="85"/>
      <c r="H101" s="91" t="s">
        <v>378</v>
      </c>
      <c r="I101" s="95"/>
      <c r="J101" s="95"/>
      <c r="K101" s="95"/>
      <c r="L101" s="416"/>
      <c r="M101" s="85"/>
      <c r="N101" s="83" t="s">
        <v>416</v>
      </c>
      <c r="O101" s="386"/>
      <c r="P101" s="386"/>
      <c r="Q101" s="386"/>
      <c r="R101" s="445"/>
      <c r="S101" s="85"/>
      <c r="T101" s="91" t="s">
        <v>378</v>
      </c>
      <c r="U101" s="291"/>
      <c r="V101" s="291"/>
      <c r="W101" s="291"/>
      <c r="X101" s="453"/>
      <c r="Y101" s="439">
        <f t="shared" si="94"/>
        <v>0</v>
      </c>
      <c r="Z101" s="439">
        <f t="shared" si="94"/>
        <v>0</v>
      </c>
      <c r="AA101" s="439">
        <f t="shared" si="75"/>
        <v>0</v>
      </c>
      <c r="AB101" s="439">
        <f t="shared" si="76"/>
        <v>0</v>
      </c>
    </row>
    <row r="102" spans="1:28" ht="29.25" customHeight="1" x14ac:dyDescent="0.25">
      <c r="A102" s="85"/>
      <c r="B102" s="83" t="s">
        <v>417</v>
      </c>
      <c r="C102" s="101"/>
      <c r="D102" s="101"/>
      <c r="E102" s="101"/>
      <c r="F102" s="422"/>
      <c r="G102" s="71"/>
      <c r="H102" s="71" t="s">
        <v>786</v>
      </c>
      <c r="I102" s="98">
        <v>34000</v>
      </c>
      <c r="J102" s="98">
        <v>34000</v>
      </c>
      <c r="K102" s="98">
        <v>33600</v>
      </c>
      <c r="L102" s="421">
        <f>+K102/J102</f>
        <v>0.9882352941176471</v>
      </c>
      <c r="M102" s="85"/>
      <c r="N102" s="83" t="s">
        <v>417</v>
      </c>
      <c r="O102" s="386"/>
      <c r="P102" s="386"/>
      <c r="Q102" s="386"/>
      <c r="R102" s="445"/>
      <c r="S102" s="71"/>
      <c r="T102" s="71" t="s">
        <v>638</v>
      </c>
      <c r="U102" s="295"/>
      <c r="V102" s="295">
        <v>35000</v>
      </c>
      <c r="W102" s="295">
        <v>34900</v>
      </c>
      <c r="X102" s="456">
        <f>+W102/V102</f>
        <v>0.99714285714285711</v>
      </c>
      <c r="Y102" s="439">
        <f t="shared" si="94"/>
        <v>69000</v>
      </c>
      <c r="Z102" s="439">
        <f t="shared" si="94"/>
        <v>68500</v>
      </c>
      <c r="AA102" s="439">
        <f t="shared" si="75"/>
        <v>0</v>
      </c>
      <c r="AB102" s="439">
        <f t="shared" si="76"/>
        <v>0</v>
      </c>
    </row>
    <row r="103" spans="1:28" ht="29.25" customHeight="1" x14ac:dyDescent="0.25">
      <c r="A103" s="85"/>
      <c r="B103" s="83" t="s">
        <v>418</v>
      </c>
      <c r="C103" s="101"/>
      <c r="D103" s="101"/>
      <c r="E103" s="101"/>
      <c r="F103" s="422"/>
      <c r="G103" s="71"/>
      <c r="H103" s="249" t="s">
        <v>1125</v>
      </c>
      <c r="I103" s="98">
        <f>(4285000/127%)+570000+45000*2</f>
        <v>4034015.7480314961</v>
      </c>
      <c r="J103" s="98">
        <f t="shared" ref="J103" si="99">(4285000/127%)+570000+45000*2</f>
        <v>4034015.7480314961</v>
      </c>
      <c r="K103" s="98">
        <v>1958444</v>
      </c>
      <c r="L103" s="421">
        <f t="shared" ref="L103:L106" si="100">+K103/J103</f>
        <v>0.48548248750780759</v>
      </c>
      <c r="M103" s="85"/>
      <c r="N103" s="83" t="s">
        <v>418</v>
      </c>
      <c r="O103" s="386"/>
      <c r="P103" s="386"/>
      <c r="Q103" s="386"/>
      <c r="R103" s="445"/>
      <c r="S103" s="71"/>
      <c r="T103" s="71" t="s">
        <v>798</v>
      </c>
      <c r="U103" s="295">
        <f>11948000+4200000+45000*2</f>
        <v>16238000</v>
      </c>
      <c r="V103" s="295">
        <v>3435000</v>
      </c>
      <c r="W103" s="295">
        <v>277992</v>
      </c>
      <c r="X103" s="456">
        <f>+W103/V103</f>
        <v>8.0929257641921395E-2</v>
      </c>
      <c r="Y103" s="439">
        <f t="shared" si="94"/>
        <v>7469015.7480314961</v>
      </c>
      <c r="Z103" s="439">
        <f t="shared" si="94"/>
        <v>2236436</v>
      </c>
      <c r="AA103" s="439">
        <f t="shared" si="75"/>
        <v>0</v>
      </c>
      <c r="AB103" s="439">
        <f t="shared" si="76"/>
        <v>0</v>
      </c>
    </row>
    <row r="104" spans="1:28" ht="21" customHeight="1" x14ac:dyDescent="0.25">
      <c r="A104" s="85"/>
      <c r="B104" s="83" t="s">
        <v>419</v>
      </c>
      <c r="C104" s="101"/>
      <c r="D104" s="101"/>
      <c r="E104" s="101"/>
      <c r="F104" s="422"/>
      <c r="G104" s="71"/>
      <c r="H104" s="71" t="s">
        <v>381</v>
      </c>
      <c r="I104" s="98"/>
      <c r="J104" s="98"/>
      <c r="K104" s="98"/>
      <c r="L104" s="421"/>
      <c r="M104" s="85"/>
      <c r="N104" s="83" t="s">
        <v>419</v>
      </c>
      <c r="O104" s="386"/>
      <c r="P104" s="386"/>
      <c r="Q104" s="386"/>
      <c r="R104" s="445"/>
      <c r="S104" s="71"/>
      <c r="T104" s="71" t="s">
        <v>381</v>
      </c>
      <c r="U104" s="295"/>
      <c r="V104" s="295"/>
      <c r="W104" s="295"/>
      <c r="X104" s="456"/>
      <c r="Y104" s="439">
        <f t="shared" si="94"/>
        <v>0</v>
      </c>
      <c r="Z104" s="439">
        <f t="shared" si="94"/>
        <v>0</v>
      </c>
      <c r="AA104" s="439">
        <f t="shared" si="75"/>
        <v>0</v>
      </c>
      <c r="AB104" s="439">
        <f t="shared" si="76"/>
        <v>0</v>
      </c>
    </row>
    <row r="105" spans="1:28" ht="20.25" customHeight="1" x14ac:dyDescent="0.25">
      <c r="A105" s="231" t="s">
        <v>181</v>
      </c>
      <c r="B105" s="232" t="s">
        <v>420</v>
      </c>
      <c r="C105" s="233">
        <f>SUM(C106:C110)</f>
        <v>0</v>
      </c>
      <c r="D105" s="233">
        <f t="shared" ref="D105:F105" si="101">SUM(D106:D110)</f>
        <v>0</v>
      </c>
      <c r="E105" s="233">
        <f t="shared" si="101"/>
        <v>0</v>
      </c>
      <c r="F105" s="429">
        <f t="shared" si="101"/>
        <v>0</v>
      </c>
      <c r="G105" s="71"/>
      <c r="H105" s="71" t="s">
        <v>382</v>
      </c>
      <c r="I105" s="98"/>
      <c r="J105" s="98"/>
      <c r="K105" s="98"/>
      <c r="L105" s="421"/>
      <c r="M105" s="231" t="s">
        <v>181</v>
      </c>
      <c r="N105" s="228" t="s">
        <v>420</v>
      </c>
      <c r="O105" s="381">
        <f>SUM(O106:O110)</f>
        <v>0</v>
      </c>
      <c r="P105" s="381">
        <f t="shared" ref="P105:R105" si="102">SUM(P106:P110)</f>
        <v>0</v>
      </c>
      <c r="Q105" s="381">
        <f t="shared" si="102"/>
        <v>0</v>
      </c>
      <c r="R105" s="443">
        <f t="shared" si="102"/>
        <v>0</v>
      </c>
      <c r="S105" s="71"/>
      <c r="T105" s="71" t="s">
        <v>382</v>
      </c>
      <c r="U105" s="295"/>
      <c r="V105" s="295"/>
      <c r="W105" s="295"/>
      <c r="X105" s="456"/>
      <c r="Y105" s="439">
        <f t="shared" si="94"/>
        <v>0</v>
      </c>
      <c r="Z105" s="439">
        <f t="shared" si="94"/>
        <v>0</v>
      </c>
      <c r="AA105" s="439">
        <f t="shared" si="75"/>
        <v>0</v>
      </c>
      <c r="AB105" s="439">
        <f t="shared" si="76"/>
        <v>0</v>
      </c>
    </row>
    <row r="106" spans="1:28" ht="20.25" customHeight="1" x14ac:dyDescent="0.25">
      <c r="A106" s="85"/>
      <c r="B106" s="88" t="s">
        <v>421</v>
      </c>
      <c r="C106" s="101"/>
      <c r="D106" s="101"/>
      <c r="E106" s="101"/>
      <c r="F106" s="422"/>
      <c r="G106" s="71"/>
      <c r="H106" s="71" t="s">
        <v>383</v>
      </c>
      <c r="I106" s="98">
        <f>(I102+I103)*27%</f>
        <v>1098364.2519685039</v>
      </c>
      <c r="J106" s="98">
        <v>1098364</v>
      </c>
      <c r="K106" s="98">
        <f>528780+9072</f>
        <v>537852</v>
      </c>
      <c r="L106" s="421">
        <f t="shared" si="100"/>
        <v>0.48968465827357777</v>
      </c>
      <c r="M106" s="85"/>
      <c r="N106" s="88" t="s">
        <v>421</v>
      </c>
      <c r="O106" s="386"/>
      <c r="P106" s="386"/>
      <c r="Q106" s="386"/>
      <c r="R106" s="445"/>
      <c r="S106" s="71"/>
      <c r="T106" s="71" t="s">
        <v>383</v>
      </c>
      <c r="U106" s="98">
        <f>(U102+U103)*0.27</f>
        <v>4384260</v>
      </c>
      <c r="V106" s="98">
        <v>937260</v>
      </c>
      <c r="W106" s="98">
        <f>32460+52021</f>
        <v>84481</v>
      </c>
      <c r="X106" s="456">
        <f t="shared" ref="X106" si="103">+W106/V106</f>
        <v>9.0136141518895499E-2</v>
      </c>
      <c r="Y106" s="439">
        <f t="shared" si="94"/>
        <v>2035624</v>
      </c>
      <c r="Z106" s="439">
        <f t="shared" si="94"/>
        <v>622333</v>
      </c>
      <c r="AA106" s="439">
        <f t="shared" si="75"/>
        <v>0</v>
      </c>
      <c r="AB106" s="439">
        <f t="shared" si="76"/>
        <v>0</v>
      </c>
    </row>
    <row r="107" spans="1:28" ht="20.25" customHeight="1" x14ac:dyDescent="0.25">
      <c r="A107" s="85"/>
      <c r="B107" s="88" t="s">
        <v>422</v>
      </c>
      <c r="C107" s="101"/>
      <c r="D107" s="101"/>
      <c r="E107" s="101"/>
      <c r="F107" s="422"/>
      <c r="G107" s="231" t="s">
        <v>191</v>
      </c>
      <c r="H107" s="227" t="s">
        <v>384</v>
      </c>
      <c r="I107" s="228">
        <f>SUM(I108:I111)</f>
        <v>0</v>
      </c>
      <c r="J107" s="228">
        <f t="shared" ref="J107:L107" si="104">SUM(J108:J111)</f>
        <v>0</v>
      </c>
      <c r="K107" s="228">
        <f t="shared" si="104"/>
        <v>0</v>
      </c>
      <c r="L107" s="415">
        <f t="shared" si="104"/>
        <v>0</v>
      </c>
      <c r="M107" s="85"/>
      <c r="N107" s="88" t="s">
        <v>422</v>
      </c>
      <c r="O107" s="386"/>
      <c r="P107" s="386"/>
      <c r="Q107" s="386"/>
      <c r="R107" s="445"/>
      <c r="S107" s="227" t="s">
        <v>191</v>
      </c>
      <c r="T107" s="228" t="s">
        <v>384</v>
      </c>
      <c r="U107" s="290">
        <f>SUM(U108:U111)</f>
        <v>0</v>
      </c>
      <c r="V107" s="290">
        <f t="shared" ref="V107:X107" si="105">SUM(V108:V111)</f>
        <v>0</v>
      </c>
      <c r="W107" s="290">
        <f t="shared" si="105"/>
        <v>0</v>
      </c>
      <c r="X107" s="452">
        <f t="shared" si="105"/>
        <v>0</v>
      </c>
      <c r="Y107" s="439">
        <f t="shared" ref="Y107:Y137" si="106">+J107+V107</f>
        <v>0</v>
      </c>
      <c r="Z107" s="439">
        <f t="shared" ref="Z107:Z137" si="107">+K107+W107</f>
        <v>0</v>
      </c>
      <c r="AA107" s="439">
        <f t="shared" si="75"/>
        <v>0</v>
      </c>
      <c r="AB107" s="439">
        <f t="shared" si="76"/>
        <v>0</v>
      </c>
    </row>
    <row r="108" spans="1:28" ht="20.25" customHeight="1" x14ac:dyDescent="0.25">
      <c r="A108" s="85"/>
      <c r="B108" s="88" t="s">
        <v>423</v>
      </c>
      <c r="C108" s="101"/>
      <c r="D108" s="101"/>
      <c r="E108" s="101"/>
      <c r="F108" s="422"/>
      <c r="G108" s="71"/>
      <c r="H108" s="71" t="s">
        <v>385</v>
      </c>
      <c r="I108" s="98"/>
      <c r="J108" s="98"/>
      <c r="K108" s="98"/>
      <c r="L108" s="421"/>
      <c r="M108" s="85"/>
      <c r="N108" s="88" t="s">
        <v>423</v>
      </c>
      <c r="O108" s="386"/>
      <c r="P108" s="386"/>
      <c r="Q108" s="386"/>
      <c r="R108" s="445"/>
      <c r="S108" s="71"/>
      <c r="T108" s="71" t="s">
        <v>385</v>
      </c>
      <c r="U108" s="295"/>
      <c r="V108" s="295"/>
      <c r="W108" s="295"/>
      <c r="X108" s="456"/>
      <c r="Y108" s="439">
        <f t="shared" si="106"/>
        <v>0</v>
      </c>
      <c r="Z108" s="439">
        <f t="shared" si="107"/>
        <v>0</v>
      </c>
      <c r="AA108" s="439">
        <f t="shared" si="75"/>
        <v>0</v>
      </c>
      <c r="AB108" s="439">
        <f t="shared" si="76"/>
        <v>0</v>
      </c>
    </row>
    <row r="109" spans="1:28" ht="20.25" customHeight="1" x14ac:dyDescent="0.25">
      <c r="A109" s="85"/>
      <c r="B109" s="88" t="s">
        <v>424</v>
      </c>
      <c r="C109" s="101"/>
      <c r="D109" s="101"/>
      <c r="E109" s="101"/>
      <c r="F109" s="422"/>
      <c r="G109" s="71"/>
      <c r="H109" s="71" t="s">
        <v>386</v>
      </c>
      <c r="I109" s="98"/>
      <c r="J109" s="98"/>
      <c r="K109" s="98"/>
      <c r="L109" s="421"/>
      <c r="M109" s="85"/>
      <c r="N109" s="88" t="s">
        <v>424</v>
      </c>
      <c r="O109" s="386"/>
      <c r="P109" s="386"/>
      <c r="Q109" s="386"/>
      <c r="R109" s="445"/>
      <c r="S109" s="71"/>
      <c r="T109" s="71" t="s">
        <v>386</v>
      </c>
      <c r="U109" s="295"/>
      <c r="V109" s="295"/>
      <c r="W109" s="295"/>
      <c r="X109" s="456"/>
      <c r="Y109" s="439">
        <f t="shared" si="106"/>
        <v>0</v>
      </c>
      <c r="Z109" s="439">
        <f t="shared" si="107"/>
        <v>0</v>
      </c>
      <c r="AA109" s="439">
        <f t="shared" si="75"/>
        <v>0</v>
      </c>
      <c r="AB109" s="439">
        <f t="shared" si="76"/>
        <v>0</v>
      </c>
    </row>
    <row r="110" spans="1:28" ht="20.25" customHeight="1" x14ac:dyDescent="0.25">
      <c r="A110" s="85"/>
      <c r="B110" s="88" t="s">
        <v>425</v>
      </c>
      <c r="C110" s="101"/>
      <c r="D110" s="101"/>
      <c r="E110" s="101"/>
      <c r="F110" s="422"/>
      <c r="G110" s="71"/>
      <c r="H110" s="71" t="s">
        <v>387</v>
      </c>
      <c r="I110" s="98"/>
      <c r="J110" s="98"/>
      <c r="K110" s="98"/>
      <c r="L110" s="421"/>
      <c r="M110" s="85"/>
      <c r="N110" s="88" t="s">
        <v>425</v>
      </c>
      <c r="O110" s="386"/>
      <c r="P110" s="386"/>
      <c r="Q110" s="386"/>
      <c r="R110" s="445"/>
      <c r="S110" s="71"/>
      <c r="T110" s="71" t="s">
        <v>387</v>
      </c>
      <c r="U110" s="295"/>
      <c r="V110" s="295"/>
      <c r="W110" s="295"/>
      <c r="X110" s="456"/>
      <c r="Y110" s="439">
        <f t="shared" si="106"/>
        <v>0</v>
      </c>
      <c r="Z110" s="439">
        <f t="shared" si="107"/>
        <v>0</v>
      </c>
      <c r="AA110" s="439">
        <f t="shared" si="75"/>
        <v>0</v>
      </c>
      <c r="AB110" s="439">
        <f t="shared" si="76"/>
        <v>0</v>
      </c>
    </row>
    <row r="111" spans="1:28" ht="20.25" customHeight="1" x14ac:dyDescent="0.25">
      <c r="A111" s="231" t="s">
        <v>191</v>
      </c>
      <c r="B111" s="232" t="s">
        <v>426</v>
      </c>
      <c r="C111" s="233">
        <f>C112+C113+C114</f>
        <v>0</v>
      </c>
      <c r="D111" s="233">
        <f t="shared" ref="D111:F111" si="108">D112+D113+D114</f>
        <v>0</v>
      </c>
      <c r="E111" s="233">
        <f t="shared" si="108"/>
        <v>0</v>
      </c>
      <c r="F111" s="429">
        <f t="shared" si="108"/>
        <v>0</v>
      </c>
      <c r="G111" s="71"/>
      <c r="H111" s="71" t="s">
        <v>388</v>
      </c>
      <c r="I111" s="98"/>
      <c r="J111" s="98"/>
      <c r="K111" s="98"/>
      <c r="L111" s="421"/>
      <c r="M111" s="231" t="s">
        <v>191</v>
      </c>
      <c r="N111" s="228" t="s">
        <v>426</v>
      </c>
      <c r="O111" s="381">
        <f>O112+O113+O114</f>
        <v>0</v>
      </c>
      <c r="P111" s="381">
        <f t="shared" ref="P111:R111" si="109">P112+P113+P114</f>
        <v>0</v>
      </c>
      <c r="Q111" s="381">
        <f t="shared" si="109"/>
        <v>0</v>
      </c>
      <c r="R111" s="443">
        <f t="shared" si="109"/>
        <v>0</v>
      </c>
      <c r="S111" s="71"/>
      <c r="T111" s="71" t="s">
        <v>388</v>
      </c>
      <c r="U111" s="295"/>
      <c r="V111" s="295"/>
      <c r="W111" s="295"/>
      <c r="X111" s="456"/>
      <c r="Y111" s="439">
        <f t="shared" si="106"/>
        <v>0</v>
      </c>
      <c r="Z111" s="439">
        <f t="shared" si="107"/>
        <v>0</v>
      </c>
      <c r="AA111" s="439">
        <f t="shared" si="75"/>
        <v>0</v>
      </c>
      <c r="AB111" s="439">
        <f t="shared" si="76"/>
        <v>0</v>
      </c>
    </row>
    <row r="112" spans="1:28" ht="29.25" customHeight="1" x14ac:dyDescent="0.25">
      <c r="A112" s="85"/>
      <c r="B112" s="88" t="s">
        <v>427</v>
      </c>
      <c r="C112" s="101"/>
      <c r="D112" s="101"/>
      <c r="E112" s="101"/>
      <c r="F112" s="422"/>
      <c r="G112" s="231" t="s">
        <v>199</v>
      </c>
      <c r="H112" s="227" t="s">
        <v>389</v>
      </c>
      <c r="I112" s="228">
        <f>I113+I114</f>
        <v>0</v>
      </c>
      <c r="J112" s="228">
        <f t="shared" ref="J112:L112" si="110">J113+J114</f>
        <v>0</v>
      </c>
      <c r="K112" s="228">
        <f t="shared" si="110"/>
        <v>0</v>
      </c>
      <c r="L112" s="415">
        <f t="shared" si="110"/>
        <v>0</v>
      </c>
      <c r="M112" s="85"/>
      <c r="N112" s="88" t="s">
        <v>427</v>
      </c>
      <c r="O112" s="386"/>
      <c r="P112" s="386"/>
      <c r="Q112" s="386"/>
      <c r="R112" s="445"/>
      <c r="S112" s="227" t="s">
        <v>199</v>
      </c>
      <c r="T112" s="228" t="s">
        <v>389</v>
      </c>
      <c r="U112" s="290">
        <f>U113+U114</f>
        <v>0</v>
      </c>
      <c r="V112" s="290">
        <f t="shared" ref="V112:X112" si="111">V113+V114</f>
        <v>0</v>
      </c>
      <c r="W112" s="290">
        <f t="shared" si="111"/>
        <v>0</v>
      </c>
      <c r="X112" s="452">
        <f t="shared" si="111"/>
        <v>0</v>
      </c>
      <c r="Y112" s="439">
        <f t="shared" si="106"/>
        <v>0</v>
      </c>
      <c r="Z112" s="439">
        <f t="shared" si="107"/>
        <v>0</v>
      </c>
      <c r="AA112" s="439">
        <f t="shared" si="75"/>
        <v>0</v>
      </c>
      <c r="AB112" s="439">
        <f t="shared" si="76"/>
        <v>0</v>
      </c>
    </row>
    <row r="113" spans="1:28" ht="29.25" customHeight="1" x14ac:dyDescent="0.25">
      <c r="A113" s="85"/>
      <c r="B113" s="83" t="s">
        <v>662</v>
      </c>
      <c r="C113" s="101"/>
      <c r="D113" s="101"/>
      <c r="E113" s="101"/>
      <c r="F113" s="422"/>
      <c r="G113" s="71"/>
      <c r="H113" s="71" t="s">
        <v>391</v>
      </c>
      <c r="I113" s="98"/>
      <c r="J113" s="98"/>
      <c r="K113" s="98"/>
      <c r="L113" s="421"/>
      <c r="M113" s="85"/>
      <c r="N113" s="83" t="s">
        <v>428</v>
      </c>
      <c r="O113" s="386"/>
      <c r="P113" s="386"/>
      <c r="Q113" s="386"/>
      <c r="R113" s="445"/>
      <c r="S113" s="71"/>
      <c r="T113" s="71" t="s">
        <v>391</v>
      </c>
      <c r="U113" s="295"/>
      <c r="V113" s="295"/>
      <c r="W113" s="295"/>
      <c r="X113" s="456"/>
      <c r="Y113" s="439">
        <f t="shared" si="106"/>
        <v>0</v>
      </c>
      <c r="Z113" s="439">
        <f t="shared" si="107"/>
        <v>0</v>
      </c>
      <c r="AA113" s="439">
        <f t="shared" si="75"/>
        <v>0</v>
      </c>
      <c r="AB113" s="439">
        <f t="shared" si="76"/>
        <v>0</v>
      </c>
    </row>
    <row r="114" spans="1:28" ht="21" customHeight="1" x14ac:dyDescent="0.25">
      <c r="A114" s="85"/>
      <c r="B114" s="88"/>
      <c r="C114" s="101"/>
      <c r="D114" s="101"/>
      <c r="E114" s="101"/>
      <c r="F114" s="422"/>
      <c r="G114" s="71"/>
      <c r="H114" s="71" t="s">
        <v>390</v>
      </c>
      <c r="I114" s="98"/>
      <c r="J114" s="98"/>
      <c r="K114" s="98"/>
      <c r="L114" s="421"/>
      <c r="M114" s="85"/>
      <c r="N114" s="88" t="s">
        <v>429</v>
      </c>
      <c r="O114" s="386"/>
      <c r="P114" s="386"/>
      <c r="Q114" s="386"/>
      <c r="R114" s="445"/>
      <c r="S114" s="71"/>
      <c r="T114" s="71" t="s">
        <v>390</v>
      </c>
      <c r="U114" s="295"/>
      <c r="V114" s="295"/>
      <c r="W114" s="295"/>
      <c r="X114" s="456"/>
      <c r="Y114" s="439">
        <f t="shared" si="106"/>
        <v>0</v>
      </c>
      <c r="Z114" s="439">
        <f t="shared" si="107"/>
        <v>0</v>
      </c>
      <c r="AA114" s="439">
        <f t="shared" si="75"/>
        <v>0</v>
      </c>
      <c r="AB114" s="439">
        <f t="shared" si="76"/>
        <v>0</v>
      </c>
    </row>
    <row r="115" spans="1:28" ht="20.25" customHeight="1" x14ac:dyDescent="0.25">
      <c r="A115" s="306"/>
      <c r="B115" s="307" t="s">
        <v>430</v>
      </c>
      <c r="C115" s="308">
        <f>C125+C136</f>
        <v>24326530</v>
      </c>
      <c r="D115" s="308">
        <f t="shared" ref="D115:E115" si="112">D125+D136</f>
        <v>24326530</v>
      </c>
      <c r="E115" s="308">
        <f t="shared" si="112"/>
        <v>16879964</v>
      </c>
      <c r="F115" s="414">
        <f>+E115/D115</f>
        <v>0.69389115504759613</v>
      </c>
      <c r="G115" s="306"/>
      <c r="H115" s="307" t="s">
        <v>395</v>
      </c>
      <c r="I115" s="308">
        <f>I124+I135</f>
        <v>0</v>
      </c>
      <c r="J115" s="308">
        <f t="shared" ref="J115:L115" si="113">J124+J135</f>
        <v>0</v>
      </c>
      <c r="K115" s="308">
        <f t="shared" si="113"/>
        <v>0</v>
      </c>
      <c r="L115" s="414">
        <f t="shared" si="113"/>
        <v>0</v>
      </c>
      <c r="M115" s="316"/>
      <c r="N115" s="308" t="s">
        <v>430</v>
      </c>
      <c r="O115" s="389">
        <f>O125+O136</f>
        <v>95233975</v>
      </c>
      <c r="P115" s="389">
        <f t="shared" ref="P115:Q115" si="114">P125+P136</f>
        <v>79018975</v>
      </c>
      <c r="Q115" s="389">
        <f t="shared" si="114"/>
        <v>69653226</v>
      </c>
      <c r="R115" s="442">
        <f>+Q115/P115</f>
        <v>0.88147468377057536</v>
      </c>
      <c r="S115" s="307"/>
      <c r="T115" s="308" t="s">
        <v>395</v>
      </c>
      <c r="U115" s="311">
        <f>U124+U135</f>
        <v>0</v>
      </c>
      <c r="V115" s="311">
        <f t="shared" ref="V115:X115" si="115">V124+V135</f>
        <v>0</v>
      </c>
      <c r="W115" s="311">
        <f t="shared" si="115"/>
        <v>0</v>
      </c>
      <c r="X115" s="451">
        <f t="shared" si="115"/>
        <v>0</v>
      </c>
      <c r="Y115" s="439">
        <f t="shared" si="106"/>
        <v>0</v>
      </c>
      <c r="Z115" s="439">
        <f t="shared" si="107"/>
        <v>0</v>
      </c>
      <c r="AA115" s="439">
        <f t="shared" si="75"/>
        <v>103345505</v>
      </c>
      <c r="AB115" s="439">
        <f t="shared" si="76"/>
        <v>86533190</v>
      </c>
    </row>
    <row r="116" spans="1:28" ht="21" customHeight="1" x14ac:dyDescent="0.25">
      <c r="A116" s="75"/>
      <c r="B116" s="93" t="s">
        <v>431</v>
      </c>
      <c r="C116" s="101"/>
      <c r="D116" s="101"/>
      <c r="E116" s="101"/>
      <c r="F116" s="422"/>
      <c r="G116" s="75"/>
      <c r="H116" s="93" t="s">
        <v>392</v>
      </c>
      <c r="I116" s="101"/>
      <c r="J116" s="101"/>
      <c r="K116" s="101"/>
      <c r="L116" s="422"/>
      <c r="M116" s="75"/>
      <c r="N116" s="93" t="s">
        <v>431</v>
      </c>
      <c r="O116" s="386"/>
      <c r="P116" s="386"/>
      <c r="Q116" s="386"/>
      <c r="R116" s="445"/>
      <c r="S116" s="75"/>
      <c r="T116" s="93" t="s">
        <v>392</v>
      </c>
      <c r="U116" s="296"/>
      <c r="V116" s="296"/>
      <c r="W116" s="296"/>
      <c r="X116" s="457"/>
      <c r="Y116" s="439">
        <f t="shared" si="106"/>
        <v>0</v>
      </c>
      <c r="Z116" s="439">
        <f t="shared" si="107"/>
        <v>0</v>
      </c>
      <c r="AA116" s="439">
        <f t="shared" si="75"/>
        <v>0</v>
      </c>
      <c r="AB116" s="439">
        <f t="shared" si="76"/>
        <v>0</v>
      </c>
    </row>
    <row r="117" spans="1:28" ht="20.25" customHeight="1" x14ac:dyDescent="0.25">
      <c r="A117" s="75"/>
      <c r="B117" s="93" t="s">
        <v>432</v>
      </c>
      <c r="C117" s="101"/>
      <c r="D117" s="101"/>
      <c r="E117" s="101"/>
      <c r="F117" s="422"/>
      <c r="G117" s="75"/>
      <c r="H117" s="93" t="s">
        <v>393</v>
      </c>
      <c r="I117" s="101"/>
      <c r="J117" s="101"/>
      <c r="K117" s="101"/>
      <c r="L117" s="422"/>
      <c r="M117" s="75"/>
      <c r="N117" s="93" t="s">
        <v>432</v>
      </c>
      <c r="O117" s="386"/>
      <c r="P117" s="386"/>
      <c r="Q117" s="386"/>
      <c r="R117" s="445"/>
      <c r="S117" s="75"/>
      <c r="T117" s="93" t="s">
        <v>393</v>
      </c>
      <c r="U117" s="296"/>
      <c r="V117" s="296"/>
      <c r="W117" s="296"/>
      <c r="X117" s="457"/>
      <c r="Y117" s="439">
        <f t="shared" si="106"/>
        <v>0</v>
      </c>
      <c r="Z117" s="439">
        <f t="shared" si="107"/>
        <v>0</v>
      </c>
      <c r="AA117" s="439">
        <f t="shared" si="75"/>
        <v>0</v>
      </c>
      <c r="AB117" s="439">
        <f t="shared" si="76"/>
        <v>0</v>
      </c>
    </row>
    <row r="118" spans="1:28" ht="20.25" customHeight="1" x14ac:dyDescent="0.25">
      <c r="A118" s="75"/>
      <c r="B118" s="93" t="s">
        <v>433</v>
      </c>
      <c r="C118" s="101"/>
      <c r="D118" s="101"/>
      <c r="E118" s="101"/>
      <c r="F118" s="422"/>
      <c r="G118" s="75"/>
      <c r="H118" s="93" t="s">
        <v>394</v>
      </c>
      <c r="I118" s="101"/>
      <c r="J118" s="101"/>
      <c r="K118" s="101"/>
      <c r="L118" s="422"/>
      <c r="M118" s="75"/>
      <c r="N118" s="93" t="s">
        <v>433</v>
      </c>
      <c r="O118" s="386"/>
      <c r="P118" s="386"/>
      <c r="Q118" s="386"/>
      <c r="R118" s="445"/>
      <c r="S118" s="75"/>
      <c r="T118" s="93" t="s">
        <v>394</v>
      </c>
      <c r="U118" s="296"/>
      <c r="V118" s="296"/>
      <c r="W118" s="296"/>
      <c r="X118" s="457"/>
      <c r="Y118" s="439">
        <f t="shared" si="106"/>
        <v>0</v>
      </c>
      <c r="Z118" s="439">
        <f t="shared" si="107"/>
        <v>0</v>
      </c>
      <c r="AA118" s="439">
        <f t="shared" si="75"/>
        <v>0</v>
      </c>
      <c r="AB118" s="439">
        <f t="shared" si="76"/>
        <v>0</v>
      </c>
    </row>
    <row r="119" spans="1:28" ht="20.25" customHeight="1" x14ac:dyDescent="0.25">
      <c r="A119" s="75"/>
      <c r="B119" s="94" t="s">
        <v>434</v>
      </c>
      <c r="C119" s="101">
        <f>C116+C117+C118</f>
        <v>0</v>
      </c>
      <c r="D119" s="101">
        <f t="shared" ref="D119:F119" si="116">D116+D117+D118</f>
        <v>0</v>
      </c>
      <c r="E119" s="101">
        <f t="shared" si="116"/>
        <v>0</v>
      </c>
      <c r="F119" s="422">
        <f t="shared" si="116"/>
        <v>0</v>
      </c>
      <c r="G119" s="75"/>
      <c r="H119" s="94" t="s">
        <v>396</v>
      </c>
      <c r="I119" s="101">
        <f>I116+I117+I118</f>
        <v>0</v>
      </c>
      <c r="J119" s="101">
        <f t="shared" ref="J119:L119" si="117">J116+J117+J118</f>
        <v>0</v>
      </c>
      <c r="K119" s="101">
        <f t="shared" si="117"/>
        <v>0</v>
      </c>
      <c r="L119" s="422">
        <f t="shared" si="117"/>
        <v>0</v>
      </c>
      <c r="M119" s="75"/>
      <c r="N119" s="94" t="s">
        <v>434</v>
      </c>
      <c r="O119" s="386">
        <f>O116+O117+O118</f>
        <v>0</v>
      </c>
      <c r="P119" s="386">
        <f t="shared" ref="P119:R119" si="118">P116+P117+P118</f>
        <v>0</v>
      </c>
      <c r="Q119" s="386">
        <f t="shared" si="118"/>
        <v>0</v>
      </c>
      <c r="R119" s="445">
        <f t="shared" si="118"/>
        <v>0</v>
      </c>
      <c r="S119" s="75"/>
      <c r="T119" s="94" t="s">
        <v>396</v>
      </c>
      <c r="U119" s="296">
        <f>U116+U117+U118</f>
        <v>0</v>
      </c>
      <c r="V119" s="296">
        <f t="shared" ref="V119:X119" si="119">V116+V117+V118</f>
        <v>0</v>
      </c>
      <c r="W119" s="296">
        <f t="shared" si="119"/>
        <v>0</v>
      </c>
      <c r="X119" s="457">
        <f t="shared" si="119"/>
        <v>0</v>
      </c>
      <c r="Y119" s="439">
        <f t="shared" si="106"/>
        <v>0</v>
      </c>
      <c r="Z119" s="439">
        <f t="shared" si="107"/>
        <v>0</v>
      </c>
      <c r="AA119" s="439">
        <f t="shared" si="75"/>
        <v>0</v>
      </c>
      <c r="AB119" s="439">
        <f t="shared" si="76"/>
        <v>0</v>
      </c>
    </row>
    <row r="120" spans="1:28" ht="20.25" customHeight="1" x14ac:dyDescent="0.25">
      <c r="A120" s="75"/>
      <c r="B120" s="69" t="s">
        <v>435</v>
      </c>
      <c r="C120" s="101"/>
      <c r="D120" s="101"/>
      <c r="E120" s="101"/>
      <c r="F120" s="422"/>
      <c r="G120" s="75"/>
      <c r="H120" s="93" t="s">
        <v>397</v>
      </c>
      <c r="I120" s="101"/>
      <c r="J120" s="101"/>
      <c r="K120" s="101"/>
      <c r="L120" s="422"/>
      <c r="M120" s="75"/>
      <c r="N120" s="69" t="s">
        <v>435</v>
      </c>
      <c r="O120" s="386"/>
      <c r="P120" s="386"/>
      <c r="Q120" s="386"/>
      <c r="R120" s="445"/>
      <c r="S120" s="75"/>
      <c r="T120" s="93" t="s">
        <v>397</v>
      </c>
      <c r="U120" s="296"/>
      <c r="V120" s="296"/>
      <c r="W120" s="296"/>
      <c r="X120" s="457"/>
      <c r="Y120" s="439">
        <f t="shared" si="106"/>
        <v>0</v>
      </c>
      <c r="Z120" s="439">
        <f t="shared" si="107"/>
        <v>0</v>
      </c>
      <c r="AA120" s="439">
        <f t="shared" si="75"/>
        <v>0</v>
      </c>
      <c r="AB120" s="439">
        <f t="shared" si="76"/>
        <v>0</v>
      </c>
    </row>
    <row r="121" spans="1:28" ht="20.25" customHeight="1" x14ac:dyDescent="0.25">
      <c r="A121" s="75"/>
      <c r="B121" s="69" t="s">
        <v>436</v>
      </c>
      <c r="C121" s="101"/>
      <c r="D121" s="101"/>
      <c r="E121" s="101"/>
      <c r="F121" s="422"/>
      <c r="G121" s="75"/>
      <c r="H121" s="93" t="s">
        <v>1754</v>
      </c>
      <c r="I121" s="101"/>
      <c r="J121" s="101"/>
      <c r="K121" s="101"/>
      <c r="L121" s="422"/>
      <c r="M121" s="75"/>
      <c r="N121" s="69" t="s">
        <v>436</v>
      </c>
      <c r="O121" s="386"/>
      <c r="P121" s="386"/>
      <c r="Q121" s="386"/>
      <c r="R121" s="445"/>
      <c r="S121" s="75"/>
      <c r="T121" s="93" t="s">
        <v>1754</v>
      </c>
      <c r="U121" s="296"/>
      <c r="V121" s="296"/>
      <c r="W121" s="296"/>
      <c r="X121" s="457"/>
      <c r="Y121" s="439">
        <f t="shared" si="106"/>
        <v>0</v>
      </c>
      <c r="Z121" s="439">
        <f t="shared" si="107"/>
        <v>0</v>
      </c>
      <c r="AA121" s="439">
        <f t="shared" si="75"/>
        <v>0</v>
      </c>
      <c r="AB121" s="439">
        <f t="shared" si="76"/>
        <v>0</v>
      </c>
    </row>
    <row r="122" spans="1:28" ht="20.25" customHeight="1" x14ac:dyDescent="0.25">
      <c r="A122" s="75"/>
      <c r="B122" s="70" t="s">
        <v>437</v>
      </c>
      <c r="C122" s="101">
        <f>C120+C121</f>
        <v>0</v>
      </c>
      <c r="D122" s="101">
        <f t="shared" ref="D122:F122" si="120">D120+D121</f>
        <v>0</v>
      </c>
      <c r="E122" s="101">
        <f t="shared" si="120"/>
        <v>0</v>
      </c>
      <c r="F122" s="422">
        <f t="shared" si="120"/>
        <v>0</v>
      </c>
      <c r="G122" s="75"/>
      <c r="H122" s="94" t="s">
        <v>398</v>
      </c>
      <c r="I122" s="101">
        <f>I120+I121</f>
        <v>0</v>
      </c>
      <c r="J122" s="101">
        <f t="shared" ref="J122:L122" si="121">J120+J121</f>
        <v>0</v>
      </c>
      <c r="K122" s="101">
        <f t="shared" si="121"/>
        <v>0</v>
      </c>
      <c r="L122" s="422">
        <f t="shared" si="121"/>
        <v>0</v>
      </c>
      <c r="M122" s="75"/>
      <c r="N122" s="70" t="s">
        <v>437</v>
      </c>
      <c r="O122" s="386">
        <f>O120+O121</f>
        <v>0</v>
      </c>
      <c r="P122" s="386">
        <f t="shared" ref="P122:R122" si="122">P120+P121</f>
        <v>0</v>
      </c>
      <c r="Q122" s="386">
        <f t="shared" si="122"/>
        <v>0</v>
      </c>
      <c r="R122" s="445">
        <f t="shared" si="122"/>
        <v>0</v>
      </c>
      <c r="S122" s="75"/>
      <c r="T122" s="94" t="s">
        <v>398</v>
      </c>
      <c r="U122" s="296">
        <f>U120+U121</f>
        <v>0</v>
      </c>
      <c r="V122" s="296">
        <f t="shared" ref="V122:X122" si="123">V120+V121</f>
        <v>0</v>
      </c>
      <c r="W122" s="296">
        <f t="shared" si="123"/>
        <v>0</v>
      </c>
      <c r="X122" s="457">
        <f t="shared" si="123"/>
        <v>0</v>
      </c>
      <c r="Y122" s="439">
        <f t="shared" si="106"/>
        <v>0</v>
      </c>
      <c r="Z122" s="439">
        <f t="shared" si="107"/>
        <v>0</v>
      </c>
      <c r="AA122" s="439">
        <f t="shared" si="75"/>
        <v>0</v>
      </c>
      <c r="AB122" s="439">
        <f t="shared" si="76"/>
        <v>0</v>
      </c>
    </row>
    <row r="123" spans="1:28" ht="20.25" customHeight="1" x14ac:dyDescent="0.25">
      <c r="A123" s="75"/>
      <c r="B123" s="70" t="s">
        <v>438</v>
      </c>
      <c r="C123" s="101"/>
      <c r="D123" s="101">
        <v>373428</v>
      </c>
      <c r="E123" s="101">
        <v>373428</v>
      </c>
      <c r="F123" s="422">
        <f>+E123/D123</f>
        <v>1</v>
      </c>
      <c r="G123" s="75"/>
      <c r="H123" s="94" t="s">
        <v>399</v>
      </c>
      <c r="I123" s="101"/>
      <c r="J123" s="101"/>
      <c r="K123" s="101"/>
      <c r="L123" s="422"/>
      <c r="M123" s="75"/>
      <c r="N123" s="70" t="s">
        <v>438</v>
      </c>
      <c r="O123" s="386"/>
      <c r="P123" s="386"/>
      <c r="Q123" s="386"/>
      <c r="R123" s="445"/>
      <c r="S123" s="75"/>
      <c r="T123" s="94" t="s">
        <v>399</v>
      </c>
      <c r="U123" s="296"/>
      <c r="V123" s="296"/>
      <c r="W123" s="296"/>
      <c r="X123" s="457"/>
      <c r="Y123" s="439">
        <f t="shared" si="106"/>
        <v>0</v>
      </c>
      <c r="Z123" s="439">
        <f t="shared" si="107"/>
        <v>0</v>
      </c>
      <c r="AA123" s="439">
        <f t="shared" si="75"/>
        <v>373428</v>
      </c>
      <c r="AB123" s="439">
        <f t="shared" si="76"/>
        <v>373428</v>
      </c>
    </row>
    <row r="124" spans="1:28" ht="20.25" customHeight="1" x14ac:dyDescent="0.25">
      <c r="A124" s="75"/>
      <c r="B124" s="70" t="s">
        <v>439</v>
      </c>
      <c r="C124" s="101">
        <v>19160150</v>
      </c>
      <c r="D124" s="101">
        <v>18786722</v>
      </c>
      <c r="E124" s="101">
        <v>13406640</v>
      </c>
      <c r="F124" s="422">
        <f t="shared" ref="F124:F125" si="124">+E124/D124</f>
        <v>0.71362316427527905</v>
      </c>
      <c r="G124" s="75"/>
      <c r="H124" s="75" t="s">
        <v>400</v>
      </c>
      <c r="I124" s="109">
        <f>I119+I122+I123</f>
        <v>0</v>
      </c>
      <c r="J124" s="109">
        <f t="shared" ref="J124:L124" si="125">J119+J122+J123</f>
        <v>0</v>
      </c>
      <c r="K124" s="109">
        <f t="shared" si="125"/>
        <v>0</v>
      </c>
      <c r="L124" s="423">
        <f t="shared" si="125"/>
        <v>0</v>
      </c>
      <c r="M124" s="75"/>
      <c r="N124" s="70" t="s">
        <v>439</v>
      </c>
      <c r="O124" s="386">
        <v>74611715</v>
      </c>
      <c r="P124" s="386">
        <v>74611715</v>
      </c>
      <c r="Q124" s="386">
        <v>69255853</v>
      </c>
      <c r="R124" s="445">
        <f>+Q124/P124</f>
        <v>0.92821687586192059</v>
      </c>
      <c r="S124" s="75"/>
      <c r="T124" s="75" t="s">
        <v>400</v>
      </c>
      <c r="U124" s="297">
        <f>U119+U122+U123</f>
        <v>0</v>
      </c>
      <c r="V124" s="297">
        <f t="shared" ref="V124:X124" si="126">V119+V122+V123</f>
        <v>0</v>
      </c>
      <c r="W124" s="297">
        <f t="shared" si="126"/>
        <v>0</v>
      </c>
      <c r="X124" s="458">
        <f t="shared" si="126"/>
        <v>0</v>
      </c>
      <c r="Y124" s="439">
        <f t="shared" si="106"/>
        <v>0</v>
      </c>
      <c r="Z124" s="439">
        <f t="shared" si="107"/>
        <v>0</v>
      </c>
      <c r="AA124" s="439">
        <f t="shared" si="75"/>
        <v>93398437</v>
      </c>
      <c r="AB124" s="439">
        <f t="shared" si="76"/>
        <v>82662493</v>
      </c>
    </row>
    <row r="125" spans="1:28" ht="20.25" customHeight="1" x14ac:dyDescent="0.25">
      <c r="A125" s="75"/>
      <c r="B125" s="80" t="s">
        <v>440</v>
      </c>
      <c r="C125" s="109">
        <f>C119+C122+C123+C124</f>
        <v>19160150</v>
      </c>
      <c r="D125" s="109">
        <f t="shared" ref="D125:E125" si="127">D119+D122+D123+D124</f>
        <v>19160150</v>
      </c>
      <c r="E125" s="109">
        <f t="shared" si="127"/>
        <v>13780068</v>
      </c>
      <c r="F125" s="423">
        <f t="shared" si="124"/>
        <v>0.71920459912892121</v>
      </c>
      <c r="G125" s="75"/>
      <c r="H125" s="94"/>
      <c r="I125" s="101"/>
      <c r="J125" s="101"/>
      <c r="K125" s="101"/>
      <c r="L125" s="422"/>
      <c r="M125" s="75"/>
      <c r="N125" s="80" t="s">
        <v>440</v>
      </c>
      <c r="O125" s="390">
        <f>O119+O122+O123+O124</f>
        <v>74611715</v>
      </c>
      <c r="P125" s="390">
        <f t="shared" ref="P125:Q125" si="128">P119+P122+P123+P124</f>
        <v>74611715</v>
      </c>
      <c r="Q125" s="390">
        <f t="shared" si="128"/>
        <v>69255853</v>
      </c>
      <c r="R125" s="448">
        <f>+Q125/P125</f>
        <v>0.92821687586192059</v>
      </c>
      <c r="S125" s="75"/>
      <c r="T125" s="94"/>
      <c r="U125" s="296"/>
      <c r="V125" s="296"/>
      <c r="W125" s="296"/>
      <c r="X125" s="457"/>
      <c r="Y125" s="439">
        <f t="shared" si="106"/>
        <v>0</v>
      </c>
      <c r="Z125" s="439">
        <f t="shared" si="107"/>
        <v>0</v>
      </c>
      <c r="AA125" s="439">
        <f t="shared" si="75"/>
        <v>93771865</v>
      </c>
      <c r="AB125" s="439">
        <f t="shared" si="76"/>
        <v>83035921</v>
      </c>
    </row>
    <row r="126" spans="1:28" ht="20.25" customHeight="1" x14ac:dyDescent="0.25">
      <c r="A126" s="89"/>
      <c r="B126" s="79"/>
      <c r="C126" s="102"/>
      <c r="D126" s="102"/>
      <c r="E126" s="102"/>
      <c r="F126" s="424"/>
      <c r="G126" s="89"/>
      <c r="H126" s="89"/>
      <c r="I126" s="102"/>
      <c r="J126" s="102"/>
      <c r="K126" s="102"/>
      <c r="L126" s="424"/>
      <c r="M126" s="89"/>
      <c r="N126" s="79"/>
      <c r="O126" s="391"/>
      <c r="P126" s="391"/>
      <c r="Q126" s="391"/>
      <c r="R126" s="449"/>
      <c r="S126" s="89"/>
      <c r="T126" s="89"/>
      <c r="U126" s="298"/>
      <c r="V126" s="298"/>
      <c r="W126" s="298"/>
      <c r="X126" s="459"/>
      <c r="Y126" s="439">
        <f t="shared" si="106"/>
        <v>0</v>
      </c>
      <c r="Z126" s="439">
        <f t="shared" si="107"/>
        <v>0</v>
      </c>
      <c r="AA126" s="439">
        <f t="shared" si="75"/>
        <v>0</v>
      </c>
      <c r="AB126" s="439">
        <f t="shared" si="76"/>
        <v>0</v>
      </c>
    </row>
    <row r="127" spans="1:28" ht="20.25" customHeight="1" x14ac:dyDescent="0.25">
      <c r="A127" s="75"/>
      <c r="B127" s="93" t="s">
        <v>431</v>
      </c>
      <c r="C127" s="101"/>
      <c r="D127" s="101"/>
      <c r="E127" s="101"/>
      <c r="F127" s="422"/>
      <c r="G127" s="75"/>
      <c r="H127" s="93" t="s">
        <v>392</v>
      </c>
      <c r="I127" s="101"/>
      <c r="J127" s="101"/>
      <c r="K127" s="101"/>
      <c r="L127" s="422"/>
      <c r="M127" s="75"/>
      <c r="N127" s="93" t="s">
        <v>431</v>
      </c>
      <c r="O127" s="386"/>
      <c r="P127" s="386"/>
      <c r="Q127" s="386"/>
      <c r="R127" s="445"/>
      <c r="S127" s="75"/>
      <c r="T127" s="93" t="s">
        <v>392</v>
      </c>
      <c r="U127" s="296"/>
      <c r="V127" s="296"/>
      <c r="W127" s="296"/>
      <c r="X127" s="457"/>
      <c r="Y127" s="439">
        <f t="shared" si="106"/>
        <v>0</v>
      </c>
      <c r="Z127" s="439">
        <f t="shared" si="107"/>
        <v>0</v>
      </c>
      <c r="AA127" s="439">
        <f t="shared" si="75"/>
        <v>0</v>
      </c>
      <c r="AB127" s="439">
        <f t="shared" si="76"/>
        <v>0</v>
      </c>
    </row>
    <row r="128" spans="1:28" ht="39" customHeight="1" x14ac:dyDescent="0.25">
      <c r="A128" s="75"/>
      <c r="B128" s="93" t="s">
        <v>432</v>
      </c>
      <c r="C128" s="101"/>
      <c r="D128" s="101"/>
      <c r="E128" s="101"/>
      <c r="F128" s="422"/>
      <c r="G128" s="75"/>
      <c r="H128" s="93" t="s">
        <v>393</v>
      </c>
      <c r="I128" s="101"/>
      <c r="J128" s="101"/>
      <c r="K128" s="101"/>
      <c r="L128" s="422"/>
      <c r="M128" s="75"/>
      <c r="N128" s="93" t="s">
        <v>432</v>
      </c>
      <c r="O128" s="386"/>
      <c r="P128" s="386"/>
      <c r="Q128" s="386"/>
      <c r="R128" s="445"/>
      <c r="S128" s="75"/>
      <c r="T128" s="93" t="s">
        <v>393</v>
      </c>
      <c r="U128" s="296"/>
      <c r="V128" s="296"/>
      <c r="W128" s="296"/>
      <c r="X128" s="457"/>
      <c r="Y128" s="439">
        <f t="shared" si="106"/>
        <v>0</v>
      </c>
      <c r="Z128" s="439">
        <f t="shared" si="107"/>
        <v>0</v>
      </c>
      <c r="AA128" s="439">
        <f t="shared" si="75"/>
        <v>0</v>
      </c>
      <c r="AB128" s="439">
        <f t="shared" si="76"/>
        <v>0</v>
      </c>
    </row>
    <row r="129" spans="1:28" ht="20.25" customHeight="1" x14ac:dyDescent="0.25">
      <c r="A129" s="75"/>
      <c r="B129" s="93" t="s">
        <v>433</v>
      </c>
      <c r="C129" s="101"/>
      <c r="D129" s="101"/>
      <c r="E129" s="101"/>
      <c r="F129" s="422"/>
      <c r="G129" s="75"/>
      <c r="H129" s="93" t="s">
        <v>394</v>
      </c>
      <c r="I129" s="101"/>
      <c r="J129" s="101"/>
      <c r="K129" s="101"/>
      <c r="L129" s="422"/>
      <c r="M129" s="75"/>
      <c r="N129" s="93" t="s">
        <v>433</v>
      </c>
      <c r="O129" s="386"/>
      <c r="P129" s="386"/>
      <c r="Q129" s="386"/>
      <c r="R129" s="445"/>
      <c r="S129" s="75"/>
      <c r="T129" s="93" t="s">
        <v>394</v>
      </c>
      <c r="U129" s="296"/>
      <c r="V129" s="296"/>
      <c r="W129" s="296"/>
      <c r="X129" s="457"/>
      <c r="Y129" s="439">
        <f t="shared" si="106"/>
        <v>0</v>
      </c>
      <c r="Z129" s="439">
        <f t="shared" si="107"/>
        <v>0</v>
      </c>
      <c r="AA129" s="439">
        <f t="shared" si="75"/>
        <v>0</v>
      </c>
      <c r="AB129" s="439">
        <f t="shared" si="76"/>
        <v>0</v>
      </c>
    </row>
    <row r="130" spans="1:28" ht="20.25" customHeight="1" x14ac:dyDescent="0.25">
      <c r="A130" s="75"/>
      <c r="B130" s="94" t="s">
        <v>434</v>
      </c>
      <c r="C130" s="101">
        <f>C127+C128+C129</f>
        <v>0</v>
      </c>
      <c r="D130" s="101">
        <f t="shared" ref="D130:F130" si="129">D127+D128+D129</f>
        <v>0</v>
      </c>
      <c r="E130" s="101">
        <f t="shared" si="129"/>
        <v>0</v>
      </c>
      <c r="F130" s="422">
        <f t="shared" si="129"/>
        <v>0</v>
      </c>
      <c r="G130" s="75"/>
      <c r="H130" s="94" t="s">
        <v>396</v>
      </c>
      <c r="I130" s="101">
        <f>I127+I128+I129</f>
        <v>0</v>
      </c>
      <c r="J130" s="101">
        <f t="shared" ref="J130:L130" si="130">J127+J128+J129</f>
        <v>0</v>
      </c>
      <c r="K130" s="101">
        <f t="shared" si="130"/>
        <v>0</v>
      </c>
      <c r="L130" s="422">
        <f t="shared" si="130"/>
        <v>0</v>
      </c>
      <c r="M130" s="75"/>
      <c r="N130" s="94" t="s">
        <v>434</v>
      </c>
      <c r="O130" s="386">
        <f>O127+O128+O129</f>
        <v>0</v>
      </c>
      <c r="P130" s="386">
        <f t="shared" ref="P130:R130" si="131">P127+P128+P129</f>
        <v>0</v>
      </c>
      <c r="Q130" s="386">
        <f t="shared" si="131"/>
        <v>0</v>
      </c>
      <c r="R130" s="445">
        <f t="shared" si="131"/>
        <v>0</v>
      </c>
      <c r="S130" s="75"/>
      <c r="T130" s="94" t="s">
        <v>396</v>
      </c>
      <c r="U130" s="296">
        <f>U127+U128+U129</f>
        <v>0</v>
      </c>
      <c r="V130" s="296">
        <f t="shared" ref="V130:X130" si="132">V127+V128+V129</f>
        <v>0</v>
      </c>
      <c r="W130" s="296">
        <f t="shared" si="132"/>
        <v>0</v>
      </c>
      <c r="X130" s="457">
        <f t="shared" si="132"/>
        <v>0</v>
      </c>
      <c r="Y130" s="439">
        <f t="shared" si="106"/>
        <v>0</v>
      </c>
      <c r="Z130" s="439">
        <f t="shared" si="107"/>
        <v>0</v>
      </c>
      <c r="AA130" s="439">
        <f t="shared" si="75"/>
        <v>0</v>
      </c>
      <c r="AB130" s="439">
        <f t="shared" si="76"/>
        <v>0</v>
      </c>
    </row>
    <row r="131" spans="1:28" ht="20.25" customHeight="1" x14ac:dyDescent="0.25">
      <c r="A131" s="75"/>
      <c r="B131" s="69" t="s">
        <v>435</v>
      </c>
      <c r="C131" s="101"/>
      <c r="D131" s="101"/>
      <c r="E131" s="101"/>
      <c r="F131" s="422"/>
      <c r="G131" s="75"/>
      <c r="H131" s="93" t="s">
        <v>397</v>
      </c>
      <c r="I131" s="101"/>
      <c r="J131" s="101"/>
      <c r="K131" s="101"/>
      <c r="L131" s="422"/>
      <c r="M131" s="75"/>
      <c r="N131" s="69" t="s">
        <v>435</v>
      </c>
      <c r="O131" s="386"/>
      <c r="P131" s="386"/>
      <c r="Q131" s="386"/>
      <c r="R131" s="445"/>
      <c r="S131" s="75"/>
      <c r="T131" s="93" t="s">
        <v>397</v>
      </c>
      <c r="U131" s="296"/>
      <c r="V131" s="296"/>
      <c r="W131" s="296"/>
      <c r="X131" s="457"/>
      <c r="Y131" s="439">
        <f t="shared" si="106"/>
        <v>0</v>
      </c>
      <c r="Z131" s="439">
        <f t="shared" si="107"/>
        <v>0</v>
      </c>
      <c r="AA131" s="439">
        <f t="shared" ref="AA131:AA137" si="133">+D131+P131</f>
        <v>0</v>
      </c>
      <c r="AB131" s="439">
        <f t="shared" ref="AB131:AB137" si="134">+E131+Q131</f>
        <v>0</v>
      </c>
    </row>
    <row r="132" spans="1:28" ht="20.25" customHeight="1" x14ac:dyDescent="0.25">
      <c r="A132" s="75"/>
      <c r="B132" s="69" t="s">
        <v>436</v>
      </c>
      <c r="C132" s="101"/>
      <c r="D132" s="101"/>
      <c r="E132" s="101"/>
      <c r="F132" s="422"/>
      <c r="G132" s="75"/>
      <c r="H132" s="93" t="s">
        <v>1754</v>
      </c>
      <c r="I132" s="101"/>
      <c r="J132" s="101"/>
      <c r="K132" s="101"/>
      <c r="L132" s="422"/>
      <c r="M132" s="75"/>
      <c r="N132" s="69" t="s">
        <v>436</v>
      </c>
      <c r="O132" s="386"/>
      <c r="P132" s="386"/>
      <c r="Q132" s="386"/>
      <c r="R132" s="445"/>
      <c r="S132" s="75"/>
      <c r="T132" s="93" t="s">
        <v>1754</v>
      </c>
      <c r="U132" s="296"/>
      <c r="V132" s="296"/>
      <c r="W132" s="296"/>
      <c r="X132" s="457"/>
      <c r="Y132" s="439">
        <f t="shared" si="106"/>
        <v>0</v>
      </c>
      <c r="Z132" s="439">
        <f t="shared" si="107"/>
        <v>0</v>
      </c>
      <c r="AA132" s="439">
        <f t="shared" si="133"/>
        <v>0</v>
      </c>
      <c r="AB132" s="439">
        <f t="shared" si="134"/>
        <v>0</v>
      </c>
    </row>
    <row r="133" spans="1:28" ht="20.25" customHeight="1" x14ac:dyDescent="0.25">
      <c r="A133" s="75"/>
      <c r="B133" s="70" t="s">
        <v>437</v>
      </c>
      <c r="C133" s="101">
        <f>C131+C132</f>
        <v>0</v>
      </c>
      <c r="D133" s="101">
        <f t="shared" ref="D133:F133" si="135">D131+D132</f>
        <v>0</v>
      </c>
      <c r="E133" s="101">
        <f t="shared" si="135"/>
        <v>0</v>
      </c>
      <c r="F133" s="422">
        <f t="shared" si="135"/>
        <v>0</v>
      </c>
      <c r="G133" s="75"/>
      <c r="H133" s="94" t="s">
        <v>398</v>
      </c>
      <c r="I133" s="101">
        <f>I131+I132</f>
        <v>0</v>
      </c>
      <c r="J133" s="101">
        <f t="shared" ref="J133:L133" si="136">J131+J132</f>
        <v>0</v>
      </c>
      <c r="K133" s="101">
        <f t="shared" si="136"/>
        <v>0</v>
      </c>
      <c r="L133" s="422">
        <f t="shared" si="136"/>
        <v>0</v>
      </c>
      <c r="M133" s="75"/>
      <c r="N133" s="70" t="s">
        <v>437</v>
      </c>
      <c r="O133" s="386">
        <f>O131+O132</f>
        <v>0</v>
      </c>
      <c r="P133" s="386">
        <f t="shared" ref="P133:R133" si="137">P131+P132</f>
        <v>0</v>
      </c>
      <c r="Q133" s="386">
        <f t="shared" si="137"/>
        <v>0</v>
      </c>
      <c r="R133" s="445">
        <f t="shared" si="137"/>
        <v>0</v>
      </c>
      <c r="S133" s="75"/>
      <c r="T133" s="94" t="s">
        <v>398</v>
      </c>
      <c r="U133" s="296">
        <f>U131+U132</f>
        <v>0</v>
      </c>
      <c r="V133" s="296">
        <f t="shared" ref="V133:X133" si="138">V131+V132</f>
        <v>0</v>
      </c>
      <c r="W133" s="296">
        <f t="shared" si="138"/>
        <v>0</v>
      </c>
      <c r="X133" s="457">
        <f t="shared" si="138"/>
        <v>0</v>
      </c>
      <c r="Y133" s="439">
        <f t="shared" si="106"/>
        <v>0</v>
      </c>
      <c r="Z133" s="439">
        <f t="shared" si="107"/>
        <v>0</v>
      </c>
      <c r="AA133" s="439">
        <f t="shared" si="133"/>
        <v>0</v>
      </c>
      <c r="AB133" s="439">
        <f t="shared" si="134"/>
        <v>0</v>
      </c>
    </row>
    <row r="134" spans="1:28" ht="20.25" customHeight="1" x14ac:dyDescent="0.25">
      <c r="A134" s="75"/>
      <c r="B134" s="70" t="s">
        <v>441</v>
      </c>
      <c r="C134" s="101">
        <v>570000</v>
      </c>
      <c r="D134" s="101">
        <v>570000</v>
      </c>
      <c r="E134" s="101">
        <v>570000</v>
      </c>
      <c r="F134" s="422">
        <f>+E134/D134</f>
        <v>1</v>
      </c>
      <c r="G134" s="75"/>
      <c r="H134" s="94" t="s">
        <v>399</v>
      </c>
      <c r="I134" s="101"/>
      <c r="J134" s="101"/>
      <c r="K134" s="101"/>
      <c r="L134" s="422"/>
      <c r="M134" s="75"/>
      <c r="N134" s="70" t="s">
        <v>441</v>
      </c>
      <c r="O134" s="386"/>
      <c r="P134" s="386"/>
      <c r="Q134" s="386"/>
      <c r="R134" s="445"/>
      <c r="S134" s="75"/>
      <c r="T134" s="94" t="s">
        <v>399</v>
      </c>
      <c r="U134" s="296"/>
      <c r="V134" s="296"/>
      <c r="W134" s="296"/>
      <c r="X134" s="457"/>
      <c r="Y134" s="439">
        <f t="shared" si="106"/>
        <v>0</v>
      </c>
      <c r="Z134" s="439">
        <f t="shared" si="107"/>
        <v>0</v>
      </c>
      <c r="AA134" s="439">
        <f t="shared" si="133"/>
        <v>570000</v>
      </c>
      <c r="AB134" s="439">
        <f t="shared" si="134"/>
        <v>570000</v>
      </c>
    </row>
    <row r="135" spans="1:28" ht="20.25" customHeight="1" x14ac:dyDescent="0.25">
      <c r="A135" s="75"/>
      <c r="B135" s="70" t="s">
        <v>439</v>
      </c>
      <c r="C135" s="101">
        <f>5166380-570000</f>
        <v>4596380</v>
      </c>
      <c r="D135" s="101">
        <f t="shared" ref="D135" si="139">5166380-570000</f>
        <v>4596380</v>
      </c>
      <c r="E135" s="101">
        <v>2529896</v>
      </c>
      <c r="F135" s="422">
        <f t="shared" ref="F135:F136" si="140">+E135/D135</f>
        <v>0.55041054046880367</v>
      </c>
      <c r="G135" s="75"/>
      <c r="H135" s="75" t="s">
        <v>401</v>
      </c>
      <c r="I135" s="109">
        <f>I130+I133+I134</f>
        <v>0</v>
      </c>
      <c r="J135" s="109">
        <f t="shared" ref="J135:L135" si="141">J130+J133+J134</f>
        <v>0</v>
      </c>
      <c r="K135" s="109">
        <f t="shared" si="141"/>
        <v>0</v>
      </c>
      <c r="L135" s="423">
        <f t="shared" si="141"/>
        <v>0</v>
      </c>
      <c r="M135" s="75"/>
      <c r="N135" s="70" t="s">
        <v>439</v>
      </c>
      <c r="O135" s="386">
        <v>20622260</v>
      </c>
      <c r="P135" s="386">
        <v>4407260</v>
      </c>
      <c r="Q135" s="386">
        <v>397373</v>
      </c>
      <c r="R135" s="445">
        <f>+Q135/P135</f>
        <v>9.0163276049064503E-2</v>
      </c>
      <c r="S135" s="75"/>
      <c r="T135" s="75" t="s">
        <v>401</v>
      </c>
      <c r="U135" s="297">
        <f>U130+U133+U134</f>
        <v>0</v>
      </c>
      <c r="V135" s="297">
        <f t="shared" ref="V135:X135" si="142">V130+V133+V134</f>
        <v>0</v>
      </c>
      <c r="W135" s="297">
        <f t="shared" si="142"/>
        <v>0</v>
      </c>
      <c r="X135" s="458">
        <f t="shared" si="142"/>
        <v>0</v>
      </c>
      <c r="Y135" s="439">
        <f t="shared" si="106"/>
        <v>0</v>
      </c>
      <c r="Z135" s="439">
        <f t="shared" si="107"/>
        <v>0</v>
      </c>
      <c r="AA135" s="439">
        <f t="shared" si="133"/>
        <v>9003640</v>
      </c>
      <c r="AB135" s="439">
        <f t="shared" si="134"/>
        <v>2927269</v>
      </c>
    </row>
    <row r="136" spans="1:28" ht="20.25" customHeight="1" x14ac:dyDescent="0.25">
      <c r="A136" s="107"/>
      <c r="B136" s="80" t="s">
        <v>442</v>
      </c>
      <c r="C136" s="109">
        <f>C130+C133+C134+C135</f>
        <v>5166380</v>
      </c>
      <c r="D136" s="109">
        <f t="shared" ref="D136:E136" si="143">D130+D133+D134+D135</f>
        <v>5166380</v>
      </c>
      <c r="E136" s="109">
        <f t="shared" si="143"/>
        <v>3099896</v>
      </c>
      <c r="F136" s="423">
        <f t="shared" si="140"/>
        <v>0.6000131620206024</v>
      </c>
      <c r="G136" s="107"/>
      <c r="H136" s="94"/>
      <c r="I136" s="101"/>
      <c r="J136" s="101"/>
      <c r="K136" s="101"/>
      <c r="L136" s="422"/>
      <c r="M136" s="107"/>
      <c r="N136" s="80" t="s">
        <v>442</v>
      </c>
      <c r="O136" s="390">
        <f>O130+O133+O134+O135</f>
        <v>20622260</v>
      </c>
      <c r="P136" s="390">
        <f t="shared" ref="P136:Q136" si="144">P130+P133+P134+P135</f>
        <v>4407260</v>
      </c>
      <c r="Q136" s="390">
        <f t="shared" si="144"/>
        <v>397373</v>
      </c>
      <c r="R136" s="448">
        <f>+Q136/P136</f>
        <v>9.0163276049064503E-2</v>
      </c>
      <c r="S136" s="107"/>
      <c r="T136" s="94"/>
      <c r="U136" s="296"/>
      <c r="V136" s="296"/>
      <c r="W136" s="296"/>
      <c r="X136" s="457"/>
      <c r="Y136" s="439">
        <f t="shared" si="106"/>
        <v>0</v>
      </c>
      <c r="Z136" s="439">
        <f t="shared" si="107"/>
        <v>0</v>
      </c>
      <c r="AA136" s="439">
        <f t="shared" si="133"/>
        <v>9573640</v>
      </c>
      <c r="AB136" s="439">
        <f t="shared" si="134"/>
        <v>3497269</v>
      </c>
    </row>
    <row r="137" spans="1:28" ht="20.25" customHeight="1" x14ac:dyDescent="0.25">
      <c r="A137" s="849" t="s">
        <v>143</v>
      </c>
      <c r="B137" s="850"/>
      <c r="C137" s="237">
        <f>C2+C98+C115</f>
        <v>89883930</v>
      </c>
      <c r="D137" s="237">
        <f t="shared" ref="D137:E137" si="145">D2+D98+D115</f>
        <v>89883930</v>
      </c>
      <c r="E137" s="237">
        <f t="shared" si="145"/>
        <v>83241706</v>
      </c>
      <c r="F137" s="440">
        <f>+E137/D137</f>
        <v>0.92610220759150164</v>
      </c>
      <c r="G137" s="849" t="s">
        <v>144</v>
      </c>
      <c r="H137" s="850"/>
      <c r="I137" s="237">
        <f>I2+I98+I115</f>
        <v>89883929.675999999</v>
      </c>
      <c r="J137" s="237">
        <f t="shared" ref="J137:K137" si="146">J2+J98+J115</f>
        <v>90920577.748031497</v>
      </c>
      <c r="K137" s="237">
        <f t="shared" si="146"/>
        <v>82064685</v>
      </c>
      <c r="L137" s="440">
        <f>+K137/J137</f>
        <v>0.90259748708841403</v>
      </c>
      <c r="M137" s="849" t="s">
        <v>143</v>
      </c>
      <c r="N137" s="854"/>
      <c r="O137" s="392">
        <f>O2+O98+O115</f>
        <v>95233975</v>
      </c>
      <c r="P137" s="392">
        <f t="shared" ref="P137:Q137" si="147">P2+P98+P115</f>
        <v>79018975</v>
      </c>
      <c r="Q137" s="392">
        <f t="shared" si="147"/>
        <v>69653226</v>
      </c>
      <c r="R137" s="440">
        <f>+Q137/P137</f>
        <v>0.88147468377057536</v>
      </c>
      <c r="S137" s="849" t="s">
        <v>144</v>
      </c>
      <c r="T137" s="850"/>
      <c r="U137" s="237">
        <f>U2+U98+U115</f>
        <v>95233974.662</v>
      </c>
      <c r="V137" s="237">
        <f t="shared" ref="V137:W137" si="148">V2+V98+V115</f>
        <v>77982327</v>
      </c>
      <c r="W137" s="237">
        <f t="shared" si="148"/>
        <v>69653226</v>
      </c>
      <c r="X137" s="440">
        <f>+W137/V137</f>
        <v>0.89319245372095657</v>
      </c>
      <c r="Y137" s="439">
        <f t="shared" si="106"/>
        <v>168902904.7480315</v>
      </c>
      <c r="Z137" s="439">
        <f t="shared" si="107"/>
        <v>151717911</v>
      </c>
      <c r="AA137" s="439">
        <f t="shared" si="133"/>
        <v>168902905</v>
      </c>
      <c r="AB137" s="439">
        <f t="shared" si="134"/>
        <v>152894932</v>
      </c>
    </row>
    <row r="139" spans="1:28" x14ac:dyDescent="0.25">
      <c r="I139" s="113">
        <f>C137-I137</f>
        <v>0.32400000095367432</v>
      </c>
      <c r="J139" s="113">
        <f>D137-J137</f>
        <v>-1036647.748031497</v>
      </c>
      <c r="K139" s="113">
        <f t="shared" ref="K139" si="149">E137-K137</f>
        <v>1177021</v>
      </c>
      <c r="O139" s="393"/>
      <c r="P139" s="393"/>
      <c r="Q139" s="393"/>
      <c r="U139" s="299">
        <f>O137-U137</f>
        <v>0.33799999952316284</v>
      </c>
      <c r="V139" s="299">
        <f>P137-V137</f>
        <v>1036648</v>
      </c>
      <c r="W139" s="299">
        <f>Q137-W137</f>
        <v>0</v>
      </c>
    </row>
    <row r="140" spans="1:28" x14ac:dyDescent="0.25">
      <c r="U140" s="300">
        <f>+O137+C137</f>
        <v>185117905</v>
      </c>
      <c r="V140" s="300">
        <f>+P137+D137</f>
        <v>168902905</v>
      </c>
      <c r="W140" s="300">
        <f>+Q137+E137</f>
        <v>152894932</v>
      </c>
    </row>
    <row r="141" spans="1:28" x14ac:dyDescent="0.25">
      <c r="I141" s="239"/>
      <c r="J141" s="239"/>
      <c r="K141" s="239"/>
      <c r="M141" s="319"/>
      <c r="O141" s="393">
        <f>+O124+O135+C135+C124</f>
        <v>118990505</v>
      </c>
      <c r="P141" s="393">
        <f>+P124+P135+D135+D124</f>
        <v>102402077</v>
      </c>
      <c r="Q141" s="393">
        <f>+Q124+Q135+E135+E124</f>
        <v>85589762</v>
      </c>
      <c r="U141" s="300">
        <f>+I137+U137</f>
        <v>185117904.338</v>
      </c>
      <c r="V141" s="300">
        <f>+J137+V137</f>
        <v>168902904.7480315</v>
      </c>
      <c r="W141" s="300">
        <f>+K137+W137</f>
        <v>151717911</v>
      </c>
    </row>
    <row r="142" spans="1:28" x14ac:dyDescent="0.25">
      <c r="C142" s="113"/>
      <c r="D142" s="113"/>
      <c r="E142" s="113"/>
      <c r="I142" s="239"/>
      <c r="J142" s="239"/>
      <c r="K142" s="239"/>
      <c r="M142" s="319"/>
      <c r="W142" s="304">
        <f>+W140-W141</f>
        <v>1177021</v>
      </c>
    </row>
    <row r="143" spans="1:28" x14ac:dyDescent="0.25">
      <c r="I143" s="239"/>
      <c r="J143" s="239"/>
      <c r="K143" s="239"/>
      <c r="M143" s="319"/>
    </row>
    <row r="144" spans="1:28" x14ac:dyDescent="0.25">
      <c r="I144" s="239"/>
      <c r="J144" s="239"/>
      <c r="K144" s="239"/>
      <c r="M144" s="319"/>
      <c r="U144" s="299"/>
      <c r="V144" s="299"/>
      <c r="W144" s="299"/>
    </row>
    <row r="145" spans="9:13" x14ac:dyDescent="0.25">
      <c r="I145" s="239"/>
      <c r="J145" s="239"/>
      <c r="K145" s="239"/>
      <c r="M145" s="319"/>
    </row>
  </sheetData>
  <mergeCells count="4">
    <mergeCell ref="A137:B137"/>
    <mergeCell ref="G137:H137"/>
    <mergeCell ref="M137:N137"/>
    <mergeCell ref="S137:T1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Header>&amp;CTaksony Nagyközség Önkormányzat 2018. évi zárszámadás&amp;R5.a sz. melléklet</oddHeader>
    <oddFooter xml:space="preserve">&amp;LKészült: &amp;D
&amp;C&amp;P&amp;R/:Kreisz László://:Dr.Micheller Anita:/
/:Szelecki N.Andrea:/       </oddFooter>
  </headerFooter>
  <rowBreaks count="1" manualBreakCount="1">
    <brk id="64" max="23" man="1"/>
  </rowBreaks>
  <colBreaks count="3" manualBreakCount="3">
    <brk id="6" max="134" man="1"/>
    <brk id="12" max="134" man="1"/>
    <brk id="18" max="136" man="1"/>
  </colBreaks>
  <ignoredErrors>
    <ignoredError sqref="U4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zoomScale="70" zoomScaleNormal="70" zoomScaleSheetLayoutView="70" workbookViewId="0">
      <pane ySplit="1" topLeftCell="A2" activePane="bottomLeft" state="frozen"/>
      <selection activeCell="L86" sqref="L86"/>
      <selection pane="bottomLeft" activeCell="H22" sqref="H22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18.42578125" style="21" customWidth="1"/>
    <col min="5" max="5" width="17.140625" style="21" customWidth="1"/>
    <col min="6" max="6" width="14.28515625" style="426" customWidth="1"/>
    <col min="7" max="7" width="6.7109375" style="21" customWidth="1"/>
    <col min="8" max="8" width="69.5703125" style="21" bestFit="1" customWidth="1"/>
    <col min="9" max="9" width="17.7109375" style="21" customWidth="1"/>
    <col min="10" max="10" width="18.42578125" style="21" customWidth="1"/>
    <col min="11" max="11" width="18.28515625" style="21" customWidth="1"/>
    <col min="12" max="12" width="14.5703125" style="426" customWidth="1"/>
    <col min="13" max="16384" width="9.140625" style="21"/>
  </cols>
  <sheetData>
    <row r="1" spans="1:12" ht="40.5" customHeight="1" x14ac:dyDescent="0.25">
      <c r="A1" s="76"/>
      <c r="B1" s="77" t="s">
        <v>512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513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C3+C17+C24+C35</f>
        <v>18019760</v>
      </c>
      <c r="D2" s="308">
        <f>D3+D17+D24+D35</f>
        <v>18019760</v>
      </c>
      <c r="E2" s="308">
        <f>E3+E17+E24+E35</f>
        <v>17954646</v>
      </c>
      <c r="F2" s="414">
        <f>+E2/D2</f>
        <v>0.9963865223510191</v>
      </c>
      <c r="G2" s="306"/>
      <c r="H2" s="307" t="s">
        <v>196</v>
      </c>
      <c r="I2" s="308">
        <f>I3+I7+I17+I24+I35</f>
        <v>51043894.942400001</v>
      </c>
      <c r="J2" s="308">
        <f>J3+J7+J17+J24+J35</f>
        <v>51372415</v>
      </c>
      <c r="K2" s="308">
        <f>K3+K7+K17+K24+K35</f>
        <v>43289937</v>
      </c>
      <c r="L2" s="414">
        <f>+K2/J2</f>
        <v>0.84266891093206342</v>
      </c>
    </row>
    <row r="3" spans="1:12" ht="20.25" customHeight="1" x14ac:dyDescent="0.25">
      <c r="A3" s="231" t="s">
        <v>23</v>
      </c>
      <c r="B3" s="232" t="s">
        <v>312</v>
      </c>
      <c r="C3" s="233">
        <f>C4+C11+C12+C13+C14+C15</f>
        <v>14369760</v>
      </c>
      <c r="D3" s="233">
        <f>D4+D11+D12+D13+D14+D15</f>
        <v>14369760</v>
      </c>
      <c r="E3" s="233">
        <f>E4+E11+E12+E13+E14+E15</f>
        <v>14856400</v>
      </c>
      <c r="F3" s="415">
        <f>+E3/D3</f>
        <v>1.0338655621249067</v>
      </c>
      <c r="G3" s="231" t="s">
        <v>23</v>
      </c>
      <c r="H3" s="227" t="s">
        <v>213</v>
      </c>
      <c r="I3" s="228">
        <f>SUM(I4:I5)</f>
        <v>33377345</v>
      </c>
      <c r="J3" s="228">
        <f t="shared" ref="J3:K3" si="0">SUM(J4:J5)</f>
        <v>33636145</v>
      </c>
      <c r="K3" s="228">
        <f t="shared" si="0"/>
        <v>28359366</v>
      </c>
      <c r="L3" s="415">
        <f>+K3/J3</f>
        <v>0.84312176677797057</v>
      </c>
    </row>
    <row r="4" spans="1:12" ht="20.25" customHeight="1" x14ac:dyDescent="0.25">
      <c r="A4" s="70"/>
      <c r="B4" s="108" t="s">
        <v>247</v>
      </c>
      <c r="C4" s="106">
        <f>SUM(C5:C8)</f>
        <v>0</v>
      </c>
      <c r="D4" s="106">
        <f t="shared" ref="D4:E4" si="1">SUM(D5:D8)</f>
        <v>0</v>
      </c>
      <c r="E4" s="106">
        <f t="shared" si="1"/>
        <v>0</v>
      </c>
      <c r="F4" s="416"/>
      <c r="G4" s="80"/>
      <c r="H4" s="69" t="s">
        <v>500</v>
      </c>
      <c r="I4" s="95">
        <f>'6.a szociális részletes'!I12</f>
        <v>30359345</v>
      </c>
      <c r="J4" s="95">
        <f>'6.a szociális részletes'!J12</f>
        <v>30618145</v>
      </c>
      <c r="K4" s="95">
        <f>'6.a szociális részletes'!K12</f>
        <v>28244136</v>
      </c>
      <c r="L4" s="416">
        <f>+K4/J4</f>
        <v>0.92246398336672586</v>
      </c>
    </row>
    <row r="5" spans="1:12" ht="24" customHeight="1" x14ac:dyDescent="0.25">
      <c r="A5" s="80"/>
      <c r="B5" s="83" t="s">
        <v>248</v>
      </c>
      <c r="C5" s="106"/>
      <c r="D5" s="106"/>
      <c r="E5" s="106"/>
      <c r="F5" s="427"/>
      <c r="G5" s="80"/>
      <c r="H5" s="69" t="s">
        <v>501</v>
      </c>
      <c r="I5" s="95">
        <f>'6.a szociális részletes'!I16</f>
        <v>3018000</v>
      </c>
      <c r="J5" s="95">
        <f>'6.a szociális részletes'!J16</f>
        <v>3018000</v>
      </c>
      <c r="K5" s="95">
        <f>'6.a szociális részletes'!K16</f>
        <v>115230</v>
      </c>
      <c r="L5" s="416">
        <f>+K5/J5</f>
        <v>3.8180914512922465E-2</v>
      </c>
    </row>
    <row r="6" spans="1:12" ht="24" customHeight="1" x14ac:dyDescent="0.25">
      <c r="A6" s="80"/>
      <c r="B6" s="83" t="s">
        <v>249</v>
      </c>
      <c r="C6" s="106"/>
      <c r="D6" s="106"/>
      <c r="E6" s="106"/>
      <c r="F6" s="427"/>
      <c r="G6" s="80"/>
      <c r="H6" s="69"/>
      <c r="I6" s="95"/>
      <c r="J6" s="95"/>
      <c r="K6" s="95"/>
      <c r="L6" s="416"/>
    </row>
    <row r="7" spans="1:12" ht="22.5" customHeight="1" x14ac:dyDescent="0.25">
      <c r="A7" s="80"/>
      <c r="B7" s="83" t="s">
        <v>250</v>
      </c>
      <c r="C7" s="106">
        <f>'6.a szociális részletes'!C7</f>
        <v>0</v>
      </c>
      <c r="D7" s="106">
        <f>'6.a szociális részletes'!D7</f>
        <v>0</v>
      </c>
      <c r="E7" s="106">
        <f>'6.a szociális részletes'!E7</f>
        <v>0</v>
      </c>
      <c r="F7" s="427"/>
      <c r="G7" s="231" t="s">
        <v>45</v>
      </c>
      <c r="H7" s="232" t="s">
        <v>214</v>
      </c>
      <c r="I7" s="233">
        <f>'6.a szociális részletes'!I17</f>
        <v>6544444.9424000001</v>
      </c>
      <c r="J7" s="233">
        <f>'6.a szociális részletes'!J17</f>
        <v>6596665</v>
      </c>
      <c r="K7" s="233">
        <f>'6.a szociális részletes'!K17</f>
        <v>5829906</v>
      </c>
      <c r="L7" s="415">
        <f>+K7/J7</f>
        <v>0.88376566037535631</v>
      </c>
    </row>
    <row r="8" spans="1:12" ht="22.5" customHeight="1" x14ac:dyDescent="0.25">
      <c r="A8" s="80"/>
      <c r="B8" s="83" t="s">
        <v>251</v>
      </c>
      <c r="C8" s="106"/>
      <c r="D8" s="106"/>
      <c r="E8" s="106"/>
      <c r="F8" s="427"/>
      <c r="G8" s="80"/>
      <c r="H8" s="69"/>
      <c r="I8" s="95"/>
      <c r="J8" s="95"/>
      <c r="K8" s="95"/>
      <c r="L8" s="416"/>
    </row>
    <row r="9" spans="1:12" ht="24.75" customHeight="1" x14ac:dyDescent="0.25">
      <c r="A9" s="80"/>
      <c r="B9" s="83" t="s">
        <v>252</v>
      </c>
      <c r="C9" s="81" t="s">
        <v>253</v>
      </c>
      <c r="D9" s="81" t="s">
        <v>253</v>
      </c>
      <c r="E9" s="81"/>
      <c r="F9" s="427"/>
      <c r="G9" s="80"/>
      <c r="H9" s="69"/>
      <c r="I9" s="95"/>
      <c r="J9" s="95"/>
      <c r="K9" s="95"/>
      <c r="L9" s="416"/>
    </row>
    <row r="10" spans="1:12" ht="18" customHeight="1" x14ac:dyDescent="0.25">
      <c r="A10" s="80"/>
      <c r="B10" s="83" t="s">
        <v>254</v>
      </c>
      <c r="C10" s="81" t="s">
        <v>253</v>
      </c>
      <c r="D10" s="81" t="s">
        <v>253</v>
      </c>
      <c r="E10" s="81"/>
      <c r="F10" s="427"/>
      <c r="G10" s="84"/>
      <c r="H10" s="69"/>
      <c r="I10" s="96"/>
      <c r="J10" s="96"/>
      <c r="K10" s="96"/>
      <c r="L10" s="431"/>
    </row>
    <row r="11" spans="1:12" ht="20.25" customHeight="1" x14ac:dyDescent="0.25">
      <c r="A11" s="80"/>
      <c r="B11" s="83" t="s">
        <v>255</v>
      </c>
      <c r="C11" s="87"/>
      <c r="D11" s="87"/>
      <c r="E11" s="87"/>
      <c r="F11" s="422"/>
      <c r="G11" s="84"/>
      <c r="I11" s="104"/>
      <c r="J11" s="104"/>
      <c r="K11" s="104"/>
      <c r="L11" s="418"/>
    </row>
    <row r="12" spans="1:12" ht="30" x14ac:dyDescent="0.25">
      <c r="A12" s="70"/>
      <c r="B12" s="83" t="s">
        <v>256</v>
      </c>
      <c r="C12" s="106"/>
      <c r="D12" s="106"/>
      <c r="E12" s="106"/>
      <c r="F12" s="427"/>
      <c r="G12" s="84"/>
      <c r="H12" s="69"/>
      <c r="I12" s="97"/>
      <c r="J12" s="97"/>
      <c r="K12" s="97"/>
      <c r="L12" s="419"/>
    </row>
    <row r="13" spans="1:12" ht="29.25" customHeight="1" x14ac:dyDescent="0.25">
      <c r="A13" s="70"/>
      <c r="B13" s="83" t="s">
        <v>257</v>
      </c>
      <c r="C13" s="106"/>
      <c r="D13" s="106"/>
      <c r="E13" s="106"/>
      <c r="F13" s="427"/>
      <c r="G13" s="84"/>
      <c r="H13" s="69"/>
      <c r="I13" s="97"/>
      <c r="J13" s="97"/>
      <c r="K13" s="97"/>
      <c r="L13" s="419"/>
    </row>
    <row r="14" spans="1:12" ht="29.25" customHeight="1" x14ac:dyDescent="0.25">
      <c r="A14" s="70"/>
      <c r="B14" s="83" t="s">
        <v>258</v>
      </c>
      <c r="C14" s="106"/>
      <c r="D14" s="106"/>
      <c r="E14" s="106"/>
      <c r="F14" s="427"/>
      <c r="G14" s="84"/>
      <c r="H14" s="69"/>
      <c r="I14" s="97"/>
      <c r="J14" s="97"/>
      <c r="K14" s="97"/>
      <c r="L14" s="419"/>
    </row>
    <row r="15" spans="1:12" ht="29.25" customHeight="1" x14ac:dyDescent="0.25">
      <c r="A15" s="70"/>
      <c r="B15" s="83" t="s">
        <v>259</v>
      </c>
      <c r="C15" s="106">
        <f>'6.a szociális részletes'!C16</f>
        <v>14369760</v>
      </c>
      <c r="D15" s="106">
        <f>'6.a szociális részletes'!D16</f>
        <v>14369760</v>
      </c>
      <c r="E15" s="106">
        <f>'6.a szociális részletes'!E16</f>
        <v>14856400</v>
      </c>
      <c r="F15" s="427">
        <f>+E15/D15</f>
        <v>1.0338655621249067</v>
      </c>
      <c r="G15" s="84"/>
      <c r="H15" s="87"/>
      <c r="I15" s="104"/>
      <c r="J15" s="104"/>
      <c r="K15" s="104"/>
      <c r="L15" s="418"/>
    </row>
    <row r="16" spans="1:12" ht="18.75" customHeight="1" x14ac:dyDescent="0.25">
      <c r="A16" s="70"/>
      <c r="C16" s="106"/>
      <c r="D16" s="106"/>
      <c r="E16" s="106"/>
      <c r="F16" s="427"/>
      <c r="H16" s="87"/>
      <c r="I16" s="97"/>
      <c r="J16" s="97"/>
      <c r="K16" s="97"/>
      <c r="L16" s="419"/>
    </row>
    <row r="17" spans="1:12" ht="20.25" customHeight="1" x14ac:dyDescent="0.25">
      <c r="A17" s="231" t="s">
        <v>45</v>
      </c>
      <c r="B17" s="232" t="s">
        <v>266</v>
      </c>
      <c r="C17" s="233">
        <f>C18+C19+C23</f>
        <v>0</v>
      </c>
      <c r="D17" s="233">
        <f t="shared" ref="D17:F17" si="2">D18+D19+D23</f>
        <v>0</v>
      </c>
      <c r="E17" s="233">
        <f t="shared" si="2"/>
        <v>0</v>
      </c>
      <c r="F17" s="429">
        <f t="shared" si="2"/>
        <v>0</v>
      </c>
      <c r="G17" s="231" t="s">
        <v>56</v>
      </c>
      <c r="H17" s="232" t="s">
        <v>215</v>
      </c>
      <c r="I17" s="233">
        <f>SUM(I18:I22)</f>
        <v>11122105</v>
      </c>
      <c r="J17" s="233">
        <f t="shared" ref="J17:K17" si="3">SUM(J18:J22)</f>
        <v>11139605</v>
      </c>
      <c r="K17" s="233">
        <f t="shared" si="3"/>
        <v>9100665</v>
      </c>
      <c r="L17" s="415">
        <f>+K17/J17</f>
        <v>0.81696478465798383</v>
      </c>
    </row>
    <row r="18" spans="1:12" ht="20.25" customHeight="1" x14ac:dyDescent="0.25">
      <c r="A18" s="85"/>
      <c r="B18" s="87" t="s">
        <v>267</v>
      </c>
      <c r="C18" s="95"/>
      <c r="D18" s="95"/>
      <c r="E18" s="95"/>
      <c r="F18" s="416"/>
      <c r="G18" s="71"/>
      <c r="H18" s="115" t="s">
        <v>238</v>
      </c>
      <c r="I18" s="104">
        <f>'6.a szociális részletes'!I34</f>
        <v>1082500</v>
      </c>
      <c r="J18" s="104">
        <f>'6.a szociális részletes'!J34</f>
        <v>850000</v>
      </c>
      <c r="K18" s="104">
        <f>'6.a szociális részletes'!K34</f>
        <v>577620</v>
      </c>
      <c r="L18" s="416">
        <f t="shared" ref="L18:L22" si="4">+K18/J18</f>
        <v>0.67955294117647058</v>
      </c>
    </row>
    <row r="19" spans="1:12" ht="20.25" customHeight="1" x14ac:dyDescent="0.25">
      <c r="A19" s="85"/>
      <c r="B19" s="87" t="s">
        <v>268</v>
      </c>
      <c r="C19" s="95"/>
      <c r="D19" s="95"/>
      <c r="E19" s="95"/>
      <c r="F19" s="416"/>
      <c r="G19" s="71"/>
      <c r="H19" s="115" t="s">
        <v>239</v>
      </c>
      <c r="I19" s="104">
        <f>'6.a szociális részletes'!I37</f>
        <v>540000</v>
      </c>
      <c r="J19" s="104">
        <f>'6.a szociális részletes'!J37</f>
        <v>661000</v>
      </c>
      <c r="K19" s="104">
        <f>'6.a szociális részletes'!K37</f>
        <v>642527</v>
      </c>
      <c r="L19" s="416">
        <f t="shared" si="4"/>
        <v>0.97205295007564296</v>
      </c>
    </row>
    <row r="20" spans="1:12" ht="20.25" customHeight="1" x14ac:dyDescent="0.25">
      <c r="A20" s="85"/>
      <c r="B20" s="87" t="s">
        <v>269</v>
      </c>
      <c r="C20" s="95"/>
      <c r="D20" s="95"/>
      <c r="E20" s="95"/>
      <c r="F20" s="416"/>
      <c r="G20" s="71"/>
      <c r="H20" s="115" t="s">
        <v>240</v>
      </c>
      <c r="I20" s="104">
        <f>'6.a szociális részletes'!I58</f>
        <v>6343000</v>
      </c>
      <c r="J20" s="104">
        <f>'6.a szociális részletes'!J58</f>
        <v>6388000</v>
      </c>
      <c r="K20" s="104">
        <f>'6.a szociális részletes'!K58</f>
        <v>5451134</v>
      </c>
      <c r="L20" s="416">
        <f t="shared" si="4"/>
        <v>0.85333969943644328</v>
      </c>
    </row>
    <row r="21" spans="1:12" ht="20.25" customHeight="1" x14ac:dyDescent="0.25">
      <c r="A21" s="85"/>
      <c r="B21" s="87" t="s">
        <v>270</v>
      </c>
      <c r="C21" s="95"/>
      <c r="D21" s="95"/>
      <c r="E21" s="95"/>
      <c r="F21" s="416"/>
      <c r="G21" s="71"/>
      <c r="H21" s="115" t="s">
        <v>241</v>
      </c>
      <c r="I21" s="104">
        <f>'6.a szociális részletes'!I61</f>
        <v>940000</v>
      </c>
      <c r="J21" s="104">
        <f>'6.a szociális részletes'!J61</f>
        <v>1024000</v>
      </c>
      <c r="K21" s="104">
        <f>'6.a szociális részletes'!K61</f>
        <v>884504</v>
      </c>
      <c r="L21" s="416">
        <f t="shared" si="4"/>
        <v>0.86377343750000002</v>
      </c>
    </row>
    <row r="22" spans="1:12" ht="20.25" customHeight="1" x14ac:dyDescent="0.25">
      <c r="A22" s="85"/>
      <c r="B22" s="87" t="s">
        <v>271</v>
      </c>
      <c r="C22" s="95"/>
      <c r="D22" s="95"/>
      <c r="E22" s="95"/>
      <c r="F22" s="416"/>
      <c r="G22" s="71"/>
      <c r="H22" s="115" t="s">
        <v>242</v>
      </c>
      <c r="I22" s="104">
        <f>'6.a szociális részletes'!I67</f>
        <v>2216605</v>
      </c>
      <c r="J22" s="104">
        <f>'6.a szociális részletes'!J67</f>
        <v>2216605</v>
      </c>
      <c r="K22" s="104">
        <f>'6.a szociális részletes'!K67</f>
        <v>1544880</v>
      </c>
      <c r="L22" s="416">
        <f t="shared" si="4"/>
        <v>0.69695773491442992</v>
      </c>
    </row>
    <row r="23" spans="1:12" ht="20.25" customHeight="1" x14ac:dyDescent="0.25">
      <c r="A23" s="85"/>
      <c r="B23" s="87" t="s">
        <v>272</v>
      </c>
      <c r="C23" s="95"/>
      <c r="D23" s="95"/>
      <c r="E23" s="95"/>
      <c r="F23" s="416"/>
      <c r="G23" s="71"/>
      <c r="H23" s="71"/>
      <c r="I23" s="97"/>
      <c r="J23" s="97"/>
      <c r="K23" s="97"/>
      <c r="L23" s="419"/>
    </row>
    <row r="24" spans="1:12" ht="20.25" customHeight="1" x14ac:dyDescent="0.25">
      <c r="A24" s="231" t="s">
        <v>56</v>
      </c>
      <c r="B24" s="232" t="s">
        <v>273</v>
      </c>
      <c r="C24" s="233">
        <f>SUM(C25:C34)</f>
        <v>3650000</v>
      </c>
      <c r="D24" s="233">
        <f t="shared" ref="D24:E24" si="5">SUM(D25:D34)</f>
        <v>3650000</v>
      </c>
      <c r="E24" s="233">
        <f t="shared" si="5"/>
        <v>3098246</v>
      </c>
      <c r="F24" s="415">
        <f>+E24/D24</f>
        <v>0.84883452054794517</v>
      </c>
      <c r="G24" s="231" t="s">
        <v>64</v>
      </c>
      <c r="H24" s="232" t="s">
        <v>216</v>
      </c>
      <c r="I24" s="233">
        <f>'6.a szociális részletes'!I68</f>
        <v>0</v>
      </c>
      <c r="J24" s="233">
        <f>'6.a szociális részletes'!J68</f>
        <v>0</v>
      </c>
      <c r="K24" s="233">
        <f>'6.a szociális részletes'!K68</f>
        <v>0</v>
      </c>
      <c r="L24" s="429">
        <f>'6.a szociális részletes'!L68</f>
        <v>0</v>
      </c>
    </row>
    <row r="25" spans="1:12" ht="20.25" customHeight="1" x14ac:dyDescent="0.25">
      <c r="A25" s="85"/>
      <c r="B25" s="88" t="s">
        <v>274</v>
      </c>
      <c r="C25" s="101"/>
      <c r="D25" s="101"/>
      <c r="E25" s="101"/>
      <c r="F25" s="422"/>
      <c r="G25" s="71"/>
      <c r="H25" s="71" t="s">
        <v>202</v>
      </c>
      <c r="I25" s="100"/>
      <c r="J25" s="100"/>
      <c r="K25" s="100"/>
      <c r="L25" s="420"/>
    </row>
    <row r="26" spans="1:12" ht="20.25" customHeight="1" x14ac:dyDescent="0.25">
      <c r="A26" s="85"/>
      <c r="B26" s="88" t="s">
        <v>275</v>
      </c>
      <c r="C26" s="101"/>
      <c r="D26" s="101"/>
      <c r="E26" s="101"/>
      <c r="F26" s="422"/>
      <c r="G26" s="71"/>
      <c r="H26" s="87" t="s">
        <v>203</v>
      </c>
      <c r="I26" s="100"/>
      <c r="J26" s="100"/>
      <c r="K26" s="100"/>
      <c r="L26" s="420"/>
    </row>
    <row r="27" spans="1:12" ht="20.25" customHeight="1" x14ac:dyDescent="0.25">
      <c r="A27" s="85"/>
      <c r="B27" s="88" t="s">
        <v>276</v>
      </c>
      <c r="C27" s="101"/>
      <c r="D27" s="101"/>
      <c r="E27" s="101"/>
      <c r="F27" s="422"/>
      <c r="G27" s="71"/>
      <c r="H27" s="71" t="s">
        <v>204</v>
      </c>
      <c r="I27" s="100"/>
      <c r="J27" s="100"/>
      <c r="K27" s="100"/>
      <c r="L27" s="420"/>
    </row>
    <row r="28" spans="1:12" ht="20.25" customHeight="1" x14ac:dyDescent="0.25">
      <c r="A28" s="85"/>
      <c r="B28" s="88" t="s">
        <v>277</v>
      </c>
      <c r="C28" s="101"/>
      <c r="D28" s="101"/>
      <c r="E28" s="101"/>
      <c r="F28" s="422"/>
      <c r="G28" s="71"/>
      <c r="H28" s="71" t="s">
        <v>205</v>
      </c>
      <c r="I28" s="100"/>
      <c r="J28" s="100"/>
      <c r="K28" s="100"/>
      <c r="L28" s="420"/>
    </row>
    <row r="29" spans="1:12" ht="20.25" customHeight="1" x14ac:dyDescent="0.25">
      <c r="A29" s="85"/>
      <c r="B29" s="88" t="s">
        <v>278</v>
      </c>
      <c r="C29" s="101">
        <f>'6.a szociális részletes'!C33</f>
        <v>3650000</v>
      </c>
      <c r="D29" s="101">
        <f>'6.a szociális részletes'!D33</f>
        <v>3650000</v>
      </c>
      <c r="E29" s="101">
        <f>'6.a szociális részletes'!E33</f>
        <v>3098245</v>
      </c>
      <c r="F29" s="427">
        <f>+E29/D29</f>
        <v>0.84883424657534245</v>
      </c>
      <c r="G29" s="71"/>
      <c r="H29" s="71" t="s">
        <v>206</v>
      </c>
      <c r="I29" s="100"/>
      <c r="J29" s="100"/>
      <c r="K29" s="100"/>
      <c r="L29" s="420"/>
    </row>
    <row r="30" spans="1:12" ht="20.25" customHeight="1" x14ac:dyDescent="0.25">
      <c r="A30" s="85"/>
      <c r="B30" s="88" t="s">
        <v>279</v>
      </c>
      <c r="C30" s="101"/>
      <c r="D30" s="101"/>
      <c r="E30" s="101"/>
      <c r="F30" s="422"/>
      <c r="G30" s="71"/>
      <c r="H30" s="71" t="s">
        <v>207</v>
      </c>
      <c r="I30" s="100"/>
      <c r="J30" s="100"/>
      <c r="K30" s="100"/>
      <c r="L30" s="420"/>
    </row>
    <row r="31" spans="1:12" ht="20.25" customHeight="1" x14ac:dyDescent="0.25">
      <c r="A31" s="85"/>
      <c r="B31" s="88" t="s">
        <v>280</v>
      </c>
      <c r="C31" s="101"/>
      <c r="D31" s="101"/>
      <c r="E31" s="101"/>
      <c r="F31" s="422"/>
      <c r="G31" s="71"/>
      <c r="H31" s="71"/>
      <c r="I31" s="97"/>
      <c r="J31" s="97"/>
      <c r="K31" s="97"/>
      <c r="L31" s="419"/>
    </row>
    <row r="32" spans="1:12" ht="20.25" customHeight="1" x14ac:dyDescent="0.25">
      <c r="A32" s="85"/>
      <c r="B32" s="88" t="s">
        <v>281</v>
      </c>
      <c r="C32" s="101">
        <f>+'6.a szociális részletes'!C41</f>
        <v>0</v>
      </c>
      <c r="D32" s="101">
        <f>+'6.a szociális részletes'!D41</f>
        <v>0</v>
      </c>
      <c r="E32" s="101">
        <f>+'6.a szociális részletes'!E41</f>
        <v>1</v>
      </c>
      <c r="F32" s="422"/>
      <c r="G32" s="71"/>
      <c r="I32" s="104"/>
      <c r="J32" s="104"/>
      <c r="K32" s="104"/>
      <c r="L32" s="418"/>
    </row>
    <row r="33" spans="1:12" ht="20.25" customHeight="1" x14ac:dyDescent="0.25">
      <c r="A33" s="85"/>
      <c r="B33" s="88" t="s">
        <v>282</v>
      </c>
      <c r="C33" s="101"/>
      <c r="D33" s="101"/>
      <c r="E33" s="101"/>
      <c r="F33" s="422"/>
      <c r="G33" s="71"/>
      <c r="H33" s="71"/>
      <c r="I33" s="97"/>
      <c r="J33" s="97"/>
      <c r="K33" s="97"/>
      <c r="L33" s="419"/>
    </row>
    <row r="34" spans="1:12" ht="20.25" customHeight="1" x14ac:dyDescent="0.25">
      <c r="A34" s="85"/>
      <c r="B34" s="88" t="s">
        <v>283</v>
      </c>
      <c r="C34" s="101"/>
      <c r="D34" s="101"/>
      <c r="E34" s="101"/>
      <c r="F34" s="422"/>
      <c r="G34" s="71"/>
      <c r="H34" s="71"/>
      <c r="I34" s="97"/>
      <c r="J34" s="97"/>
      <c r="K34" s="97"/>
      <c r="L34" s="419"/>
    </row>
    <row r="35" spans="1:12" ht="20.25" customHeight="1" x14ac:dyDescent="0.25">
      <c r="A35" s="231" t="s">
        <v>64</v>
      </c>
      <c r="B35" s="232" t="s">
        <v>290</v>
      </c>
      <c r="C35" s="233">
        <f>C36+C37+C38</f>
        <v>0</v>
      </c>
      <c r="D35" s="233">
        <f t="shared" ref="D35:F35" si="6">D36+D37+D38</f>
        <v>0</v>
      </c>
      <c r="E35" s="233">
        <f t="shared" si="6"/>
        <v>0</v>
      </c>
      <c r="F35" s="429">
        <f t="shared" si="6"/>
        <v>0</v>
      </c>
      <c r="G35" s="231" t="s">
        <v>100</v>
      </c>
      <c r="H35" s="232" t="s">
        <v>237</v>
      </c>
      <c r="I35" s="233">
        <f>'6.a szociális részletes'!I75</f>
        <v>0</v>
      </c>
      <c r="J35" s="233">
        <f>'6.a szociális részletes'!J75</f>
        <v>0</v>
      </c>
      <c r="K35" s="233">
        <f>'6.a szociális részletes'!K75</f>
        <v>0</v>
      </c>
      <c r="L35" s="429">
        <f>'6.a szociális részletes'!L75</f>
        <v>0</v>
      </c>
    </row>
    <row r="36" spans="1:12" ht="30" x14ac:dyDescent="0.25">
      <c r="A36" s="85"/>
      <c r="B36" s="88" t="s">
        <v>291</v>
      </c>
      <c r="C36" s="101"/>
      <c r="D36" s="101"/>
      <c r="E36" s="101"/>
      <c r="F36" s="422"/>
      <c r="G36" s="71"/>
      <c r="H36" s="71" t="s">
        <v>208</v>
      </c>
      <c r="I36" s="105" t="s">
        <v>253</v>
      </c>
      <c r="J36" s="105" t="s">
        <v>253</v>
      </c>
      <c r="K36" s="105"/>
      <c r="L36" s="417"/>
    </row>
    <row r="37" spans="1:12" ht="28.5" customHeight="1" x14ac:dyDescent="0.25">
      <c r="A37" s="85"/>
      <c r="B37" s="83" t="s">
        <v>292</v>
      </c>
      <c r="C37" s="101"/>
      <c r="D37" s="101"/>
      <c r="E37" s="101"/>
      <c r="F37" s="422"/>
      <c r="G37" s="71"/>
      <c r="H37" s="71" t="s">
        <v>210</v>
      </c>
      <c r="I37" s="100"/>
      <c r="J37" s="100"/>
      <c r="K37" s="100"/>
      <c r="L37" s="420"/>
    </row>
    <row r="38" spans="1:12" ht="19.5" customHeight="1" x14ac:dyDescent="0.25">
      <c r="A38" s="85"/>
      <c r="B38" s="88" t="s">
        <v>293</v>
      </c>
      <c r="C38" s="101"/>
      <c r="D38" s="101"/>
      <c r="E38" s="101"/>
      <c r="F38" s="422"/>
      <c r="G38" s="71"/>
      <c r="H38" s="71" t="s">
        <v>209</v>
      </c>
      <c r="I38" s="100"/>
      <c r="J38" s="100"/>
      <c r="K38" s="100"/>
      <c r="L38" s="420"/>
    </row>
    <row r="39" spans="1:12" ht="19.5" customHeight="1" x14ac:dyDescent="0.25">
      <c r="A39" s="85"/>
      <c r="B39" s="88"/>
      <c r="C39" s="101"/>
      <c r="D39" s="101"/>
      <c r="E39" s="101"/>
      <c r="F39" s="422"/>
      <c r="G39" s="71"/>
      <c r="H39" s="71" t="s">
        <v>211</v>
      </c>
      <c r="I39" s="100"/>
      <c r="J39" s="100"/>
      <c r="K39" s="100"/>
      <c r="L39" s="420"/>
    </row>
    <row r="40" spans="1:12" ht="19.5" customHeight="1" x14ac:dyDescent="0.25">
      <c r="A40" s="85"/>
      <c r="B40" s="88"/>
      <c r="C40" s="99"/>
      <c r="D40" s="99"/>
      <c r="E40" s="99"/>
      <c r="F40" s="430"/>
      <c r="G40" s="71"/>
      <c r="H40" s="71" t="s">
        <v>376</v>
      </c>
      <c r="I40" s="100"/>
      <c r="J40" s="100"/>
      <c r="K40" s="100"/>
      <c r="L40" s="420"/>
    </row>
    <row r="41" spans="1:12" ht="19.5" customHeight="1" x14ac:dyDescent="0.25">
      <c r="A41" s="85"/>
      <c r="B41" s="88"/>
      <c r="C41" s="99"/>
      <c r="D41" s="99"/>
      <c r="E41" s="99"/>
      <c r="F41" s="430"/>
      <c r="G41" s="71"/>
      <c r="H41" s="71" t="s">
        <v>212</v>
      </c>
      <c r="I41" s="100"/>
      <c r="J41" s="100"/>
      <c r="K41" s="100"/>
      <c r="L41" s="420"/>
    </row>
    <row r="42" spans="1:12" ht="19.5" customHeight="1" x14ac:dyDescent="0.25">
      <c r="A42" s="85"/>
      <c r="B42" s="88"/>
      <c r="C42" s="99"/>
      <c r="D42" s="99"/>
      <c r="E42" s="99"/>
      <c r="F42" s="430"/>
      <c r="G42" s="73"/>
      <c r="H42" s="82"/>
      <c r="I42" s="100"/>
      <c r="J42" s="100"/>
      <c r="K42" s="100"/>
      <c r="L42" s="420"/>
    </row>
    <row r="43" spans="1:12" ht="19.5" customHeight="1" x14ac:dyDescent="0.25">
      <c r="A43" s="85"/>
      <c r="B43" s="88"/>
      <c r="C43" s="99"/>
      <c r="D43" s="99"/>
      <c r="E43" s="99"/>
      <c r="F43" s="430"/>
      <c r="G43" s="71"/>
      <c r="H43" s="71"/>
      <c r="I43" s="100"/>
      <c r="J43" s="100"/>
      <c r="K43" s="100"/>
      <c r="L43" s="420"/>
    </row>
    <row r="44" spans="1:12" ht="19.5" customHeight="1" x14ac:dyDescent="0.25">
      <c r="A44" s="85"/>
      <c r="B44" s="88"/>
      <c r="C44" s="99"/>
      <c r="D44" s="99"/>
      <c r="E44" s="99"/>
      <c r="F44" s="430"/>
      <c r="G44" s="71"/>
      <c r="H44" s="87"/>
      <c r="I44" s="100"/>
      <c r="J44" s="100"/>
      <c r="K44" s="100"/>
      <c r="L44" s="420"/>
    </row>
    <row r="45" spans="1:12" ht="19.5" customHeight="1" x14ac:dyDescent="0.25">
      <c r="A45" s="85"/>
      <c r="B45" s="88"/>
      <c r="C45" s="99"/>
      <c r="D45" s="99"/>
      <c r="E45" s="99"/>
      <c r="F45" s="430"/>
      <c r="G45" s="71"/>
      <c r="H45" s="71"/>
      <c r="I45" s="100"/>
      <c r="J45" s="100"/>
      <c r="K45" s="100"/>
      <c r="L45" s="420"/>
    </row>
    <row r="46" spans="1:12" ht="19.5" customHeight="1" x14ac:dyDescent="0.25">
      <c r="A46" s="85"/>
      <c r="B46" s="88"/>
      <c r="C46" s="99"/>
      <c r="D46" s="99"/>
      <c r="E46" s="99"/>
      <c r="F46" s="430"/>
      <c r="G46" s="71"/>
      <c r="H46" s="71"/>
      <c r="I46" s="100"/>
      <c r="J46" s="100"/>
      <c r="K46" s="100"/>
      <c r="L46" s="420"/>
    </row>
    <row r="47" spans="1:12" ht="19.5" customHeight="1" x14ac:dyDescent="0.25">
      <c r="A47" s="85"/>
      <c r="B47" s="88"/>
      <c r="C47" s="99"/>
      <c r="D47" s="99"/>
      <c r="E47" s="99"/>
      <c r="F47" s="430"/>
      <c r="G47" s="87"/>
      <c r="H47" s="87"/>
      <c r="I47" s="87"/>
      <c r="J47" s="87"/>
      <c r="K47" s="87"/>
      <c r="L47" s="422"/>
    </row>
    <row r="48" spans="1:12" ht="19.5" customHeight="1" x14ac:dyDescent="0.25">
      <c r="A48" s="85"/>
      <c r="B48" s="88"/>
      <c r="C48" s="99"/>
      <c r="D48" s="99"/>
      <c r="E48" s="99"/>
      <c r="F48" s="430"/>
      <c r="G48" s="87"/>
      <c r="H48" s="87"/>
      <c r="I48" s="87"/>
      <c r="J48" s="87"/>
      <c r="K48" s="87"/>
      <c r="L48" s="422"/>
    </row>
    <row r="49" spans="1:12" ht="19.5" customHeight="1" x14ac:dyDescent="0.25">
      <c r="A49" s="85"/>
      <c r="B49" s="88"/>
      <c r="C49" s="99"/>
      <c r="D49" s="99"/>
      <c r="E49" s="99"/>
      <c r="F49" s="430"/>
      <c r="G49" s="87"/>
      <c r="H49" s="87"/>
      <c r="I49" s="87"/>
      <c r="J49" s="87"/>
      <c r="K49" s="87"/>
      <c r="L49" s="422"/>
    </row>
    <row r="50" spans="1:12" ht="20.25" customHeight="1" x14ac:dyDescent="0.25">
      <c r="A50" s="85"/>
      <c r="B50" s="88"/>
      <c r="C50" s="99"/>
      <c r="D50" s="99"/>
      <c r="E50" s="99"/>
      <c r="F50" s="430"/>
      <c r="G50" s="87"/>
      <c r="H50" s="87"/>
      <c r="I50" s="87"/>
      <c r="J50" s="87"/>
      <c r="K50" s="87"/>
      <c r="L50" s="422"/>
    </row>
    <row r="51" spans="1:12" ht="20.25" customHeight="1" x14ac:dyDescent="0.25">
      <c r="A51" s="306"/>
      <c r="B51" s="307" t="s">
        <v>192</v>
      </c>
      <c r="C51" s="308">
        <f>C52+C58+C64</f>
        <v>0</v>
      </c>
      <c r="D51" s="308">
        <f t="shared" ref="D51:F51" si="7">D52+D58+D64</f>
        <v>0</v>
      </c>
      <c r="E51" s="308">
        <f t="shared" si="7"/>
        <v>0</v>
      </c>
      <c r="F51" s="414">
        <f t="shared" si="7"/>
        <v>0</v>
      </c>
      <c r="G51" s="306"/>
      <c r="H51" s="307" t="s">
        <v>200</v>
      </c>
      <c r="I51" s="308">
        <f>I52+I60+I65</f>
        <v>698500</v>
      </c>
      <c r="J51" s="308">
        <f t="shared" ref="J51:L51" si="8">J52+J60+J65</f>
        <v>698500</v>
      </c>
      <c r="K51" s="308">
        <f t="shared" si="8"/>
        <v>87980</v>
      </c>
      <c r="L51" s="414">
        <f t="shared" si="8"/>
        <v>0.12595561918396564</v>
      </c>
    </row>
    <row r="52" spans="1:12" ht="20.25" customHeight="1" x14ac:dyDescent="0.25">
      <c r="A52" s="231" t="s">
        <v>100</v>
      </c>
      <c r="B52" s="232" t="s">
        <v>260</v>
      </c>
      <c r="C52" s="233">
        <f>SUM(C53:C57)</f>
        <v>0</v>
      </c>
      <c r="D52" s="233">
        <f t="shared" ref="D52:F52" si="9">SUM(D53:D57)</f>
        <v>0</v>
      </c>
      <c r="E52" s="233">
        <f t="shared" si="9"/>
        <v>0</v>
      </c>
      <c r="F52" s="429">
        <f t="shared" si="9"/>
        <v>0</v>
      </c>
      <c r="G52" s="231" t="s">
        <v>181</v>
      </c>
      <c r="H52" s="232" t="s">
        <v>217</v>
      </c>
      <c r="I52" s="233">
        <f>SUM(I53:I59)</f>
        <v>698500</v>
      </c>
      <c r="J52" s="233">
        <f t="shared" ref="J52:K52" si="10">SUM(J53:J59)</f>
        <v>698500</v>
      </c>
      <c r="K52" s="233">
        <f t="shared" si="10"/>
        <v>87980</v>
      </c>
      <c r="L52" s="415">
        <f>+K52/J52</f>
        <v>0.12595561918396564</v>
      </c>
    </row>
    <row r="53" spans="1:12" ht="20.25" customHeight="1" x14ac:dyDescent="0.25">
      <c r="A53" s="85"/>
      <c r="B53" s="83" t="s">
        <v>261</v>
      </c>
      <c r="C53" s="101"/>
      <c r="D53" s="101"/>
      <c r="E53" s="101"/>
      <c r="F53" s="422"/>
      <c r="G53" s="85"/>
      <c r="H53" s="91" t="s">
        <v>218</v>
      </c>
      <c r="I53" s="95"/>
      <c r="J53" s="95"/>
      <c r="K53" s="95"/>
      <c r="L53" s="416"/>
    </row>
    <row r="54" spans="1:12" ht="29.25" customHeight="1" x14ac:dyDescent="0.25">
      <c r="A54" s="85"/>
      <c r="B54" s="83" t="s">
        <v>262</v>
      </c>
      <c r="C54" s="101"/>
      <c r="D54" s="101"/>
      <c r="E54" s="101"/>
      <c r="F54" s="422"/>
      <c r="G54" s="85"/>
      <c r="H54" s="91" t="s">
        <v>219</v>
      </c>
      <c r="I54" s="95"/>
      <c r="J54" s="95"/>
      <c r="K54" s="95"/>
      <c r="L54" s="416"/>
    </row>
    <row r="55" spans="1:12" ht="29.25" customHeight="1" x14ac:dyDescent="0.25">
      <c r="A55" s="85"/>
      <c r="B55" s="83" t="s">
        <v>263</v>
      </c>
      <c r="C55" s="101"/>
      <c r="D55" s="101"/>
      <c r="E55" s="101"/>
      <c r="F55" s="422"/>
      <c r="G55" s="71"/>
      <c r="H55" s="71" t="s">
        <v>220</v>
      </c>
      <c r="I55" s="98">
        <f>+'6.a szociális részletes'!I86</f>
        <v>0</v>
      </c>
      <c r="J55" s="98">
        <f>+'6.a szociális részletes'!J86</f>
        <v>0</v>
      </c>
      <c r="K55" s="98">
        <f>+'6.a szociális részletes'!K86</f>
        <v>0</v>
      </c>
      <c r="L55" s="421">
        <f>+'6.a szociális részletes'!L86</f>
        <v>0</v>
      </c>
    </row>
    <row r="56" spans="1:12" ht="29.25" customHeight="1" x14ac:dyDescent="0.25">
      <c r="A56" s="85"/>
      <c r="B56" s="83" t="s">
        <v>264</v>
      </c>
      <c r="C56" s="101"/>
      <c r="D56" s="101"/>
      <c r="E56" s="101"/>
      <c r="F56" s="422"/>
      <c r="G56" s="71"/>
      <c r="H56" s="71" t="s">
        <v>221</v>
      </c>
      <c r="I56" s="98">
        <f>'6.a szociális részletes'!I87</f>
        <v>550000</v>
      </c>
      <c r="J56" s="98">
        <f>'6.a szociális részletes'!J87</f>
        <v>550000</v>
      </c>
      <c r="K56" s="98">
        <f>'6.a szociális részletes'!K87</f>
        <v>69276</v>
      </c>
      <c r="L56" s="421">
        <f>+K56/J56</f>
        <v>0.12595636363636364</v>
      </c>
    </row>
    <row r="57" spans="1:12" ht="21" customHeight="1" x14ac:dyDescent="0.25">
      <c r="A57" s="85"/>
      <c r="B57" s="83" t="s">
        <v>265</v>
      </c>
      <c r="C57" s="101"/>
      <c r="D57" s="101"/>
      <c r="E57" s="101"/>
      <c r="F57" s="422"/>
      <c r="G57" s="71"/>
      <c r="H57" s="71" t="s">
        <v>222</v>
      </c>
      <c r="I57" s="98"/>
      <c r="J57" s="98"/>
      <c r="K57" s="98"/>
      <c r="L57" s="421"/>
    </row>
    <row r="58" spans="1:12" ht="20.25" customHeight="1" x14ac:dyDescent="0.25">
      <c r="A58" s="231" t="s">
        <v>181</v>
      </c>
      <c r="B58" s="232" t="s">
        <v>284</v>
      </c>
      <c r="C58" s="233">
        <f>SUM(C59:C63)</f>
        <v>0</v>
      </c>
      <c r="D58" s="233">
        <f t="shared" ref="D58:F58" si="11">SUM(D59:D63)</f>
        <v>0</v>
      </c>
      <c r="E58" s="233">
        <f t="shared" si="11"/>
        <v>0</v>
      </c>
      <c r="F58" s="429">
        <f t="shared" si="11"/>
        <v>0</v>
      </c>
      <c r="G58" s="71"/>
      <c r="H58" s="71" t="s">
        <v>223</v>
      </c>
      <c r="I58" s="98"/>
      <c r="J58" s="98"/>
      <c r="K58" s="98"/>
      <c r="L58" s="421"/>
    </row>
    <row r="59" spans="1:12" ht="20.25" customHeight="1" x14ac:dyDescent="0.25">
      <c r="A59" s="85"/>
      <c r="B59" s="88" t="s">
        <v>285</v>
      </c>
      <c r="C59" s="101"/>
      <c r="D59" s="101"/>
      <c r="E59" s="101"/>
      <c r="F59" s="422"/>
      <c r="G59" s="71"/>
      <c r="H59" s="71" t="s">
        <v>224</v>
      </c>
      <c r="I59" s="98">
        <f>'6.a szociális részletes'!I90</f>
        <v>148500</v>
      </c>
      <c r="J59" s="98">
        <f>'6.a szociális részletes'!J90</f>
        <v>148500</v>
      </c>
      <c r="K59" s="98">
        <f>'6.a szociális részletes'!K90</f>
        <v>18704</v>
      </c>
      <c r="L59" s="421">
        <f>'6.a szociális részletes'!L90</f>
        <v>0.12595286195286196</v>
      </c>
    </row>
    <row r="60" spans="1:12" ht="20.25" customHeight="1" x14ac:dyDescent="0.25">
      <c r="A60" s="85"/>
      <c r="B60" s="88" t="s">
        <v>286</v>
      </c>
      <c r="C60" s="101"/>
      <c r="D60" s="101"/>
      <c r="E60" s="101"/>
      <c r="F60" s="422"/>
      <c r="G60" s="231" t="s">
        <v>191</v>
      </c>
      <c r="H60" s="232" t="s">
        <v>225</v>
      </c>
      <c r="I60" s="233">
        <f>SUM(I61:I64)</f>
        <v>0</v>
      </c>
      <c r="J60" s="233">
        <f t="shared" ref="J60:L60" si="12">SUM(J61:J64)</f>
        <v>0</v>
      </c>
      <c r="K60" s="233">
        <f t="shared" si="12"/>
        <v>0</v>
      </c>
      <c r="L60" s="429">
        <f t="shared" si="12"/>
        <v>0</v>
      </c>
    </row>
    <row r="61" spans="1:12" ht="20.25" customHeight="1" x14ac:dyDescent="0.25">
      <c r="A61" s="85"/>
      <c r="B61" s="88" t="s">
        <v>287</v>
      </c>
      <c r="C61" s="101"/>
      <c r="D61" s="101"/>
      <c r="E61" s="101"/>
      <c r="F61" s="422"/>
      <c r="G61" s="71"/>
      <c r="H61" s="71" t="s">
        <v>226</v>
      </c>
      <c r="I61" s="98">
        <f>'6.a szociális részletes'!I92</f>
        <v>0</v>
      </c>
      <c r="J61" s="98">
        <f>'6.a szociális részletes'!J92</f>
        <v>0</v>
      </c>
      <c r="K61" s="98">
        <f>'6.a szociális részletes'!K92</f>
        <v>0</v>
      </c>
      <c r="L61" s="421">
        <f>'6.a szociális részletes'!L92</f>
        <v>0</v>
      </c>
    </row>
    <row r="62" spans="1:12" ht="20.25" customHeight="1" x14ac:dyDescent="0.25">
      <c r="A62" s="85"/>
      <c r="B62" s="88" t="s">
        <v>288</v>
      </c>
      <c r="C62" s="101"/>
      <c r="D62" s="101"/>
      <c r="E62" s="101"/>
      <c r="F62" s="422"/>
      <c r="G62" s="71"/>
      <c r="H62" s="71" t="s">
        <v>227</v>
      </c>
      <c r="I62" s="98">
        <f>'6.a szociális részletes'!I93</f>
        <v>0</v>
      </c>
      <c r="J62" s="98">
        <f>'6.a szociális részletes'!J93</f>
        <v>0</v>
      </c>
      <c r="K62" s="98">
        <f>'6.a szociális részletes'!K93</f>
        <v>0</v>
      </c>
      <c r="L62" s="421">
        <f>'6.a szociális részletes'!L93</f>
        <v>0</v>
      </c>
    </row>
    <row r="63" spans="1:12" ht="20.25" customHeight="1" x14ac:dyDescent="0.25">
      <c r="A63" s="85"/>
      <c r="B63" s="88" t="s">
        <v>289</v>
      </c>
      <c r="C63" s="101"/>
      <c r="D63" s="101"/>
      <c r="E63" s="101"/>
      <c r="F63" s="422"/>
      <c r="G63" s="71"/>
      <c r="H63" s="71" t="s">
        <v>228</v>
      </c>
      <c r="I63" s="98">
        <f>'6.a szociális részletes'!I94</f>
        <v>0</v>
      </c>
      <c r="J63" s="98">
        <f>'6.a szociális részletes'!J94</f>
        <v>0</v>
      </c>
      <c r="K63" s="98">
        <f>'6.a szociális részletes'!K94</f>
        <v>0</v>
      </c>
      <c r="L63" s="421">
        <f>'6.a szociális részletes'!L94</f>
        <v>0</v>
      </c>
    </row>
    <row r="64" spans="1:12" ht="20.25" customHeight="1" x14ac:dyDescent="0.25">
      <c r="A64" s="231" t="s">
        <v>191</v>
      </c>
      <c r="B64" s="232" t="s">
        <v>294</v>
      </c>
      <c r="C64" s="233">
        <f>C65+C66+C67</f>
        <v>0</v>
      </c>
      <c r="D64" s="233">
        <f t="shared" ref="D64:F64" si="13">D65+D66+D67</f>
        <v>0</v>
      </c>
      <c r="E64" s="233">
        <f t="shared" si="13"/>
        <v>0</v>
      </c>
      <c r="F64" s="429">
        <f t="shared" si="13"/>
        <v>0</v>
      </c>
      <c r="G64" s="71"/>
      <c r="H64" s="71" t="s">
        <v>229</v>
      </c>
      <c r="I64" s="98">
        <f>'6.a szociális részletes'!I95</f>
        <v>0</v>
      </c>
      <c r="J64" s="98">
        <f>'6.a szociális részletes'!J95</f>
        <v>0</v>
      </c>
      <c r="K64" s="98">
        <f>'6.a szociális részletes'!K95</f>
        <v>0</v>
      </c>
      <c r="L64" s="421">
        <f>'6.a szociális részletes'!L95</f>
        <v>0</v>
      </c>
    </row>
    <row r="65" spans="1:12" ht="29.25" customHeight="1" x14ac:dyDescent="0.25">
      <c r="A65" s="85"/>
      <c r="B65" s="88" t="s">
        <v>295</v>
      </c>
      <c r="C65" s="101"/>
      <c r="D65" s="101"/>
      <c r="E65" s="101"/>
      <c r="F65" s="422"/>
      <c r="G65" s="231" t="s">
        <v>199</v>
      </c>
      <c r="H65" s="232" t="s">
        <v>230</v>
      </c>
      <c r="I65" s="233">
        <f>'6.a szociális részletes'!I96</f>
        <v>0</v>
      </c>
      <c r="J65" s="233">
        <f>'6.a szociális részletes'!J96</f>
        <v>0</v>
      </c>
      <c r="K65" s="233">
        <f>'6.a szociális részletes'!K96</f>
        <v>0</v>
      </c>
      <c r="L65" s="429">
        <f>'6.a szociális részletes'!L96</f>
        <v>0</v>
      </c>
    </row>
    <row r="66" spans="1:12" ht="29.25" customHeight="1" x14ac:dyDescent="0.25">
      <c r="A66" s="85"/>
      <c r="B66" s="83" t="s">
        <v>296</v>
      </c>
      <c r="C66" s="101"/>
      <c r="D66" s="101"/>
      <c r="E66" s="101"/>
      <c r="F66" s="422"/>
      <c r="G66" s="71"/>
      <c r="H66" s="71"/>
      <c r="I66" s="98"/>
      <c r="J66" s="98"/>
      <c r="K66" s="98"/>
      <c r="L66" s="421"/>
    </row>
    <row r="67" spans="1:12" ht="21" customHeight="1" x14ac:dyDescent="0.25">
      <c r="A67" s="85"/>
      <c r="B67" s="88" t="s">
        <v>297</v>
      </c>
      <c r="C67" s="101"/>
      <c r="D67" s="101"/>
      <c r="E67" s="101"/>
      <c r="F67" s="422"/>
      <c r="G67" s="71"/>
      <c r="H67" s="71"/>
      <c r="I67" s="98"/>
      <c r="J67" s="98"/>
      <c r="K67" s="98"/>
      <c r="L67" s="421"/>
    </row>
    <row r="68" spans="1:12" ht="20.25" customHeight="1" x14ac:dyDescent="0.25">
      <c r="A68" s="306"/>
      <c r="B68" s="307" t="s">
        <v>298</v>
      </c>
      <c r="C68" s="308">
        <f>C78+C89</f>
        <v>33722635</v>
      </c>
      <c r="D68" s="308">
        <f t="shared" ref="D68:E68" si="14">D78+D89</f>
        <v>34051155</v>
      </c>
      <c r="E68" s="308">
        <f t="shared" si="14"/>
        <v>25455978</v>
      </c>
      <c r="F68" s="414">
        <f>+E68/D68</f>
        <v>0.74758045652195937</v>
      </c>
      <c r="G68" s="306"/>
      <c r="H68" s="307" t="s">
        <v>299</v>
      </c>
      <c r="I68" s="308">
        <f>I77+I88</f>
        <v>0</v>
      </c>
      <c r="J68" s="308">
        <f t="shared" ref="J68:L68" si="15">J77+J88</f>
        <v>0</v>
      </c>
      <c r="K68" s="308">
        <f t="shared" si="15"/>
        <v>0</v>
      </c>
      <c r="L68" s="414">
        <f t="shared" si="15"/>
        <v>0</v>
      </c>
    </row>
    <row r="69" spans="1:12" ht="21" customHeight="1" x14ac:dyDescent="0.25">
      <c r="A69" s="75"/>
      <c r="B69" s="93" t="s">
        <v>300</v>
      </c>
      <c r="C69" s="101"/>
      <c r="D69" s="101"/>
      <c r="E69" s="101"/>
      <c r="F69" s="422"/>
      <c r="G69" s="75"/>
      <c r="H69" s="93" t="s">
        <v>231</v>
      </c>
      <c r="I69" s="101"/>
      <c r="J69" s="101"/>
      <c r="K69" s="101"/>
      <c r="L69" s="422"/>
    </row>
    <row r="70" spans="1:12" ht="20.25" customHeight="1" x14ac:dyDescent="0.25">
      <c r="A70" s="75"/>
      <c r="B70" s="93" t="s">
        <v>301</v>
      </c>
      <c r="C70" s="101"/>
      <c r="D70" s="101"/>
      <c r="E70" s="101"/>
      <c r="F70" s="422"/>
      <c r="G70" s="75"/>
      <c r="H70" s="93" t="s">
        <v>232</v>
      </c>
      <c r="I70" s="101"/>
      <c r="J70" s="101"/>
      <c r="K70" s="101"/>
      <c r="L70" s="422"/>
    </row>
    <row r="71" spans="1:12" ht="20.25" customHeight="1" x14ac:dyDescent="0.25">
      <c r="A71" s="75"/>
      <c r="B71" s="93" t="s">
        <v>302</v>
      </c>
      <c r="C71" s="101"/>
      <c r="D71" s="101"/>
      <c r="E71" s="101"/>
      <c r="F71" s="422"/>
      <c r="G71" s="75"/>
      <c r="H71" s="93" t="s">
        <v>233</v>
      </c>
      <c r="I71" s="101"/>
      <c r="J71" s="101"/>
      <c r="K71" s="101"/>
      <c r="L71" s="422"/>
    </row>
    <row r="72" spans="1:12" ht="20.25" customHeight="1" x14ac:dyDescent="0.25">
      <c r="A72" s="75"/>
      <c r="B72" s="94" t="s">
        <v>303</v>
      </c>
      <c r="C72" s="101">
        <f>C69+C70+C71</f>
        <v>0</v>
      </c>
      <c r="D72" s="101">
        <f t="shared" ref="D72:F72" si="16">D69+D70+D71</f>
        <v>0</v>
      </c>
      <c r="E72" s="101">
        <f t="shared" si="16"/>
        <v>0</v>
      </c>
      <c r="F72" s="422">
        <f t="shared" si="16"/>
        <v>0</v>
      </c>
      <c r="G72" s="75"/>
      <c r="H72" s="94" t="s">
        <v>243</v>
      </c>
      <c r="I72" s="101">
        <f>I69+I70+I71</f>
        <v>0</v>
      </c>
      <c r="J72" s="101">
        <f t="shared" ref="J72:L72" si="17">J69+J70+J71</f>
        <v>0</v>
      </c>
      <c r="K72" s="101">
        <f t="shared" si="17"/>
        <v>0</v>
      </c>
      <c r="L72" s="422">
        <f t="shared" si="17"/>
        <v>0</v>
      </c>
    </row>
    <row r="73" spans="1:12" ht="20.25" customHeight="1" x14ac:dyDescent="0.25">
      <c r="A73" s="75"/>
      <c r="B73" s="69" t="s">
        <v>304</v>
      </c>
      <c r="C73" s="101"/>
      <c r="D73" s="101"/>
      <c r="E73" s="101"/>
      <c r="F73" s="422"/>
      <c r="G73" s="75"/>
      <c r="H73" s="93" t="s">
        <v>235</v>
      </c>
      <c r="I73" s="101"/>
      <c r="J73" s="101"/>
      <c r="K73" s="101"/>
      <c r="L73" s="422"/>
    </row>
    <row r="74" spans="1:12" ht="20.25" customHeight="1" x14ac:dyDescent="0.25">
      <c r="A74" s="75"/>
      <c r="B74" s="69" t="s">
        <v>305</v>
      </c>
      <c r="C74" s="101"/>
      <c r="D74" s="101"/>
      <c r="E74" s="101"/>
      <c r="F74" s="422"/>
      <c r="G74" s="75"/>
      <c r="H74" s="93" t="s">
        <v>1795</v>
      </c>
      <c r="I74" s="101"/>
      <c r="J74" s="101"/>
      <c r="K74" s="101"/>
      <c r="L74" s="422"/>
    </row>
    <row r="75" spans="1:12" ht="20.25" customHeight="1" x14ac:dyDescent="0.25">
      <c r="A75" s="75"/>
      <c r="B75" s="70" t="s">
        <v>306</v>
      </c>
      <c r="C75" s="101">
        <f>C73+C74</f>
        <v>0</v>
      </c>
      <c r="D75" s="101">
        <f t="shared" ref="D75:F75" si="18">D73+D74</f>
        <v>0</v>
      </c>
      <c r="E75" s="101">
        <f t="shared" si="18"/>
        <v>0</v>
      </c>
      <c r="F75" s="422">
        <f t="shared" si="18"/>
        <v>0</v>
      </c>
      <c r="G75" s="75"/>
      <c r="H75" s="94" t="s">
        <v>244</v>
      </c>
      <c r="I75" s="101">
        <f>I73+I74</f>
        <v>0</v>
      </c>
      <c r="J75" s="101">
        <f t="shared" ref="J75:L75" si="19">J73+J74</f>
        <v>0</v>
      </c>
      <c r="K75" s="101">
        <f t="shared" si="19"/>
        <v>0</v>
      </c>
      <c r="L75" s="422">
        <f t="shared" si="19"/>
        <v>0</v>
      </c>
    </row>
    <row r="76" spans="1:12" ht="20.25" customHeight="1" x14ac:dyDescent="0.25">
      <c r="A76" s="75"/>
      <c r="B76" s="70" t="s">
        <v>307</v>
      </c>
      <c r="C76" s="101">
        <f>'6.a szociális részletes'!C107</f>
        <v>0</v>
      </c>
      <c r="D76" s="101">
        <f>'6.a szociális részletes'!D107</f>
        <v>40755</v>
      </c>
      <c r="E76" s="101">
        <f>'6.a szociális részletes'!E107</f>
        <v>40755</v>
      </c>
      <c r="F76" s="422">
        <f>+E76/D76</f>
        <v>1</v>
      </c>
      <c r="G76" s="75"/>
      <c r="H76" s="94" t="s">
        <v>236</v>
      </c>
      <c r="I76" s="101"/>
      <c r="J76" s="101"/>
      <c r="K76" s="101"/>
      <c r="L76" s="422"/>
    </row>
    <row r="77" spans="1:12" ht="20.25" customHeight="1" x14ac:dyDescent="0.25">
      <c r="A77" s="75"/>
      <c r="B77" s="70" t="s">
        <v>308</v>
      </c>
      <c r="C77" s="101">
        <f>'6.a szociális részletes'!C108</f>
        <v>33024135</v>
      </c>
      <c r="D77" s="101">
        <f>'6.a szociális részletes'!D108</f>
        <v>33311900</v>
      </c>
      <c r="E77" s="101">
        <f>'6.a szociális részletes'!E108</f>
        <v>25347233</v>
      </c>
      <c r="F77" s="422">
        <f t="shared" ref="F77:F78" si="20">+E77/D77</f>
        <v>0.76090625272049928</v>
      </c>
      <c r="G77" s="75"/>
      <c r="H77" s="75" t="s">
        <v>245</v>
      </c>
      <c r="I77" s="109">
        <f>I72+I75+I76</f>
        <v>0</v>
      </c>
      <c r="J77" s="109">
        <f t="shared" ref="J77:L77" si="21">J72+J75+J76</f>
        <v>0</v>
      </c>
      <c r="K77" s="109">
        <f t="shared" si="21"/>
        <v>0</v>
      </c>
      <c r="L77" s="423">
        <f t="shared" si="21"/>
        <v>0</v>
      </c>
    </row>
    <row r="78" spans="1:12" ht="20.25" customHeight="1" x14ac:dyDescent="0.25">
      <c r="A78" s="75"/>
      <c r="B78" s="80" t="s">
        <v>309</v>
      </c>
      <c r="C78" s="109">
        <f>C72+C75+C76+C77</f>
        <v>33024135</v>
      </c>
      <c r="D78" s="109">
        <f t="shared" ref="D78:E78" si="22">D72+D75+D76+D77</f>
        <v>33352655</v>
      </c>
      <c r="E78" s="109">
        <f t="shared" si="22"/>
        <v>25387988</v>
      </c>
      <c r="F78" s="423">
        <f t="shared" si="20"/>
        <v>0.7611984113408663</v>
      </c>
      <c r="G78" s="75"/>
      <c r="H78" s="94"/>
      <c r="I78" s="101"/>
      <c r="J78" s="101"/>
      <c r="K78" s="101"/>
      <c r="L78" s="422"/>
    </row>
    <row r="79" spans="1:12" ht="20.25" customHeight="1" x14ac:dyDescent="0.25">
      <c r="A79" s="89"/>
      <c r="B79" s="79"/>
      <c r="C79" s="102"/>
      <c r="D79" s="102"/>
      <c r="E79" s="102"/>
      <c r="F79" s="424"/>
      <c r="G79" s="89"/>
      <c r="H79" s="89"/>
      <c r="I79" s="102"/>
      <c r="J79" s="102"/>
      <c r="K79" s="102"/>
      <c r="L79" s="424"/>
    </row>
    <row r="80" spans="1:12" ht="20.25" customHeight="1" x14ac:dyDescent="0.25">
      <c r="A80" s="75"/>
      <c r="B80" s="93" t="s">
        <v>300</v>
      </c>
      <c r="C80" s="101"/>
      <c r="D80" s="101"/>
      <c r="E80" s="101"/>
      <c r="F80" s="422"/>
      <c r="G80" s="75"/>
      <c r="H80" s="93" t="s">
        <v>231</v>
      </c>
      <c r="I80" s="101"/>
      <c r="J80" s="101"/>
      <c r="K80" s="101"/>
      <c r="L80" s="422"/>
    </row>
    <row r="81" spans="1:12" ht="20.25" customHeight="1" x14ac:dyDescent="0.25">
      <c r="A81" s="75"/>
      <c r="B81" s="93" t="s">
        <v>301</v>
      </c>
      <c r="C81" s="101"/>
      <c r="D81" s="101"/>
      <c r="E81" s="101"/>
      <c r="F81" s="422"/>
      <c r="G81" s="75"/>
      <c r="H81" s="93" t="s">
        <v>232</v>
      </c>
      <c r="I81" s="101"/>
      <c r="J81" s="101"/>
      <c r="K81" s="101"/>
      <c r="L81" s="422"/>
    </row>
    <row r="82" spans="1:12" ht="20.25" customHeight="1" x14ac:dyDescent="0.25">
      <c r="A82" s="75"/>
      <c r="B82" s="93" t="s">
        <v>302</v>
      </c>
      <c r="C82" s="101"/>
      <c r="D82" s="101"/>
      <c r="E82" s="101"/>
      <c r="F82" s="422"/>
      <c r="G82" s="75"/>
      <c r="H82" s="93" t="s">
        <v>233</v>
      </c>
      <c r="I82" s="101"/>
      <c r="J82" s="101"/>
      <c r="K82" s="101"/>
      <c r="L82" s="422"/>
    </row>
    <row r="83" spans="1:12" ht="20.25" customHeight="1" x14ac:dyDescent="0.25">
      <c r="A83" s="75"/>
      <c r="B83" s="94" t="s">
        <v>303</v>
      </c>
      <c r="C83" s="101">
        <f>C80+C81+C82</f>
        <v>0</v>
      </c>
      <c r="D83" s="101">
        <f t="shared" ref="D83:F83" si="23">D80+D81+D82</f>
        <v>0</v>
      </c>
      <c r="E83" s="101">
        <f t="shared" si="23"/>
        <v>0</v>
      </c>
      <c r="F83" s="422">
        <f t="shared" si="23"/>
        <v>0</v>
      </c>
      <c r="G83" s="75"/>
      <c r="H83" s="94" t="s">
        <v>243</v>
      </c>
      <c r="I83" s="101">
        <f>I80+I81+I82</f>
        <v>0</v>
      </c>
      <c r="J83" s="101">
        <f t="shared" ref="J83:L83" si="24">J80+J81+J82</f>
        <v>0</v>
      </c>
      <c r="K83" s="101">
        <f t="shared" si="24"/>
        <v>0</v>
      </c>
      <c r="L83" s="422">
        <f t="shared" si="24"/>
        <v>0</v>
      </c>
    </row>
    <row r="84" spans="1:12" ht="20.25" customHeight="1" x14ac:dyDescent="0.25">
      <c r="A84" s="75"/>
      <c r="B84" s="69" t="s">
        <v>304</v>
      </c>
      <c r="C84" s="101"/>
      <c r="D84" s="101"/>
      <c r="E84" s="101"/>
      <c r="F84" s="422"/>
      <c r="G84" s="75"/>
      <c r="H84" s="93" t="s">
        <v>235</v>
      </c>
      <c r="I84" s="101"/>
      <c r="J84" s="101"/>
      <c r="K84" s="101"/>
      <c r="L84" s="422"/>
    </row>
    <row r="85" spans="1:12" ht="20.25" customHeight="1" x14ac:dyDescent="0.25">
      <c r="A85" s="75"/>
      <c r="B85" s="69" t="s">
        <v>305</v>
      </c>
      <c r="C85" s="101"/>
      <c r="D85" s="101"/>
      <c r="E85" s="101"/>
      <c r="F85" s="422"/>
      <c r="G85" s="75"/>
      <c r="H85" s="93" t="s">
        <v>1795</v>
      </c>
      <c r="I85" s="101"/>
      <c r="J85" s="101"/>
      <c r="K85" s="101"/>
      <c r="L85" s="422"/>
    </row>
    <row r="86" spans="1:12" ht="20.25" customHeight="1" x14ac:dyDescent="0.25">
      <c r="A86" s="75"/>
      <c r="B86" s="70" t="s">
        <v>306</v>
      </c>
      <c r="C86" s="101">
        <f>C84+C85</f>
        <v>0</v>
      </c>
      <c r="D86" s="101">
        <f t="shared" ref="D86:F86" si="25">D84+D85</f>
        <v>0</v>
      </c>
      <c r="E86" s="101">
        <f t="shared" si="25"/>
        <v>0</v>
      </c>
      <c r="F86" s="422">
        <f t="shared" si="25"/>
        <v>0</v>
      </c>
      <c r="G86" s="75"/>
      <c r="H86" s="94" t="s">
        <v>244</v>
      </c>
      <c r="I86" s="101">
        <f>I84+I85</f>
        <v>0</v>
      </c>
      <c r="J86" s="101">
        <f t="shared" ref="J86:L86" si="26">J84+J85</f>
        <v>0</v>
      </c>
      <c r="K86" s="101">
        <f t="shared" si="26"/>
        <v>0</v>
      </c>
      <c r="L86" s="422">
        <f t="shared" si="26"/>
        <v>0</v>
      </c>
    </row>
    <row r="87" spans="1:12" ht="20.25" customHeight="1" x14ac:dyDescent="0.25">
      <c r="A87" s="75"/>
      <c r="B87" s="70" t="s">
        <v>311</v>
      </c>
      <c r="C87" s="101"/>
      <c r="D87" s="101"/>
      <c r="E87" s="101"/>
      <c r="F87" s="422"/>
      <c r="G87" s="75"/>
      <c r="H87" s="94" t="s">
        <v>236</v>
      </c>
      <c r="I87" s="101"/>
      <c r="J87" s="101"/>
      <c r="K87" s="101"/>
      <c r="L87" s="422"/>
    </row>
    <row r="88" spans="1:12" ht="20.25" customHeight="1" x14ac:dyDescent="0.25">
      <c r="A88" s="75"/>
      <c r="B88" s="70" t="s">
        <v>308</v>
      </c>
      <c r="C88" s="101">
        <f>'6.a szociális részletes'!C119</f>
        <v>698500</v>
      </c>
      <c r="D88" s="101">
        <f>'6.a szociális részletes'!D119</f>
        <v>698500</v>
      </c>
      <c r="E88" s="101">
        <f>'6.a szociális részletes'!E119</f>
        <v>67990</v>
      </c>
      <c r="F88" s="422">
        <f>+E88/D88</f>
        <v>9.7337151037938441E-2</v>
      </c>
      <c r="G88" s="75"/>
      <c r="H88" s="75" t="s">
        <v>246</v>
      </c>
      <c r="I88" s="109">
        <f>I83+I86+I87</f>
        <v>0</v>
      </c>
      <c r="J88" s="109">
        <f t="shared" ref="J88:L88" si="27">J83+J86+J87</f>
        <v>0</v>
      </c>
      <c r="K88" s="109">
        <f t="shared" si="27"/>
        <v>0</v>
      </c>
      <c r="L88" s="423">
        <f t="shared" si="27"/>
        <v>0</v>
      </c>
    </row>
    <row r="89" spans="1:12" ht="20.25" customHeight="1" x14ac:dyDescent="0.25">
      <c r="A89" s="107"/>
      <c r="B89" s="80" t="s">
        <v>310</v>
      </c>
      <c r="C89" s="109">
        <f>C83+C86+C87+C88</f>
        <v>698500</v>
      </c>
      <c r="D89" s="109">
        <f t="shared" ref="D89:E89" si="28">D83+D86+D87+D88</f>
        <v>698500</v>
      </c>
      <c r="E89" s="109">
        <f t="shared" si="28"/>
        <v>67990</v>
      </c>
      <c r="F89" s="423">
        <f>+E89/D89</f>
        <v>9.7337151037938441E-2</v>
      </c>
      <c r="G89" s="107"/>
      <c r="H89" s="94"/>
      <c r="I89" s="101"/>
      <c r="J89" s="101"/>
      <c r="K89" s="101"/>
      <c r="L89" s="422"/>
    </row>
    <row r="90" spans="1:12" ht="20.25" customHeight="1" x14ac:dyDescent="0.25">
      <c r="A90" s="851" t="s">
        <v>143</v>
      </c>
      <c r="B90" s="852"/>
      <c r="C90" s="238">
        <f>C2+C51+C68</f>
        <v>51742395</v>
      </c>
      <c r="D90" s="238">
        <f>D2+D51+D68</f>
        <v>52070915</v>
      </c>
      <c r="E90" s="238">
        <f>E2+E51+E68</f>
        <v>43410624</v>
      </c>
      <c r="F90" s="425">
        <f>+E90/D90</f>
        <v>0.83368275744722364</v>
      </c>
      <c r="G90" s="851" t="s">
        <v>144</v>
      </c>
      <c r="H90" s="852"/>
      <c r="I90" s="238">
        <f>I2+I51+I68</f>
        <v>51742394.942400001</v>
      </c>
      <c r="J90" s="238">
        <f>J2+J51+J68</f>
        <v>52070915</v>
      </c>
      <c r="K90" s="238">
        <f>K2+K51+K68</f>
        <v>43377917</v>
      </c>
      <c r="L90" s="425">
        <f>+K90/J90</f>
        <v>0.83305463328232277</v>
      </c>
    </row>
    <row r="91" spans="1:12" x14ac:dyDescent="0.25">
      <c r="C91" s="113">
        <f>+C90-'6.a szociális részletes'!C121</f>
        <v>0</v>
      </c>
      <c r="D91" s="113">
        <f>+D90-'6.a szociális részletes'!D121</f>
        <v>0</v>
      </c>
      <c r="E91" s="113">
        <f>+E90-'6.a szociális részletes'!E121</f>
        <v>0</v>
      </c>
      <c r="I91" s="113">
        <f>I90-C90</f>
        <v>-5.7599999010562897E-2</v>
      </c>
      <c r="J91" s="113">
        <f>J90-D90</f>
        <v>0</v>
      </c>
      <c r="K91" s="113">
        <f>+K90-'6.a szociális részletes'!K121</f>
        <v>0</v>
      </c>
    </row>
    <row r="92" spans="1:12" x14ac:dyDescent="0.25">
      <c r="K92" s="113">
        <f>+E90-K90</f>
        <v>32707</v>
      </c>
    </row>
    <row r="93" spans="1:12" x14ac:dyDescent="0.25">
      <c r="E93" s="21">
        <f>+(E76+E2)/E90</f>
        <v>0.414539099921715</v>
      </c>
    </row>
    <row r="94" spans="1:12" x14ac:dyDescent="0.25">
      <c r="E94" s="21">
        <f>21874752/E90</f>
        <v>0.50390319199281719</v>
      </c>
    </row>
    <row r="95" spans="1:12" x14ac:dyDescent="0.25">
      <c r="E95" s="21">
        <f>+(E77+E88-21874752)/E90</f>
        <v>8.1557708085467737E-2</v>
      </c>
    </row>
  </sheetData>
  <mergeCells count="2">
    <mergeCell ref="A90:B90"/>
    <mergeCell ref="G90:H9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&amp;CTaksony Nagyközség Önkormányzat 2018. évi zárszámadás&amp;R4.sz. melléklet</oddHeader>
    <oddFooter xml:space="preserve">&amp;LKészült: &amp;D
&amp;C&amp;P&amp;R/:Kreisz László://:Dr.Micheller Anita:/
/:Szelecki N.Andrea:/       </oddFooter>
  </headerFooter>
  <rowBreaks count="1" manualBreakCount="1">
    <brk id="50" max="11" man="1"/>
  </rowBreaks>
  <colBreaks count="1" manualBreakCount="1">
    <brk id="6" max="9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view="pageBreakPreview" zoomScale="70" zoomScaleNormal="80" zoomScaleSheetLayoutView="70" workbookViewId="0">
      <pane ySplit="1" topLeftCell="A2" activePane="bottomLeft" state="frozen"/>
      <selection activeCell="L86" sqref="L86"/>
      <selection pane="bottomLeft" activeCell="H35" sqref="H35"/>
    </sheetView>
  </sheetViews>
  <sheetFormatPr defaultRowHeight="15" x14ac:dyDescent="0.25"/>
  <cols>
    <col min="1" max="1" width="6.7109375" style="21" customWidth="1"/>
    <col min="2" max="2" width="82.5703125" style="21" customWidth="1"/>
    <col min="3" max="3" width="17" style="21" customWidth="1"/>
    <col min="4" max="4" width="20.28515625" style="21" customWidth="1"/>
    <col min="5" max="5" width="17.42578125" style="21" customWidth="1"/>
    <col min="6" max="6" width="12.28515625" style="426" customWidth="1"/>
    <col min="7" max="7" width="5.140625" style="21" customWidth="1"/>
    <col min="8" max="8" width="77.140625" style="21" bestFit="1" customWidth="1"/>
    <col min="9" max="9" width="16.5703125" style="21" customWidth="1"/>
    <col min="10" max="10" width="18.42578125" style="21" customWidth="1"/>
    <col min="11" max="11" width="17.85546875" style="21" customWidth="1"/>
    <col min="12" max="12" width="11.7109375" style="426" customWidth="1"/>
    <col min="13" max="16384" width="9.140625" style="21"/>
  </cols>
  <sheetData>
    <row r="1" spans="1:12" ht="40.5" customHeight="1" x14ac:dyDescent="0.25">
      <c r="A1" s="76"/>
      <c r="B1" s="77" t="s">
        <v>512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513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s="309" customFormat="1" ht="20.25" customHeight="1" x14ac:dyDescent="0.25">
      <c r="A2" s="306"/>
      <c r="B2" s="307" t="s">
        <v>180</v>
      </c>
      <c r="C2" s="308">
        <f>C3+C21+C23+C61</f>
        <v>18019760</v>
      </c>
      <c r="D2" s="308">
        <f t="shared" ref="D2:E2" si="0">D3+D21+D23+D61</f>
        <v>18019760</v>
      </c>
      <c r="E2" s="308">
        <f t="shared" si="0"/>
        <v>17954646</v>
      </c>
      <c r="F2" s="414">
        <f>+E2/D2</f>
        <v>0.9963865223510191</v>
      </c>
      <c r="G2" s="306"/>
      <c r="H2" s="307" t="s">
        <v>196</v>
      </c>
      <c r="I2" s="308">
        <f>I3+I17+I21+I68+I75</f>
        <v>51043894.942400001</v>
      </c>
      <c r="J2" s="308">
        <f t="shared" ref="J2:K2" si="1">J3+J17+J21+J68+J75</f>
        <v>51372415</v>
      </c>
      <c r="K2" s="308">
        <f t="shared" si="1"/>
        <v>43289937</v>
      </c>
      <c r="L2" s="414">
        <f>+K2/J2</f>
        <v>0.84266891093206342</v>
      </c>
    </row>
    <row r="3" spans="1:12" ht="20.25" customHeight="1" x14ac:dyDescent="0.25">
      <c r="A3" s="231" t="s">
        <v>23</v>
      </c>
      <c r="B3" s="232" t="s">
        <v>402</v>
      </c>
      <c r="C3" s="233">
        <f>SUM(C4+C12+C13+C14+C15+C16)</f>
        <v>14369760</v>
      </c>
      <c r="D3" s="233">
        <f t="shared" ref="D3:E3" si="2">SUM(D4+D12+D13+D14+D15+D16)</f>
        <v>14369760</v>
      </c>
      <c r="E3" s="233">
        <f t="shared" si="2"/>
        <v>14856400</v>
      </c>
      <c r="F3" s="415">
        <f>+E3/D3</f>
        <v>1.0338655621249067</v>
      </c>
      <c r="G3" s="231" t="s">
        <v>23</v>
      </c>
      <c r="H3" s="227" t="s">
        <v>313</v>
      </c>
      <c r="I3" s="228">
        <f>I12+I16</f>
        <v>33377345</v>
      </c>
      <c r="J3" s="228">
        <f t="shared" ref="J3:K3" si="3">J12+J16</f>
        <v>33636145</v>
      </c>
      <c r="K3" s="228">
        <f t="shared" si="3"/>
        <v>28359366</v>
      </c>
      <c r="L3" s="415">
        <f>+K3/J3</f>
        <v>0.84312176677797057</v>
      </c>
    </row>
    <row r="4" spans="1:12" ht="20.25" customHeight="1" x14ac:dyDescent="0.25">
      <c r="A4" s="70"/>
      <c r="B4" s="108" t="s">
        <v>443</v>
      </c>
      <c r="C4" s="106">
        <f>SUM(C5:C10)</f>
        <v>0</v>
      </c>
      <c r="D4" s="106">
        <f t="shared" ref="D4:F4" si="4">SUM(D5:D10)</f>
        <v>0</v>
      </c>
      <c r="E4" s="106">
        <f t="shared" si="4"/>
        <v>0</v>
      </c>
      <c r="F4" s="427">
        <f t="shared" si="4"/>
        <v>0</v>
      </c>
      <c r="G4" s="80"/>
      <c r="H4" s="69" t="s">
        <v>685</v>
      </c>
      <c r="I4" s="95">
        <f>27490000+969000</f>
        <v>28459000</v>
      </c>
      <c r="J4" s="95">
        <v>26605800</v>
      </c>
      <c r="K4" s="95">
        <v>24547324</v>
      </c>
      <c r="L4" s="416">
        <f>+K4/J4</f>
        <v>0.92263055424005291</v>
      </c>
    </row>
    <row r="5" spans="1:12" ht="24" customHeight="1" x14ac:dyDescent="0.25">
      <c r="A5" s="80"/>
      <c r="B5" s="83" t="s">
        <v>404</v>
      </c>
      <c r="C5" s="106"/>
      <c r="D5" s="106"/>
      <c r="E5" s="106"/>
      <c r="F5" s="427"/>
      <c r="G5" s="80"/>
      <c r="H5" s="69" t="s">
        <v>314</v>
      </c>
      <c r="I5" s="95"/>
      <c r="J5" s="95">
        <v>1500000</v>
      </c>
      <c r="K5" s="95">
        <v>1314286</v>
      </c>
      <c r="L5" s="416">
        <f>+K5/J5</f>
        <v>0.87619066666666667</v>
      </c>
    </row>
    <row r="6" spans="1:12" ht="24" customHeight="1" x14ac:dyDescent="0.25">
      <c r="A6" s="80"/>
      <c r="B6" s="83" t="s">
        <v>405</v>
      </c>
      <c r="C6" s="106"/>
      <c r="D6" s="106"/>
      <c r="E6" s="106"/>
      <c r="F6" s="427"/>
      <c r="G6" s="80"/>
      <c r="H6" s="69" t="s">
        <v>315</v>
      </c>
      <c r="I6" s="95"/>
      <c r="J6" s="95"/>
      <c r="K6" s="95"/>
      <c r="L6" s="416"/>
    </row>
    <row r="7" spans="1:12" ht="30" x14ac:dyDescent="0.25">
      <c r="A7" s="80"/>
      <c r="B7" s="83" t="s">
        <v>657</v>
      </c>
      <c r="C7" s="106"/>
      <c r="D7" s="106"/>
      <c r="E7" s="106"/>
      <c r="F7" s="427"/>
      <c r="G7" s="80"/>
      <c r="H7" s="69" t="s">
        <v>316</v>
      </c>
      <c r="I7" s="95"/>
      <c r="J7" s="95"/>
      <c r="K7" s="95"/>
      <c r="L7" s="416"/>
    </row>
    <row r="8" spans="1:12" ht="22.5" customHeight="1" x14ac:dyDescent="0.25">
      <c r="A8" s="80"/>
      <c r="B8" s="83" t="s">
        <v>406</v>
      </c>
      <c r="C8" s="106"/>
      <c r="D8" s="106"/>
      <c r="E8" s="106"/>
      <c r="F8" s="427"/>
      <c r="G8" s="80"/>
      <c r="H8" s="69" t="s">
        <v>683</v>
      </c>
      <c r="I8" s="204">
        <f>9.5*8000*12+I36*127%*20%+1</f>
        <v>997345</v>
      </c>
      <c r="J8" s="204">
        <v>1609345</v>
      </c>
      <c r="K8" s="204">
        <v>1607470</v>
      </c>
      <c r="L8" s="416">
        <f>+K8/J8</f>
        <v>0.99883492973849608</v>
      </c>
    </row>
    <row r="9" spans="1:12" ht="24.75" customHeight="1" x14ac:dyDescent="0.25">
      <c r="A9" s="80"/>
      <c r="B9" s="83" t="s">
        <v>658</v>
      </c>
      <c r="C9" s="81" t="s">
        <v>253</v>
      </c>
      <c r="D9" s="81"/>
      <c r="E9" s="81"/>
      <c r="F9" s="427"/>
      <c r="G9" s="80"/>
      <c r="H9" s="69" t="s">
        <v>317</v>
      </c>
      <c r="I9" s="95">
        <v>630000</v>
      </c>
      <c r="J9" s="95">
        <v>630000</v>
      </c>
      <c r="K9" s="95">
        <v>508530</v>
      </c>
      <c r="L9" s="416">
        <f>+K9/J9</f>
        <v>0.80719047619047624</v>
      </c>
    </row>
    <row r="10" spans="1:12" ht="18" customHeight="1" x14ac:dyDescent="0.25">
      <c r="A10" s="80"/>
      <c r="B10" s="83" t="s">
        <v>659</v>
      </c>
      <c r="C10" s="81" t="s">
        <v>253</v>
      </c>
      <c r="D10" s="81"/>
      <c r="E10" s="81"/>
      <c r="F10" s="427"/>
      <c r="G10" s="84"/>
      <c r="H10" s="69" t="s">
        <v>318</v>
      </c>
      <c r="I10" s="105"/>
      <c r="J10" s="105"/>
      <c r="K10" s="105"/>
      <c r="L10" s="416"/>
    </row>
    <row r="11" spans="1:12" ht="20.25" customHeight="1" x14ac:dyDescent="0.25">
      <c r="A11" s="80"/>
      <c r="B11" s="111"/>
      <c r="C11" s="87"/>
      <c r="D11" s="87"/>
      <c r="E11" s="87"/>
      <c r="F11" s="422"/>
      <c r="G11" s="84"/>
      <c r="H11" s="69" t="s">
        <v>684</v>
      </c>
      <c r="I11" s="204">
        <v>273000</v>
      </c>
      <c r="J11" s="204">
        <v>273000</v>
      </c>
      <c r="K11" s="204">
        <v>266526</v>
      </c>
      <c r="L11" s="416">
        <f t="shared" ref="L11:L20" si="5">+K11/J11</f>
        <v>0.97628571428571431</v>
      </c>
    </row>
    <row r="12" spans="1:12" ht="24.75" customHeight="1" x14ac:dyDescent="0.25">
      <c r="A12" s="80"/>
      <c r="B12" s="83" t="s">
        <v>409</v>
      </c>
      <c r="C12" s="87"/>
      <c r="D12" s="87"/>
      <c r="E12" s="87"/>
      <c r="F12" s="422"/>
      <c r="G12" s="84"/>
      <c r="H12" s="70" t="s">
        <v>320</v>
      </c>
      <c r="I12" s="104">
        <f>I4+I5+I6+I7+I8+I9+I10+I11</f>
        <v>30359345</v>
      </c>
      <c r="J12" s="104">
        <f t="shared" ref="J12:K12" si="6">J4+J5+J6+J7+J8+J9+J10+J11</f>
        <v>30618145</v>
      </c>
      <c r="K12" s="104">
        <f t="shared" si="6"/>
        <v>28244136</v>
      </c>
      <c r="L12" s="416">
        <f t="shared" si="5"/>
        <v>0.92246398336672586</v>
      </c>
    </row>
    <row r="13" spans="1:12" ht="30" x14ac:dyDescent="0.25">
      <c r="A13" s="70"/>
      <c r="B13" s="83" t="s">
        <v>410</v>
      </c>
      <c r="C13" s="106"/>
      <c r="D13" s="106"/>
      <c r="E13" s="106"/>
      <c r="F13" s="427"/>
      <c r="G13" s="84"/>
      <c r="H13" s="69" t="s">
        <v>321</v>
      </c>
      <c r="I13" s="97"/>
      <c r="J13" s="97"/>
      <c r="K13" s="97"/>
      <c r="L13" s="416"/>
    </row>
    <row r="14" spans="1:12" ht="29.25" customHeight="1" x14ac:dyDescent="0.25">
      <c r="A14" s="70"/>
      <c r="B14" s="83" t="s">
        <v>411</v>
      </c>
      <c r="C14" s="106"/>
      <c r="D14" s="106"/>
      <c r="E14" s="106"/>
      <c r="F14" s="427"/>
      <c r="G14" s="84"/>
      <c r="H14" s="69" t="s">
        <v>322</v>
      </c>
      <c r="I14" s="104">
        <v>2988000</v>
      </c>
      <c r="J14" s="104">
        <v>2978000</v>
      </c>
      <c r="K14" s="104">
        <v>84269</v>
      </c>
      <c r="L14" s="416">
        <f t="shared" si="5"/>
        <v>2.8297179314976495E-2</v>
      </c>
    </row>
    <row r="15" spans="1:12" ht="29.25" customHeight="1" x14ac:dyDescent="0.25">
      <c r="A15" s="70"/>
      <c r="B15" s="83" t="s">
        <v>412</v>
      </c>
      <c r="C15" s="106"/>
      <c r="D15" s="106"/>
      <c r="E15" s="106"/>
      <c r="F15" s="427"/>
      <c r="G15" s="84"/>
      <c r="H15" s="69" t="s">
        <v>686</v>
      </c>
      <c r="I15" s="104">
        <v>30000</v>
      </c>
      <c r="J15" s="104">
        <v>40000</v>
      </c>
      <c r="K15" s="104">
        <v>30961</v>
      </c>
      <c r="L15" s="416">
        <f t="shared" si="5"/>
        <v>0.77402499999999996</v>
      </c>
    </row>
    <row r="16" spans="1:12" ht="31.5" customHeight="1" x14ac:dyDescent="0.25">
      <c r="A16" s="70"/>
      <c r="B16" s="83" t="s">
        <v>682</v>
      </c>
      <c r="C16" s="205">
        <f>(1836*430*12+103000*3*12+33000*3*12)</f>
        <v>14369760</v>
      </c>
      <c r="D16" s="205">
        <f t="shared" ref="D16" si="7">(1836*430*12+103000*3*12+33000*3*12)</f>
        <v>14369760</v>
      </c>
      <c r="E16" s="205">
        <v>14856400</v>
      </c>
      <c r="F16" s="428">
        <f>+E16/D16</f>
        <v>1.0338655621249067</v>
      </c>
      <c r="G16" s="84"/>
      <c r="H16" s="70" t="s">
        <v>324</v>
      </c>
      <c r="I16" s="104">
        <f>I13+I14+I15</f>
        <v>3018000</v>
      </c>
      <c r="J16" s="104">
        <f t="shared" ref="J16:K16" si="8">J13+J14+J15</f>
        <v>3018000</v>
      </c>
      <c r="K16" s="104">
        <f t="shared" si="8"/>
        <v>115230</v>
      </c>
      <c r="L16" s="416">
        <f t="shared" si="5"/>
        <v>3.8180914512922465E-2</v>
      </c>
    </row>
    <row r="17" spans="1:12" ht="18.75" customHeight="1" x14ac:dyDescent="0.25">
      <c r="A17" s="70"/>
      <c r="B17" s="83"/>
      <c r="C17" s="106"/>
      <c r="D17" s="106"/>
      <c r="E17" s="106"/>
      <c r="F17" s="427"/>
      <c r="G17" s="231" t="s">
        <v>45</v>
      </c>
      <c r="H17" s="227" t="s">
        <v>325</v>
      </c>
      <c r="I17" s="228">
        <f>SUM(I18:I20)</f>
        <v>6544444.9424000001</v>
      </c>
      <c r="J17" s="228">
        <f t="shared" ref="J17:K17" si="9">SUM(J18:J20)</f>
        <v>6596665</v>
      </c>
      <c r="K17" s="228">
        <f t="shared" si="9"/>
        <v>5829906</v>
      </c>
      <c r="L17" s="415">
        <f>+K17/J17</f>
        <v>0.88376566037535631</v>
      </c>
    </row>
    <row r="18" spans="1:12" ht="20.25" customHeight="1" x14ac:dyDescent="0.25">
      <c r="A18" s="70"/>
      <c r="B18" s="83"/>
      <c r="C18" s="106"/>
      <c r="D18" s="106"/>
      <c r="E18" s="106"/>
      <c r="F18" s="427"/>
      <c r="G18" s="71"/>
      <c r="H18" s="93" t="s">
        <v>759</v>
      </c>
      <c r="I18" s="104">
        <f>(I4+I14+I11)*19.5%</f>
        <v>6185400</v>
      </c>
      <c r="J18" s="104">
        <v>6233520</v>
      </c>
      <c r="K18" s="104">
        <v>5156948</v>
      </c>
      <c r="L18" s="416">
        <f t="shared" si="5"/>
        <v>0.82729308641024657</v>
      </c>
    </row>
    <row r="19" spans="1:12" ht="20.25" customHeight="1" x14ac:dyDescent="0.25">
      <c r="A19" s="70"/>
      <c r="B19" s="83"/>
      <c r="C19" s="106"/>
      <c r="D19" s="106"/>
      <c r="E19" s="106"/>
      <c r="F19" s="427"/>
      <c r="G19" s="71"/>
      <c r="H19" s="93" t="s">
        <v>760</v>
      </c>
      <c r="I19" s="104">
        <f>9.5*8000*12*1.18*14%+I36*127%*20%*1.18*19.5%+I15*1.18*19.5%+2</f>
        <v>177205.05440000002</v>
      </c>
      <c r="J19" s="104">
        <v>179185</v>
      </c>
      <c r="K19" s="104">
        <v>351594</v>
      </c>
      <c r="L19" s="416">
        <f t="shared" si="5"/>
        <v>1.9621843346262242</v>
      </c>
    </row>
    <row r="20" spans="1:12" ht="20.25" customHeight="1" x14ac:dyDescent="0.25">
      <c r="A20" s="70"/>
      <c r="B20" s="83"/>
      <c r="C20" s="106"/>
      <c r="D20" s="106"/>
      <c r="E20" s="106"/>
      <c r="F20" s="427"/>
      <c r="G20" s="71"/>
      <c r="H20" s="93" t="s">
        <v>687</v>
      </c>
      <c r="I20" s="104">
        <f>9.5*8000*12*1.18*15%+I36*127%*20%*1.18*15%+I15*1.18*15%</f>
        <v>181839.88800000001</v>
      </c>
      <c r="J20" s="104">
        <v>183960</v>
      </c>
      <c r="K20" s="104">
        <v>321364</v>
      </c>
      <c r="L20" s="416">
        <f t="shared" si="5"/>
        <v>1.7469232441835181</v>
      </c>
    </row>
    <row r="21" spans="1:12" ht="20.25" customHeight="1" x14ac:dyDescent="0.25">
      <c r="A21" s="231" t="s">
        <v>45</v>
      </c>
      <c r="B21" s="232" t="s">
        <v>445</v>
      </c>
      <c r="C21" s="233">
        <f>0</f>
        <v>0</v>
      </c>
      <c r="D21" s="233">
        <f>0</f>
        <v>0</v>
      </c>
      <c r="E21" s="233">
        <f>0</f>
        <v>0</v>
      </c>
      <c r="F21" s="429">
        <f>0</f>
        <v>0</v>
      </c>
      <c r="G21" s="231" t="s">
        <v>56</v>
      </c>
      <c r="H21" s="227" t="s">
        <v>326</v>
      </c>
      <c r="I21" s="228">
        <f>I34+I37+I58+I61+I67</f>
        <v>11122105</v>
      </c>
      <c r="J21" s="228">
        <f t="shared" ref="J21:K21" si="10">J34+J37+J58+J61+J67</f>
        <v>11139605</v>
      </c>
      <c r="K21" s="228">
        <f t="shared" si="10"/>
        <v>9100665</v>
      </c>
      <c r="L21" s="415">
        <f>+K21/J21</f>
        <v>0.81696478465798383</v>
      </c>
    </row>
    <row r="22" spans="1:12" ht="20.25" customHeight="1" x14ac:dyDescent="0.25">
      <c r="A22" s="85"/>
      <c r="B22" s="87"/>
      <c r="C22" s="95"/>
      <c r="D22" s="95"/>
      <c r="E22" s="95"/>
      <c r="F22" s="416"/>
      <c r="G22" s="71"/>
      <c r="H22" s="71" t="s">
        <v>327</v>
      </c>
      <c r="I22" s="104">
        <f>SUM(I23:I25)</f>
        <v>250000</v>
      </c>
      <c r="J22" s="104">
        <f t="shared" ref="J22:K22" si="11">SUM(J23:J25)</f>
        <v>250000</v>
      </c>
      <c r="K22" s="104">
        <f t="shared" si="11"/>
        <v>40038</v>
      </c>
      <c r="L22" s="416">
        <f t="shared" ref="L22:L67" si="12">+K22/J22</f>
        <v>0.16015199999999999</v>
      </c>
    </row>
    <row r="23" spans="1:12" ht="20.25" customHeight="1" x14ac:dyDescent="0.25">
      <c r="A23" s="231" t="s">
        <v>56</v>
      </c>
      <c r="B23" s="232" t="s">
        <v>444</v>
      </c>
      <c r="C23" s="233">
        <f>C24+C25+C31+C32+C33+C39+C40+C41+C42+C43</f>
        <v>3650000</v>
      </c>
      <c r="D23" s="233">
        <f t="shared" ref="D23:E23" si="13">D24+D25+D31+D32+D33+D39+D40+D41+D42+D43</f>
        <v>3650000</v>
      </c>
      <c r="E23" s="233">
        <f t="shared" si="13"/>
        <v>3098246</v>
      </c>
      <c r="F23" s="429">
        <f>+E23/D23</f>
        <v>0.84883452054794517</v>
      </c>
      <c r="G23" s="71"/>
      <c r="H23" s="71" t="s">
        <v>328</v>
      </c>
      <c r="I23" s="104">
        <v>50000</v>
      </c>
      <c r="J23" s="104">
        <v>50000</v>
      </c>
      <c r="K23" s="104">
        <v>40038</v>
      </c>
      <c r="L23" s="416">
        <f t="shared" si="12"/>
        <v>0.80076000000000003</v>
      </c>
    </row>
    <row r="24" spans="1:12" ht="20.25" customHeight="1" x14ac:dyDescent="0.25">
      <c r="A24" s="85"/>
      <c r="B24" s="88" t="s">
        <v>446</v>
      </c>
      <c r="C24" s="101"/>
      <c r="D24" s="101"/>
      <c r="E24" s="101"/>
      <c r="F24" s="422"/>
      <c r="G24" s="71"/>
      <c r="H24" s="71" t="s">
        <v>329</v>
      </c>
      <c r="I24" s="104">
        <v>40000</v>
      </c>
      <c r="J24" s="104">
        <v>40000</v>
      </c>
      <c r="K24" s="104"/>
      <c r="L24" s="416">
        <f t="shared" si="12"/>
        <v>0</v>
      </c>
    </row>
    <row r="25" spans="1:12" ht="20.25" customHeight="1" x14ac:dyDescent="0.25">
      <c r="A25" s="85"/>
      <c r="B25" s="88" t="s">
        <v>447</v>
      </c>
      <c r="C25" s="101">
        <f>SUM(C26:C30)</f>
        <v>0</v>
      </c>
      <c r="D25" s="101">
        <f t="shared" ref="D25:F25" si="14">SUM(D26:D30)</f>
        <v>0</v>
      </c>
      <c r="E25" s="101">
        <f t="shared" si="14"/>
        <v>0</v>
      </c>
      <c r="F25" s="422">
        <f t="shared" si="14"/>
        <v>0</v>
      </c>
      <c r="G25" s="71"/>
      <c r="H25" s="71" t="s">
        <v>765</v>
      </c>
      <c r="I25" s="104">
        <v>160000</v>
      </c>
      <c r="J25" s="104">
        <v>160000</v>
      </c>
      <c r="K25" s="104"/>
      <c r="L25" s="416">
        <f t="shared" si="12"/>
        <v>0</v>
      </c>
    </row>
    <row r="26" spans="1:12" ht="20.25" customHeight="1" x14ac:dyDescent="0.25">
      <c r="A26" s="85"/>
      <c r="B26" s="88" t="s">
        <v>466</v>
      </c>
      <c r="C26" s="101"/>
      <c r="D26" s="101"/>
      <c r="E26" s="101"/>
      <c r="F26" s="422"/>
      <c r="G26" s="71"/>
      <c r="H26" s="71" t="s">
        <v>337</v>
      </c>
      <c r="I26" s="104">
        <f>SUM(I27:I32)</f>
        <v>832500</v>
      </c>
      <c r="J26" s="104">
        <f t="shared" ref="J26:K26" si="15">SUM(J27:J32)</f>
        <v>600000</v>
      </c>
      <c r="K26" s="104">
        <f t="shared" si="15"/>
        <v>537582</v>
      </c>
      <c r="L26" s="416">
        <f t="shared" si="12"/>
        <v>0.89597000000000004</v>
      </c>
    </row>
    <row r="27" spans="1:12" ht="20.25" customHeight="1" x14ac:dyDescent="0.25">
      <c r="A27" s="85"/>
      <c r="B27" s="88" t="s">
        <v>464</v>
      </c>
      <c r="C27" s="101"/>
      <c r="D27" s="101"/>
      <c r="E27" s="101"/>
      <c r="F27" s="422"/>
      <c r="G27" s="71"/>
      <c r="H27" s="71" t="s">
        <v>331</v>
      </c>
      <c r="I27" s="104"/>
      <c r="J27" s="104"/>
      <c r="K27" s="104"/>
      <c r="L27" s="416"/>
    </row>
    <row r="28" spans="1:12" ht="20.25" customHeight="1" x14ac:dyDescent="0.25">
      <c r="A28" s="85"/>
      <c r="B28" s="21" t="s">
        <v>465</v>
      </c>
      <c r="C28" s="101"/>
      <c r="D28" s="101"/>
      <c r="E28" s="101"/>
      <c r="F28" s="422"/>
      <c r="G28" s="71"/>
      <c r="H28" s="71" t="s">
        <v>332</v>
      </c>
      <c r="I28" s="104">
        <v>120000</v>
      </c>
      <c r="J28" s="104">
        <v>80000</v>
      </c>
      <c r="K28" s="104">
        <v>83781</v>
      </c>
      <c r="L28" s="416">
        <f t="shared" si="12"/>
        <v>1.0472625</v>
      </c>
    </row>
    <row r="29" spans="1:12" ht="20.25" customHeight="1" x14ac:dyDescent="0.25">
      <c r="A29" s="85"/>
      <c r="B29" s="88" t="s">
        <v>491</v>
      </c>
      <c r="C29" s="101"/>
      <c r="D29" s="101"/>
      <c r="E29" s="101"/>
      <c r="F29" s="422"/>
      <c r="G29" s="71"/>
      <c r="H29" s="71" t="s">
        <v>333</v>
      </c>
      <c r="I29" s="104">
        <v>50000</v>
      </c>
      <c r="J29" s="104">
        <v>50000</v>
      </c>
      <c r="K29" s="104"/>
      <c r="L29" s="416">
        <f t="shared" si="12"/>
        <v>0</v>
      </c>
    </row>
    <row r="30" spans="1:12" ht="20.25" customHeight="1" x14ac:dyDescent="0.25">
      <c r="A30" s="85"/>
      <c r="B30" s="88" t="s">
        <v>492</v>
      </c>
      <c r="C30" s="101"/>
      <c r="D30" s="101"/>
      <c r="E30" s="101"/>
      <c r="F30" s="422"/>
      <c r="G30" s="71"/>
      <c r="H30" s="71" t="s">
        <v>334</v>
      </c>
      <c r="I30" s="104"/>
      <c r="J30" s="104"/>
      <c r="K30" s="104"/>
      <c r="L30" s="416"/>
    </row>
    <row r="31" spans="1:12" ht="20.25" customHeight="1" x14ac:dyDescent="0.25">
      <c r="A31" s="85"/>
      <c r="B31" s="88" t="s">
        <v>448</v>
      </c>
      <c r="C31" s="101"/>
      <c r="D31" s="101"/>
      <c r="E31" s="101"/>
      <c r="F31" s="422"/>
      <c r="G31" s="71"/>
      <c r="H31" s="71" t="s">
        <v>335</v>
      </c>
      <c r="I31" s="104">
        <f>9.5*35000</f>
        <v>332500</v>
      </c>
      <c r="J31" s="104">
        <v>300000</v>
      </c>
      <c r="K31" s="104">
        <v>266331</v>
      </c>
      <c r="L31" s="416">
        <f t="shared" si="12"/>
        <v>0.88776999999999995</v>
      </c>
    </row>
    <row r="32" spans="1:12" ht="20.25" customHeight="1" x14ac:dyDescent="0.25">
      <c r="A32" s="85"/>
      <c r="B32" s="88" t="s">
        <v>449</v>
      </c>
      <c r="C32" s="101"/>
      <c r="D32" s="101"/>
      <c r="E32" s="101"/>
      <c r="F32" s="422"/>
      <c r="G32" s="71"/>
      <c r="H32" s="71" t="s">
        <v>625</v>
      </c>
      <c r="I32" s="204">
        <v>330000</v>
      </c>
      <c r="J32" s="204">
        <v>170000</v>
      </c>
      <c r="K32" s="204">
        <v>187470</v>
      </c>
      <c r="L32" s="416">
        <f t="shared" si="12"/>
        <v>1.1027647058823529</v>
      </c>
    </row>
    <row r="33" spans="1:12" ht="20.25" customHeight="1" x14ac:dyDescent="0.25">
      <c r="A33" s="85"/>
      <c r="B33" s="88" t="s">
        <v>450</v>
      </c>
      <c r="C33" s="101">
        <f>SUM(C34:C38)</f>
        <v>3650000</v>
      </c>
      <c r="D33" s="101">
        <f t="shared" ref="D33" si="16">SUM(D34:D38)</f>
        <v>3650000</v>
      </c>
      <c r="E33" s="101">
        <f>SUM(E34:E38)</f>
        <v>3098245</v>
      </c>
      <c r="F33" s="422">
        <f>+E33/D33</f>
        <v>0.84883424657534245</v>
      </c>
      <c r="G33" s="71"/>
      <c r="H33" s="71" t="s">
        <v>338</v>
      </c>
      <c r="I33" s="104"/>
      <c r="J33" s="104"/>
      <c r="K33" s="104"/>
      <c r="L33" s="416"/>
    </row>
    <row r="34" spans="1:12" ht="20.25" customHeight="1" x14ac:dyDescent="0.25">
      <c r="A34" s="85"/>
      <c r="B34" s="21" t="s">
        <v>494</v>
      </c>
      <c r="C34" s="101"/>
      <c r="D34" s="101"/>
      <c r="E34" s="101"/>
      <c r="F34" s="422"/>
      <c r="G34" s="71"/>
      <c r="H34" s="72" t="s">
        <v>339</v>
      </c>
      <c r="I34" s="104">
        <f>I22+I26+I33</f>
        <v>1082500</v>
      </c>
      <c r="J34" s="104">
        <f t="shared" ref="J34:K34" si="17">J22+J26+J33</f>
        <v>850000</v>
      </c>
      <c r="K34" s="104">
        <f t="shared" si="17"/>
        <v>577620</v>
      </c>
      <c r="L34" s="416">
        <f t="shared" si="12"/>
        <v>0.67955294117647058</v>
      </c>
    </row>
    <row r="35" spans="1:12" ht="20.25" customHeight="1" x14ac:dyDescent="0.25">
      <c r="A35" s="85"/>
      <c r="B35" s="87" t="s">
        <v>495</v>
      </c>
      <c r="C35" s="101"/>
      <c r="D35" s="101"/>
      <c r="E35" s="101"/>
      <c r="F35" s="422"/>
      <c r="G35" s="71"/>
      <c r="H35" s="71" t="s">
        <v>623</v>
      </c>
      <c r="I35" s="104">
        <f>21000*4+10000*12</f>
        <v>204000</v>
      </c>
      <c r="J35" s="104">
        <v>244000</v>
      </c>
      <c r="K35" s="104">
        <v>233090</v>
      </c>
      <c r="L35" s="416">
        <f t="shared" si="12"/>
        <v>0.95528688524590166</v>
      </c>
    </row>
    <row r="36" spans="1:12" ht="20.25" customHeight="1" x14ac:dyDescent="0.25">
      <c r="A36" s="85"/>
      <c r="B36" s="87" t="s">
        <v>493</v>
      </c>
      <c r="C36" s="101">
        <v>3400000</v>
      </c>
      <c r="D36" s="101">
        <v>3400000</v>
      </c>
      <c r="E36" s="101">
        <v>2821510</v>
      </c>
      <c r="F36" s="422">
        <f t="shared" ref="F36:F38" si="18">+E36/D36</f>
        <v>0.82985588235294117</v>
      </c>
      <c r="G36" s="71"/>
      <c r="H36" s="71" t="s">
        <v>489</v>
      </c>
      <c r="I36" s="104">
        <f>21000*12+7000*12</f>
        <v>336000</v>
      </c>
      <c r="J36" s="104">
        <v>417000</v>
      </c>
      <c r="K36" s="104">
        <v>409437</v>
      </c>
      <c r="L36" s="416">
        <f t="shared" si="12"/>
        <v>0.98186330935251798</v>
      </c>
    </row>
    <row r="37" spans="1:12" ht="20.25" customHeight="1" x14ac:dyDescent="0.25">
      <c r="A37" s="85"/>
      <c r="B37" s="87" t="s">
        <v>451</v>
      </c>
      <c r="C37" s="101"/>
      <c r="D37" s="101"/>
      <c r="E37" s="101"/>
      <c r="F37" s="422"/>
      <c r="G37" s="71"/>
      <c r="H37" s="72" t="s">
        <v>340</v>
      </c>
      <c r="I37" s="104">
        <f>I35+I36</f>
        <v>540000</v>
      </c>
      <c r="J37" s="104">
        <f t="shared" ref="J37:K37" si="19">J35+J36</f>
        <v>661000</v>
      </c>
      <c r="K37" s="104">
        <f t="shared" si="19"/>
        <v>642527</v>
      </c>
      <c r="L37" s="416">
        <f t="shared" si="12"/>
        <v>0.97205295007564296</v>
      </c>
    </row>
    <row r="38" spans="1:12" ht="20.25" customHeight="1" x14ac:dyDescent="0.25">
      <c r="A38" s="85"/>
      <c r="B38" s="21" t="s">
        <v>624</v>
      </c>
      <c r="C38" s="101">
        <v>250000</v>
      </c>
      <c r="D38" s="101">
        <v>250000</v>
      </c>
      <c r="E38" s="101">
        <v>276735</v>
      </c>
      <c r="F38" s="422">
        <f t="shared" si="18"/>
        <v>1.10694</v>
      </c>
      <c r="G38" s="71"/>
      <c r="H38" s="71" t="s">
        <v>344</v>
      </c>
      <c r="I38" s="104">
        <f>SUM(I39:I41)</f>
        <v>750000</v>
      </c>
      <c r="J38" s="104">
        <f t="shared" ref="J38:K38" si="20">SUM(J39:J41)</f>
        <v>750000</v>
      </c>
      <c r="K38" s="104">
        <f t="shared" si="20"/>
        <v>644964</v>
      </c>
      <c r="L38" s="416">
        <f t="shared" si="12"/>
        <v>0.85995200000000005</v>
      </c>
    </row>
    <row r="39" spans="1:12" ht="20.25" customHeight="1" x14ac:dyDescent="0.25">
      <c r="A39" s="85"/>
      <c r="B39" s="88" t="s">
        <v>452</v>
      </c>
      <c r="C39" s="101"/>
      <c r="D39" s="101"/>
      <c r="E39" s="101"/>
      <c r="F39" s="422"/>
      <c r="G39" s="71"/>
      <c r="H39" s="71" t="s">
        <v>345</v>
      </c>
      <c r="I39" s="104">
        <v>300000</v>
      </c>
      <c r="J39" s="104">
        <v>300000</v>
      </c>
      <c r="K39" s="104">
        <v>266060</v>
      </c>
      <c r="L39" s="416">
        <f t="shared" si="12"/>
        <v>0.88686666666666669</v>
      </c>
    </row>
    <row r="40" spans="1:12" ht="20.25" customHeight="1" x14ac:dyDescent="0.25">
      <c r="A40" s="87"/>
      <c r="B40" s="88" t="s">
        <v>453</v>
      </c>
      <c r="C40" s="87"/>
      <c r="D40" s="87"/>
      <c r="E40" s="87"/>
      <c r="F40" s="422"/>
      <c r="G40" s="71"/>
      <c r="H40" s="71" t="s">
        <v>347</v>
      </c>
      <c r="I40" s="104">
        <v>350000</v>
      </c>
      <c r="J40" s="104">
        <v>350000</v>
      </c>
      <c r="K40" s="104">
        <v>308557</v>
      </c>
      <c r="L40" s="416">
        <f t="shared" si="12"/>
        <v>0.88159142857142858</v>
      </c>
    </row>
    <row r="41" spans="1:12" ht="20.25" customHeight="1" x14ac:dyDescent="0.25">
      <c r="A41" s="87"/>
      <c r="B41" s="88" t="s">
        <v>660</v>
      </c>
      <c r="C41" s="87">
        <v>0</v>
      </c>
      <c r="D41" s="87">
        <v>0</v>
      </c>
      <c r="E41" s="87">
        <v>1</v>
      </c>
      <c r="F41" s="422"/>
      <c r="G41" s="71"/>
      <c r="H41" s="71" t="s">
        <v>346</v>
      </c>
      <c r="I41" s="104">
        <v>100000</v>
      </c>
      <c r="J41" s="104">
        <v>100000</v>
      </c>
      <c r="K41" s="104">
        <v>70347</v>
      </c>
      <c r="L41" s="416">
        <f t="shared" si="12"/>
        <v>0.70347000000000004</v>
      </c>
    </row>
    <row r="42" spans="1:12" ht="20.25" customHeight="1" x14ac:dyDescent="0.25">
      <c r="A42" s="87"/>
      <c r="B42" s="88" t="s">
        <v>455</v>
      </c>
      <c r="C42" s="87"/>
      <c r="D42" s="87"/>
      <c r="E42" s="87"/>
      <c r="F42" s="422"/>
      <c r="G42" s="71"/>
      <c r="H42" s="71" t="s">
        <v>688</v>
      </c>
      <c r="I42" s="204">
        <f>25*600*251+100000</f>
        <v>3865000</v>
      </c>
      <c r="J42" s="204">
        <f t="shared" ref="J42" si="21">25*600*251+100000</f>
        <v>3865000</v>
      </c>
      <c r="K42" s="204">
        <v>3477763</v>
      </c>
      <c r="L42" s="416">
        <f t="shared" si="12"/>
        <v>0.89980931435963774</v>
      </c>
    </row>
    <row r="43" spans="1:12" ht="20.25" customHeight="1" x14ac:dyDescent="0.25">
      <c r="A43" s="87"/>
      <c r="B43" s="88" t="s">
        <v>456</v>
      </c>
      <c r="C43" s="87">
        <f>SUM(C44:C46)</f>
        <v>0</v>
      </c>
      <c r="D43" s="87">
        <f t="shared" ref="D43:F43" si="22">SUM(D44:D46)</f>
        <v>0</v>
      </c>
      <c r="E43" s="87">
        <f t="shared" si="22"/>
        <v>0</v>
      </c>
      <c r="F43" s="422">
        <f t="shared" si="22"/>
        <v>0</v>
      </c>
      <c r="G43" s="71"/>
      <c r="H43" s="71" t="s">
        <v>766</v>
      </c>
      <c r="I43" s="104">
        <v>15000</v>
      </c>
      <c r="J43" s="104">
        <v>15000</v>
      </c>
      <c r="K43" s="104">
        <v>15000</v>
      </c>
      <c r="L43" s="416">
        <f t="shared" si="12"/>
        <v>1</v>
      </c>
    </row>
    <row r="44" spans="1:12" ht="20.25" customHeight="1" x14ac:dyDescent="0.25">
      <c r="A44" s="87"/>
      <c r="B44" s="87" t="s">
        <v>457</v>
      </c>
      <c r="C44" s="87"/>
      <c r="D44" s="87"/>
      <c r="E44" s="87"/>
      <c r="F44" s="422"/>
      <c r="G44" s="71"/>
      <c r="H44" s="71" t="s">
        <v>689</v>
      </c>
      <c r="I44" s="104"/>
      <c r="J44" s="104">
        <v>11000</v>
      </c>
      <c r="K44" s="104">
        <v>9563</v>
      </c>
      <c r="L44" s="416">
        <f t="shared" si="12"/>
        <v>0.86936363636363634</v>
      </c>
    </row>
    <row r="45" spans="1:12" ht="20.25" customHeight="1" x14ac:dyDescent="0.25">
      <c r="A45" s="87"/>
      <c r="B45" s="87" t="s">
        <v>458</v>
      </c>
      <c r="C45" s="87"/>
      <c r="D45" s="87"/>
      <c r="E45" s="87"/>
      <c r="F45" s="422"/>
      <c r="G45" s="71"/>
      <c r="H45" s="71" t="s">
        <v>351</v>
      </c>
      <c r="I45" s="104"/>
      <c r="J45" s="104">
        <v>45000</v>
      </c>
      <c r="K45" s="104">
        <v>45000</v>
      </c>
      <c r="L45" s="416">
        <f t="shared" si="12"/>
        <v>1</v>
      </c>
    </row>
    <row r="46" spans="1:12" ht="20.25" customHeight="1" x14ac:dyDescent="0.25">
      <c r="A46" s="85"/>
      <c r="B46" s="87" t="s">
        <v>459</v>
      </c>
      <c r="C46" s="101"/>
      <c r="D46" s="101"/>
      <c r="E46" s="101"/>
      <c r="F46" s="422"/>
      <c r="G46" s="71"/>
      <c r="H46" s="71" t="s">
        <v>602</v>
      </c>
      <c r="I46" s="104">
        <f>SUM(I47:I49)</f>
        <v>790000</v>
      </c>
      <c r="J46" s="104">
        <f t="shared" ref="J46" si="23">SUM(J47:J49)</f>
        <v>790000</v>
      </c>
      <c r="K46" s="104">
        <f>SUM(K47:K50)</f>
        <v>571485</v>
      </c>
      <c r="L46" s="416">
        <f t="shared" si="12"/>
        <v>0.72339873417721523</v>
      </c>
    </row>
    <row r="47" spans="1:12" ht="20.25" customHeight="1" x14ac:dyDescent="0.25">
      <c r="A47" s="85"/>
      <c r="B47" s="87"/>
      <c r="C47" s="101"/>
      <c r="D47" s="101"/>
      <c r="E47" s="101"/>
      <c r="F47" s="422"/>
      <c r="G47" s="71"/>
      <c r="H47" s="71" t="s">
        <v>767</v>
      </c>
      <c r="I47" s="204">
        <f>52/2*15000</f>
        <v>390000</v>
      </c>
      <c r="J47" s="204">
        <f t="shared" ref="J47" si="24">52/2*15000</f>
        <v>390000</v>
      </c>
      <c r="K47" s="204">
        <v>189000</v>
      </c>
      <c r="L47" s="416">
        <f t="shared" si="12"/>
        <v>0.48461538461538461</v>
      </c>
    </row>
    <row r="48" spans="1:12" ht="20.25" customHeight="1" x14ac:dyDescent="0.25">
      <c r="A48" s="85"/>
      <c r="B48" s="87"/>
      <c r="C48" s="101"/>
      <c r="D48" s="101"/>
      <c r="E48" s="101"/>
      <c r="F48" s="422"/>
      <c r="G48" s="71"/>
      <c r="H48" s="71" t="s">
        <v>768</v>
      </c>
      <c r="I48" s="204">
        <f>6*50000+50000</f>
        <v>350000</v>
      </c>
      <c r="J48" s="204">
        <f t="shared" ref="J48" si="25">6*50000+50000</f>
        <v>350000</v>
      </c>
      <c r="K48" s="204">
        <v>300000</v>
      </c>
      <c r="L48" s="416">
        <f t="shared" si="12"/>
        <v>0.8571428571428571</v>
      </c>
    </row>
    <row r="49" spans="1:12" ht="20.25" customHeight="1" x14ac:dyDescent="0.25">
      <c r="A49" s="85"/>
      <c r="B49" s="87"/>
      <c r="C49" s="101"/>
      <c r="D49" s="101"/>
      <c r="E49" s="101"/>
      <c r="F49" s="422"/>
      <c r="G49" s="71"/>
      <c r="H49" s="71" t="s">
        <v>769</v>
      </c>
      <c r="I49" s="104">
        <f>10*5000</f>
        <v>50000</v>
      </c>
      <c r="J49" s="104">
        <f t="shared" ref="J49" si="26">10*5000</f>
        <v>50000</v>
      </c>
      <c r="K49" s="104">
        <v>60000</v>
      </c>
      <c r="L49" s="416">
        <f t="shared" si="12"/>
        <v>1.2</v>
      </c>
    </row>
    <row r="50" spans="1:12" ht="20.25" customHeight="1" x14ac:dyDescent="0.25">
      <c r="A50" s="85"/>
      <c r="B50" s="87"/>
      <c r="C50" s="101"/>
      <c r="D50" s="101"/>
      <c r="E50" s="101"/>
      <c r="F50" s="422"/>
      <c r="G50" s="71"/>
      <c r="H50" s="71" t="s">
        <v>1736</v>
      </c>
      <c r="I50" s="104"/>
      <c r="J50" s="104"/>
      <c r="K50" s="104">
        <v>22485</v>
      </c>
      <c r="L50" s="416"/>
    </row>
    <row r="51" spans="1:12" ht="20.25" customHeight="1" x14ac:dyDescent="0.25">
      <c r="A51" s="87"/>
      <c r="B51" s="88"/>
      <c r="C51" s="87"/>
      <c r="D51" s="87"/>
      <c r="E51" s="87"/>
      <c r="F51" s="422"/>
      <c r="G51" s="71"/>
      <c r="H51" s="71" t="s">
        <v>353</v>
      </c>
      <c r="I51" s="104">
        <f>SUM(I52:I57)</f>
        <v>923000</v>
      </c>
      <c r="J51" s="104">
        <f t="shared" ref="J51:K51" si="27">SUM(J52:J57)</f>
        <v>912000</v>
      </c>
      <c r="K51" s="104">
        <f t="shared" si="27"/>
        <v>687359</v>
      </c>
      <c r="L51" s="416">
        <f t="shared" si="12"/>
        <v>0.7536831140350877</v>
      </c>
    </row>
    <row r="52" spans="1:12" ht="20.25" customHeight="1" x14ac:dyDescent="0.25">
      <c r="A52" s="87"/>
      <c r="B52" s="88"/>
      <c r="C52" s="87"/>
      <c r="D52" s="87"/>
      <c r="E52" s="87"/>
      <c r="F52" s="422"/>
      <c r="G52" s="71"/>
      <c r="H52" s="71" t="s">
        <v>354</v>
      </c>
      <c r="I52" s="104">
        <v>10000</v>
      </c>
      <c r="J52" s="104">
        <v>10000</v>
      </c>
      <c r="K52" s="104">
        <v>13795</v>
      </c>
      <c r="L52" s="416">
        <f t="shared" si="12"/>
        <v>1.3794999999999999</v>
      </c>
    </row>
    <row r="53" spans="1:12" ht="30.75" customHeight="1" x14ac:dyDescent="0.25">
      <c r="A53" s="87"/>
      <c r="B53" s="88"/>
      <c r="C53" s="87"/>
      <c r="D53" s="87"/>
      <c r="E53" s="87"/>
      <c r="F53" s="422"/>
      <c r="G53" s="71"/>
      <c r="H53" s="71" t="s">
        <v>770</v>
      </c>
      <c r="I53" s="104">
        <f>4000*4+12*5000+2*1800+56400</f>
        <v>136000</v>
      </c>
      <c r="J53" s="104">
        <v>125000</v>
      </c>
      <c r="K53" s="104">
        <v>139348</v>
      </c>
      <c r="L53" s="416">
        <f t="shared" si="12"/>
        <v>1.114784</v>
      </c>
    </row>
    <row r="54" spans="1:12" ht="20.25" customHeight="1" x14ac:dyDescent="0.25">
      <c r="A54" s="87"/>
      <c r="B54" s="87"/>
      <c r="C54" s="87"/>
      <c r="D54" s="87"/>
      <c r="E54" s="87"/>
      <c r="F54" s="422"/>
      <c r="G54" s="71"/>
      <c r="H54" s="71" t="s">
        <v>690</v>
      </c>
      <c r="I54" s="104">
        <v>500000</v>
      </c>
      <c r="J54" s="104">
        <v>500000</v>
      </c>
      <c r="K54" s="104">
        <v>467432</v>
      </c>
      <c r="L54" s="416">
        <f t="shared" si="12"/>
        <v>0.93486400000000003</v>
      </c>
    </row>
    <row r="55" spans="1:12" ht="20.25" customHeight="1" x14ac:dyDescent="0.25">
      <c r="A55" s="87"/>
      <c r="B55" s="87"/>
      <c r="C55" s="87"/>
      <c r="D55" s="87"/>
      <c r="E55" s="87"/>
      <c r="F55" s="422"/>
      <c r="G55" s="71"/>
      <c r="H55" s="246" t="s">
        <v>772</v>
      </c>
      <c r="I55" s="104">
        <v>200000</v>
      </c>
      <c r="J55" s="104">
        <v>200000</v>
      </c>
      <c r="K55" s="104">
        <v>3000</v>
      </c>
      <c r="L55" s="416">
        <f t="shared" si="12"/>
        <v>1.4999999999999999E-2</v>
      </c>
    </row>
    <row r="56" spans="1:12" ht="20.25" customHeight="1" x14ac:dyDescent="0.25">
      <c r="A56" s="87"/>
      <c r="B56" s="87"/>
      <c r="C56" s="87"/>
      <c r="D56" s="87"/>
      <c r="E56" s="87"/>
      <c r="F56" s="422"/>
      <c r="G56" s="71"/>
      <c r="H56" s="71" t="s">
        <v>771</v>
      </c>
      <c r="I56" s="104">
        <v>17000</v>
      </c>
      <c r="J56" s="104">
        <v>17000</v>
      </c>
      <c r="K56" s="104">
        <v>17027</v>
      </c>
      <c r="L56" s="416">
        <f t="shared" si="12"/>
        <v>1.0015882352941177</v>
      </c>
    </row>
    <row r="57" spans="1:12" ht="20.25" customHeight="1" x14ac:dyDescent="0.25">
      <c r="A57" s="87"/>
      <c r="B57" s="87"/>
      <c r="C57" s="87"/>
      <c r="D57" s="87"/>
      <c r="E57" s="87"/>
      <c r="F57" s="422"/>
      <c r="G57" s="71"/>
      <c r="H57" s="71" t="s">
        <v>601</v>
      </c>
      <c r="I57" s="104">
        <v>60000</v>
      </c>
      <c r="J57" s="104">
        <v>60000</v>
      </c>
      <c r="K57" s="104">
        <v>46757</v>
      </c>
      <c r="L57" s="416">
        <f t="shared" si="12"/>
        <v>0.77928333333333333</v>
      </c>
    </row>
    <row r="58" spans="1:12" ht="20.25" customHeight="1" x14ac:dyDescent="0.25">
      <c r="A58" s="87"/>
      <c r="B58" s="87"/>
      <c r="C58" s="87"/>
      <c r="D58" s="87"/>
      <c r="E58" s="87"/>
      <c r="F58" s="422"/>
      <c r="G58" s="71"/>
      <c r="H58" s="72" t="s">
        <v>343</v>
      </c>
      <c r="I58" s="104">
        <f>I38+I42+I43+I44+I45+I46+I51</f>
        <v>6343000</v>
      </c>
      <c r="J58" s="104">
        <f t="shared" ref="J58:K58" si="28">J38+J42+J43+J44+J45+J46+J51</f>
        <v>6388000</v>
      </c>
      <c r="K58" s="104">
        <f t="shared" si="28"/>
        <v>5451134</v>
      </c>
      <c r="L58" s="416">
        <f t="shared" si="12"/>
        <v>0.85333969943644328</v>
      </c>
    </row>
    <row r="59" spans="1:12" ht="20.25" customHeight="1" x14ac:dyDescent="0.25">
      <c r="A59" s="87"/>
      <c r="B59" s="87"/>
      <c r="C59" s="87"/>
      <c r="D59" s="87"/>
      <c r="E59" s="87"/>
      <c r="F59" s="422"/>
      <c r="G59" s="71"/>
      <c r="H59" s="71" t="s">
        <v>356</v>
      </c>
      <c r="I59" s="104">
        <v>840000</v>
      </c>
      <c r="J59" s="104">
        <v>924000</v>
      </c>
      <c r="K59" s="104">
        <v>877604</v>
      </c>
      <c r="L59" s="416">
        <f t="shared" si="12"/>
        <v>0.94978787878787874</v>
      </c>
    </row>
    <row r="60" spans="1:12" ht="20.25" customHeight="1" x14ac:dyDescent="0.25">
      <c r="A60" s="87"/>
      <c r="B60" s="87"/>
      <c r="C60" s="87"/>
      <c r="D60" s="87"/>
      <c r="E60" s="87"/>
      <c r="F60" s="422"/>
      <c r="G60" s="71"/>
      <c r="H60" s="71" t="s">
        <v>357</v>
      </c>
      <c r="I60" s="104">
        <v>100000</v>
      </c>
      <c r="J60" s="104">
        <v>100000</v>
      </c>
      <c r="K60" s="104">
        <v>6900</v>
      </c>
      <c r="L60" s="416">
        <f t="shared" si="12"/>
        <v>6.9000000000000006E-2</v>
      </c>
    </row>
    <row r="61" spans="1:12" ht="20.25" customHeight="1" x14ac:dyDescent="0.25">
      <c r="A61" s="231" t="s">
        <v>64</v>
      </c>
      <c r="B61" s="232" t="s">
        <v>460</v>
      </c>
      <c r="C61" s="233">
        <f>C62+C63+C64</f>
        <v>0</v>
      </c>
      <c r="D61" s="233">
        <f t="shared" ref="D61:F61" si="29">D62+D63+D64</f>
        <v>0</v>
      </c>
      <c r="E61" s="233">
        <f t="shared" si="29"/>
        <v>0</v>
      </c>
      <c r="F61" s="429">
        <f t="shared" si="29"/>
        <v>0</v>
      </c>
      <c r="G61" s="71"/>
      <c r="H61" s="72" t="s">
        <v>358</v>
      </c>
      <c r="I61" s="104">
        <f>I59+I60</f>
        <v>940000</v>
      </c>
      <c r="J61" s="104">
        <f t="shared" ref="J61:K61" si="30">J59+J60</f>
        <v>1024000</v>
      </c>
      <c r="K61" s="104">
        <f t="shared" si="30"/>
        <v>884504</v>
      </c>
      <c r="L61" s="416">
        <f t="shared" si="12"/>
        <v>0.86377343750000002</v>
      </c>
    </row>
    <row r="62" spans="1:12" ht="30" x14ac:dyDescent="0.25">
      <c r="A62" s="85"/>
      <c r="B62" s="88" t="s">
        <v>461</v>
      </c>
      <c r="C62" s="101"/>
      <c r="D62" s="101"/>
      <c r="E62" s="101"/>
      <c r="F62" s="422"/>
      <c r="G62" s="71"/>
      <c r="H62" s="71" t="s">
        <v>360</v>
      </c>
      <c r="I62" s="104">
        <v>2116605</v>
      </c>
      <c r="J62" s="104">
        <v>2116605</v>
      </c>
      <c r="K62" s="104">
        <v>1534724</v>
      </c>
      <c r="L62" s="416">
        <f t="shared" si="12"/>
        <v>0.72508758129173845</v>
      </c>
    </row>
    <row r="63" spans="1:12" ht="30" x14ac:dyDescent="0.25">
      <c r="A63" s="85"/>
      <c r="B63" s="83" t="s">
        <v>462</v>
      </c>
      <c r="C63" s="101"/>
      <c r="D63" s="101"/>
      <c r="E63" s="101"/>
      <c r="F63" s="422"/>
      <c r="G63" s="71"/>
      <c r="H63" s="71" t="s">
        <v>361</v>
      </c>
      <c r="I63" s="97"/>
      <c r="J63" s="97"/>
      <c r="K63" s="97"/>
      <c r="L63" s="416"/>
    </row>
    <row r="64" spans="1:12" ht="19.5" customHeight="1" x14ac:dyDescent="0.25">
      <c r="A64" s="85"/>
      <c r="B64" s="88" t="s">
        <v>463</v>
      </c>
      <c r="C64" s="101"/>
      <c r="D64" s="101"/>
      <c r="E64" s="101"/>
      <c r="F64" s="422"/>
      <c r="G64" s="71"/>
      <c r="H64" s="71" t="s">
        <v>362</v>
      </c>
      <c r="I64" s="97"/>
      <c r="J64" s="97"/>
      <c r="K64" s="97"/>
      <c r="L64" s="416"/>
    </row>
    <row r="65" spans="1:12" ht="19.5" customHeight="1" x14ac:dyDescent="0.25">
      <c r="A65" s="85"/>
      <c r="B65" s="88"/>
      <c r="C65" s="101"/>
      <c r="D65" s="101"/>
      <c r="E65" s="101"/>
      <c r="F65" s="422"/>
      <c r="G65" s="71"/>
      <c r="H65" s="71" t="s">
        <v>363</v>
      </c>
      <c r="I65" s="97"/>
      <c r="J65" s="97"/>
      <c r="K65" s="97"/>
      <c r="L65" s="416"/>
    </row>
    <row r="66" spans="1:12" ht="25.5" customHeight="1" x14ac:dyDescent="0.25">
      <c r="A66" s="85"/>
      <c r="B66" s="88"/>
      <c r="C66" s="99"/>
      <c r="D66" s="99"/>
      <c r="E66" s="99"/>
      <c r="F66" s="430"/>
      <c r="G66" s="71"/>
      <c r="H66" s="112" t="s">
        <v>773</v>
      </c>
      <c r="I66" s="203">
        <f>50000*2</f>
        <v>100000</v>
      </c>
      <c r="J66" s="203">
        <f t="shared" ref="J66" si="31">50000*2</f>
        <v>100000</v>
      </c>
      <c r="K66" s="203">
        <v>10156</v>
      </c>
      <c r="L66" s="416">
        <f t="shared" si="12"/>
        <v>0.10156</v>
      </c>
    </row>
    <row r="67" spans="1:12" ht="19.5" customHeight="1" x14ac:dyDescent="0.25">
      <c r="A67" s="85"/>
      <c r="B67" s="88"/>
      <c r="C67" s="99"/>
      <c r="D67" s="99"/>
      <c r="E67" s="99"/>
      <c r="F67" s="430"/>
      <c r="G67" s="71"/>
      <c r="H67" s="72" t="s">
        <v>359</v>
      </c>
      <c r="I67" s="105">
        <f>I62+I63+I64+I65+I66</f>
        <v>2216605</v>
      </c>
      <c r="J67" s="105">
        <f t="shared" ref="J67:K67" si="32">J62+J63+J64+J65+J66</f>
        <v>2216605</v>
      </c>
      <c r="K67" s="105">
        <f t="shared" si="32"/>
        <v>1544880</v>
      </c>
      <c r="L67" s="416">
        <f t="shared" si="12"/>
        <v>0.69695773491442992</v>
      </c>
    </row>
    <row r="68" spans="1:12" ht="19.5" customHeight="1" x14ac:dyDescent="0.25">
      <c r="A68" s="85"/>
      <c r="B68" s="88"/>
      <c r="C68" s="99"/>
      <c r="D68" s="99"/>
      <c r="E68" s="99"/>
      <c r="F68" s="430"/>
      <c r="G68" s="231" t="s">
        <v>64</v>
      </c>
      <c r="H68" s="227" t="s">
        <v>365</v>
      </c>
      <c r="I68" s="228">
        <f>SUM(I69:I74)</f>
        <v>0</v>
      </c>
      <c r="J68" s="228">
        <f t="shared" ref="J68:K68" si="33">SUM(J69:J74)</f>
        <v>0</v>
      </c>
      <c r="K68" s="228">
        <f t="shared" si="33"/>
        <v>0</v>
      </c>
      <c r="L68" s="415"/>
    </row>
    <row r="69" spans="1:12" ht="19.5" customHeight="1" x14ac:dyDescent="0.25">
      <c r="A69" s="85"/>
      <c r="B69" s="88"/>
      <c r="C69" s="99"/>
      <c r="D69" s="99"/>
      <c r="E69" s="99"/>
      <c r="F69" s="430"/>
      <c r="G69" s="71"/>
      <c r="H69" s="71" t="s">
        <v>366</v>
      </c>
      <c r="I69" s="100"/>
      <c r="J69" s="100"/>
      <c r="K69" s="100"/>
      <c r="L69" s="420"/>
    </row>
    <row r="70" spans="1:12" ht="19.5" customHeight="1" x14ac:dyDescent="0.25">
      <c r="A70" s="85"/>
      <c r="B70" s="88"/>
      <c r="C70" s="99"/>
      <c r="D70" s="99"/>
      <c r="E70" s="99"/>
      <c r="F70" s="430"/>
      <c r="G70" s="71"/>
      <c r="H70" s="87" t="s">
        <v>367</v>
      </c>
      <c r="I70" s="100"/>
      <c r="J70" s="100"/>
      <c r="K70" s="100"/>
      <c r="L70" s="420"/>
    </row>
    <row r="71" spans="1:12" ht="19.5" customHeight="1" x14ac:dyDescent="0.25">
      <c r="A71" s="85"/>
      <c r="B71" s="88"/>
      <c r="C71" s="99"/>
      <c r="D71" s="99"/>
      <c r="E71" s="99"/>
      <c r="F71" s="430"/>
      <c r="G71" s="71"/>
      <c r="H71" s="71" t="s">
        <v>368</v>
      </c>
      <c r="I71" s="100"/>
      <c r="J71" s="100"/>
      <c r="K71" s="100"/>
      <c r="L71" s="420"/>
    </row>
    <row r="72" spans="1:12" ht="19.5" customHeight="1" x14ac:dyDescent="0.25">
      <c r="A72" s="85"/>
      <c r="B72" s="88"/>
      <c r="C72" s="99"/>
      <c r="D72" s="99"/>
      <c r="E72" s="99"/>
      <c r="F72" s="430"/>
      <c r="G72" s="71"/>
      <c r="H72" s="71" t="s">
        <v>369</v>
      </c>
      <c r="I72" s="100"/>
      <c r="J72" s="100"/>
      <c r="K72" s="100"/>
      <c r="L72" s="420"/>
    </row>
    <row r="73" spans="1:12" ht="19.5" customHeight="1" x14ac:dyDescent="0.25">
      <c r="A73" s="85"/>
      <c r="B73" s="88"/>
      <c r="C73" s="99"/>
      <c r="D73" s="99"/>
      <c r="E73" s="99"/>
      <c r="F73" s="430"/>
      <c r="G73" s="71"/>
      <c r="H73" s="71" t="s">
        <v>370</v>
      </c>
      <c r="I73" s="100"/>
      <c r="J73" s="100"/>
      <c r="K73" s="100"/>
      <c r="L73" s="420"/>
    </row>
    <row r="74" spans="1:12" ht="19.5" customHeight="1" x14ac:dyDescent="0.25">
      <c r="A74" s="85"/>
      <c r="B74" s="88"/>
      <c r="C74" s="99"/>
      <c r="D74" s="99"/>
      <c r="E74" s="99"/>
      <c r="F74" s="430"/>
      <c r="G74" s="71"/>
      <c r="H74" s="71" t="s">
        <v>371</v>
      </c>
      <c r="I74" s="100"/>
      <c r="J74" s="100"/>
      <c r="K74" s="100"/>
      <c r="L74" s="420"/>
    </row>
    <row r="75" spans="1:12" ht="19.5" customHeight="1" x14ac:dyDescent="0.25">
      <c r="A75" s="85"/>
      <c r="B75" s="86"/>
      <c r="C75" s="99"/>
      <c r="D75" s="99"/>
      <c r="E75" s="99"/>
      <c r="F75" s="430"/>
      <c r="G75" s="231" t="s">
        <v>100</v>
      </c>
      <c r="H75" s="227" t="s">
        <v>499</v>
      </c>
      <c r="I75" s="228">
        <f>SUM(I76:I81)</f>
        <v>0</v>
      </c>
      <c r="J75" s="228">
        <f t="shared" ref="J75:K75" si="34">SUM(J76:J81)</f>
        <v>0</v>
      </c>
      <c r="K75" s="228">
        <f t="shared" si="34"/>
        <v>0</v>
      </c>
      <c r="L75" s="415"/>
    </row>
    <row r="76" spans="1:12" ht="21.75" customHeight="1" x14ac:dyDescent="0.25">
      <c r="A76" s="85"/>
      <c r="B76" s="88"/>
      <c r="C76" s="99"/>
      <c r="D76" s="99"/>
      <c r="E76" s="99"/>
      <c r="F76" s="430"/>
      <c r="G76" s="71"/>
      <c r="H76" s="71" t="s">
        <v>372</v>
      </c>
      <c r="I76" s="105" t="s">
        <v>253</v>
      </c>
      <c r="J76" s="105" t="s">
        <v>253</v>
      </c>
      <c r="K76" s="105"/>
      <c r="L76" s="417"/>
    </row>
    <row r="77" spans="1:12" ht="21.75" customHeight="1" x14ac:dyDescent="0.25">
      <c r="A77" s="85"/>
      <c r="B77" s="83"/>
      <c r="C77" s="99"/>
      <c r="D77" s="99"/>
      <c r="E77" s="99"/>
      <c r="F77" s="430"/>
      <c r="G77" s="71"/>
      <c r="H77" s="71" t="s">
        <v>373</v>
      </c>
      <c r="I77" s="100"/>
      <c r="J77" s="100"/>
      <c r="K77" s="100"/>
      <c r="L77" s="420"/>
    </row>
    <row r="78" spans="1:12" ht="19.5" customHeight="1" x14ac:dyDescent="0.25">
      <c r="A78" s="85"/>
      <c r="B78" s="88"/>
      <c r="C78" s="99"/>
      <c r="D78" s="99"/>
      <c r="E78" s="99"/>
      <c r="F78" s="430"/>
      <c r="G78" s="71"/>
      <c r="H78" s="71" t="s">
        <v>374</v>
      </c>
      <c r="I78" s="100"/>
      <c r="J78" s="100"/>
      <c r="K78" s="100"/>
      <c r="L78" s="420"/>
    </row>
    <row r="79" spans="1:12" ht="19.5" customHeight="1" x14ac:dyDescent="0.25">
      <c r="A79" s="85"/>
      <c r="B79" s="88"/>
      <c r="C79" s="99"/>
      <c r="D79" s="99"/>
      <c r="E79" s="99"/>
      <c r="F79" s="430"/>
      <c r="G79" s="71"/>
      <c r="H79" s="71" t="s">
        <v>375</v>
      </c>
      <c r="I79" s="100"/>
      <c r="J79" s="100"/>
      <c r="K79" s="100"/>
      <c r="L79" s="420"/>
    </row>
    <row r="80" spans="1:12" ht="19.5" customHeight="1" x14ac:dyDescent="0.25">
      <c r="A80" s="85"/>
      <c r="B80" s="88"/>
      <c r="C80" s="99"/>
      <c r="D80" s="99"/>
      <c r="E80" s="99"/>
      <c r="F80" s="430"/>
      <c r="G80" s="71"/>
      <c r="H80" s="71" t="s">
        <v>656</v>
      </c>
      <c r="I80" s="100"/>
      <c r="J80" s="100"/>
      <c r="K80" s="100"/>
      <c r="L80" s="420"/>
    </row>
    <row r="81" spans="1:12" ht="20.25" customHeight="1" x14ac:dyDescent="0.25">
      <c r="A81" s="85"/>
      <c r="B81" s="88"/>
      <c r="C81" s="99"/>
      <c r="D81" s="99"/>
      <c r="E81" s="99"/>
      <c r="F81" s="430"/>
      <c r="G81" s="71"/>
      <c r="H81" s="71" t="s">
        <v>665</v>
      </c>
      <c r="I81" s="100"/>
      <c r="J81" s="100"/>
      <c r="K81" s="100"/>
      <c r="L81" s="420"/>
    </row>
    <row r="82" spans="1:12" ht="20.25" customHeight="1" x14ac:dyDescent="0.25">
      <c r="A82" s="306"/>
      <c r="B82" s="307" t="s">
        <v>192</v>
      </c>
      <c r="C82" s="308">
        <f>C83+C89+C95</f>
        <v>0</v>
      </c>
      <c r="D82" s="308">
        <f t="shared" ref="D82:F82" si="35">D83+D89+D95</f>
        <v>0</v>
      </c>
      <c r="E82" s="308">
        <f t="shared" si="35"/>
        <v>0</v>
      </c>
      <c r="F82" s="414">
        <f t="shared" si="35"/>
        <v>0</v>
      </c>
      <c r="G82" s="306"/>
      <c r="H82" s="307" t="s">
        <v>200</v>
      </c>
      <c r="I82" s="308">
        <f>I83+I91+I96</f>
        <v>698500</v>
      </c>
      <c r="J82" s="308">
        <f t="shared" ref="J82:L82" si="36">J83+J91+J96</f>
        <v>698500</v>
      </c>
      <c r="K82" s="308">
        <f t="shared" si="36"/>
        <v>87980</v>
      </c>
      <c r="L82" s="414">
        <f t="shared" si="36"/>
        <v>0.12595561918396564</v>
      </c>
    </row>
    <row r="83" spans="1:12" ht="20.25" customHeight="1" x14ac:dyDescent="0.25">
      <c r="A83" s="231" t="s">
        <v>100</v>
      </c>
      <c r="B83" s="232" t="s">
        <v>414</v>
      </c>
      <c r="C83" s="233">
        <f>SUM(C84:C88)</f>
        <v>0</v>
      </c>
      <c r="D83" s="233">
        <f t="shared" ref="D83:F83" si="37">SUM(D84:D88)</f>
        <v>0</v>
      </c>
      <c r="E83" s="233">
        <f t="shared" si="37"/>
        <v>0</v>
      </c>
      <c r="F83" s="429">
        <f t="shared" si="37"/>
        <v>0</v>
      </c>
      <c r="G83" s="231" t="s">
        <v>181</v>
      </c>
      <c r="H83" s="227" t="s">
        <v>379</v>
      </c>
      <c r="I83" s="228">
        <f>SUM(I84:I90)</f>
        <v>698500</v>
      </c>
      <c r="J83" s="228">
        <f t="shared" ref="J83:K83" si="38">SUM(J84:J90)</f>
        <v>698500</v>
      </c>
      <c r="K83" s="228">
        <f t="shared" si="38"/>
        <v>87980</v>
      </c>
      <c r="L83" s="415">
        <f>+K83/J83</f>
        <v>0.12595561918396564</v>
      </c>
    </row>
    <row r="84" spans="1:12" ht="20.25" customHeight="1" x14ac:dyDescent="0.25">
      <c r="A84" s="85"/>
      <c r="B84" s="83" t="s">
        <v>415</v>
      </c>
      <c r="C84" s="101" t="s">
        <v>253</v>
      </c>
      <c r="D84" s="101" t="s">
        <v>253</v>
      </c>
      <c r="E84" s="101"/>
      <c r="F84" s="422"/>
      <c r="G84" s="85"/>
      <c r="H84" s="91" t="s">
        <v>377</v>
      </c>
      <c r="I84" s="95"/>
      <c r="J84" s="95"/>
      <c r="K84" s="95"/>
      <c r="L84" s="416"/>
    </row>
    <row r="85" spans="1:12" ht="29.25" customHeight="1" x14ac:dyDescent="0.25">
      <c r="A85" s="85"/>
      <c r="B85" s="83" t="s">
        <v>416</v>
      </c>
      <c r="C85" s="101"/>
      <c r="D85" s="101"/>
      <c r="E85" s="101"/>
      <c r="F85" s="422"/>
      <c r="G85" s="85"/>
      <c r="H85" s="91" t="s">
        <v>378</v>
      </c>
      <c r="I85" s="95"/>
      <c r="J85" s="95"/>
      <c r="K85" s="95"/>
      <c r="L85" s="416"/>
    </row>
    <row r="86" spans="1:12" ht="29.25" customHeight="1" x14ac:dyDescent="0.25">
      <c r="A86" s="85"/>
      <c r="B86" s="83" t="s">
        <v>417</v>
      </c>
      <c r="C86" s="101"/>
      <c r="D86" s="101"/>
      <c r="E86" s="101"/>
      <c r="F86" s="422"/>
      <c r="G86" s="71"/>
      <c r="H86" s="71" t="s">
        <v>691</v>
      </c>
      <c r="I86" s="98"/>
      <c r="J86" s="98"/>
      <c r="K86" s="98"/>
      <c r="L86" s="421"/>
    </row>
    <row r="87" spans="1:12" ht="29.25" customHeight="1" x14ac:dyDescent="0.25">
      <c r="A87" s="85"/>
      <c r="B87" s="83" t="s">
        <v>418</v>
      </c>
      <c r="C87" s="101"/>
      <c r="D87" s="101"/>
      <c r="E87" s="101"/>
      <c r="F87" s="422"/>
      <c r="G87" s="71"/>
      <c r="H87" s="112" t="s">
        <v>774</v>
      </c>
      <c r="I87" s="98">
        <f>500000+50000</f>
        <v>550000</v>
      </c>
      <c r="J87" s="98">
        <f t="shared" ref="J87" si="39">500000+50000</f>
        <v>550000</v>
      </c>
      <c r="K87" s="98">
        <v>69276</v>
      </c>
      <c r="L87" s="421">
        <f>+K87/J87</f>
        <v>0.12595636363636364</v>
      </c>
    </row>
    <row r="88" spans="1:12" ht="21" customHeight="1" x14ac:dyDescent="0.25">
      <c r="A88" s="85"/>
      <c r="B88" s="83" t="s">
        <v>419</v>
      </c>
      <c r="C88" s="101"/>
      <c r="D88" s="101"/>
      <c r="E88" s="101"/>
      <c r="F88" s="422"/>
      <c r="G88" s="71"/>
      <c r="H88" s="71" t="s">
        <v>381</v>
      </c>
      <c r="I88" s="98"/>
      <c r="J88" s="98"/>
      <c r="K88" s="98"/>
      <c r="L88" s="421"/>
    </row>
    <row r="89" spans="1:12" ht="20.25" customHeight="1" x14ac:dyDescent="0.25">
      <c r="A89" s="231" t="s">
        <v>181</v>
      </c>
      <c r="B89" s="232" t="s">
        <v>420</v>
      </c>
      <c r="C89" s="233">
        <f>SUM(C90:C94)</f>
        <v>0</v>
      </c>
      <c r="D89" s="233">
        <f t="shared" ref="D89:F89" si="40">SUM(D90:D94)</f>
        <v>0</v>
      </c>
      <c r="E89" s="233">
        <f t="shared" si="40"/>
        <v>0</v>
      </c>
      <c r="F89" s="429">
        <f t="shared" si="40"/>
        <v>0</v>
      </c>
      <c r="G89" s="71"/>
      <c r="H89" s="71" t="s">
        <v>382</v>
      </c>
      <c r="I89" s="98"/>
      <c r="J89" s="98"/>
      <c r="K89" s="98"/>
      <c r="L89" s="421"/>
    </row>
    <row r="90" spans="1:12" ht="20.25" customHeight="1" x14ac:dyDescent="0.25">
      <c r="A90" s="85"/>
      <c r="B90" s="88" t="s">
        <v>421</v>
      </c>
      <c r="C90" s="101"/>
      <c r="D90" s="101"/>
      <c r="E90" s="101"/>
      <c r="F90" s="422"/>
      <c r="G90" s="71"/>
      <c r="H90" s="71" t="s">
        <v>383</v>
      </c>
      <c r="I90" s="98">
        <f>+I87*27%</f>
        <v>148500</v>
      </c>
      <c r="J90" s="98">
        <f t="shared" ref="J90" si="41">+J87*27%</f>
        <v>148500</v>
      </c>
      <c r="K90" s="98">
        <v>18704</v>
      </c>
      <c r="L90" s="421">
        <f t="shared" ref="L90" si="42">+K90/J90</f>
        <v>0.12595286195286196</v>
      </c>
    </row>
    <row r="91" spans="1:12" ht="20.25" customHeight="1" x14ac:dyDescent="0.25">
      <c r="A91" s="85"/>
      <c r="B91" s="88" t="s">
        <v>422</v>
      </c>
      <c r="C91" s="101"/>
      <c r="D91" s="101"/>
      <c r="E91" s="101"/>
      <c r="F91" s="422"/>
      <c r="G91" s="231" t="s">
        <v>191</v>
      </c>
      <c r="H91" s="227" t="s">
        <v>384</v>
      </c>
      <c r="I91" s="228">
        <f>SUM(I92:I95)</f>
        <v>0</v>
      </c>
      <c r="J91" s="228">
        <f t="shared" ref="J91:L91" si="43">SUM(J92:J95)</f>
        <v>0</v>
      </c>
      <c r="K91" s="228">
        <f t="shared" si="43"/>
        <v>0</v>
      </c>
      <c r="L91" s="415">
        <f t="shared" si="43"/>
        <v>0</v>
      </c>
    </row>
    <row r="92" spans="1:12" ht="20.25" customHeight="1" x14ac:dyDescent="0.25">
      <c r="A92" s="85"/>
      <c r="B92" s="88" t="s">
        <v>423</v>
      </c>
      <c r="C92" s="101"/>
      <c r="D92" s="101"/>
      <c r="E92" s="101"/>
      <c r="F92" s="422"/>
      <c r="G92" s="71"/>
      <c r="H92" s="71" t="s">
        <v>385</v>
      </c>
      <c r="I92" s="98"/>
      <c r="J92" s="98"/>
      <c r="K92" s="98"/>
      <c r="L92" s="421"/>
    </row>
    <row r="93" spans="1:12" ht="20.25" customHeight="1" x14ac:dyDescent="0.25">
      <c r="A93" s="85"/>
      <c r="B93" s="88" t="s">
        <v>424</v>
      </c>
      <c r="C93" s="101"/>
      <c r="D93" s="101"/>
      <c r="E93" s="101"/>
      <c r="F93" s="422"/>
      <c r="G93" s="71"/>
      <c r="H93" s="71" t="s">
        <v>386</v>
      </c>
      <c r="I93" s="98"/>
      <c r="J93" s="98"/>
      <c r="K93" s="98"/>
      <c r="L93" s="421"/>
    </row>
    <row r="94" spans="1:12" ht="20.25" customHeight="1" x14ac:dyDescent="0.25">
      <c r="A94" s="85"/>
      <c r="B94" s="88" t="s">
        <v>425</v>
      </c>
      <c r="C94" s="101"/>
      <c r="D94" s="101"/>
      <c r="E94" s="101"/>
      <c r="F94" s="422"/>
      <c r="G94" s="71"/>
      <c r="H94" s="71" t="s">
        <v>387</v>
      </c>
      <c r="I94" s="98"/>
      <c r="J94" s="98"/>
      <c r="K94" s="98"/>
      <c r="L94" s="421"/>
    </row>
    <row r="95" spans="1:12" ht="20.25" customHeight="1" x14ac:dyDescent="0.25">
      <c r="A95" s="231" t="s">
        <v>191</v>
      </c>
      <c r="B95" s="232" t="s">
        <v>426</v>
      </c>
      <c r="C95" s="233">
        <f>C96+C97+C98</f>
        <v>0</v>
      </c>
      <c r="D95" s="233">
        <f t="shared" ref="D95:F95" si="44">D96+D97+D98</f>
        <v>0</v>
      </c>
      <c r="E95" s="233">
        <f t="shared" si="44"/>
        <v>0</v>
      </c>
      <c r="F95" s="429">
        <f t="shared" si="44"/>
        <v>0</v>
      </c>
      <c r="G95" s="71"/>
      <c r="H95" s="71" t="s">
        <v>388</v>
      </c>
      <c r="I95" s="98"/>
      <c r="J95" s="98"/>
      <c r="K95" s="98"/>
      <c r="L95" s="421"/>
    </row>
    <row r="96" spans="1:12" ht="29.25" customHeight="1" x14ac:dyDescent="0.25">
      <c r="A96" s="85"/>
      <c r="B96" s="88" t="s">
        <v>427</v>
      </c>
      <c r="C96" s="101"/>
      <c r="D96" s="101"/>
      <c r="E96" s="101"/>
      <c r="F96" s="422"/>
      <c r="G96" s="231" t="s">
        <v>199</v>
      </c>
      <c r="H96" s="227" t="s">
        <v>389</v>
      </c>
      <c r="I96" s="228">
        <f>I97+I98</f>
        <v>0</v>
      </c>
      <c r="J96" s="228">
        <f t="shared" ref="J96:L96" si="45">J97+J98</f>
        <v>0</v>
      </c>
      <c r="K96" s="228">
        <f t="shared" si="45"/>
        <v>0</v>
      </c>
      <c r="L96" s="415">
        <f t="shared" si="45"/>
        <v>0</v>
      </c>
    </row>
    <row r="97" spans="1:12" ht="29.25" customHeight="1" x14ac:dyDescent="0.25">
      <c r="A97" s="85"/>
      <c r="B97" s="83" t="s">
        <v>662</v>
      </c>
      <c r="C97" s="101"/>
      <c r="D97" s="101"/>
      <c r="E97" s="101"/>
      <c r="F97" s="422"/>
      <c r="G97" s="71"/>
      <c r="H97" s="71" t="s">
        <v>391</v>
      </c>
      <c r="I97" s="98"/>
      <c r="J97" s="98"/>
      <c r="K97" s="98"/>
      <c r="L97" s="421"/>
    </row>
    <row r="98" spans="1:12" ht="21" customHeight="1" x14ac:dyDescent="0.25">
      <c r="A98" s="85"/>
      <c r="B98" s="88"/>
      <c r="C98" s="101"/>
      <c r="D98" s="101"/>
      <c r="E98" s="101"/>
      <c r="F98" s="422"/>
      <c r="G98" s="71"/>
      <c r="H98" s="71" t="s">
        <v>390</v>
      </c>
      <c r="I98" s="98"/>
      <c r="J98" s="98"/>
      <c r="K98" s="98"/>
      <c r="L98" s="421"/>
    </row>
    <row r="99" spans="1:12" ht="20.25" customHeight="1" x14ac:dyDescent="0.25">
      <c r="A99" s="306"/>
      <c r="B99" s="310" t="s">
        <v>430</v>
      </c>
      <c r="C99" s="308">
        <f>C109+C120</f>
        <v>33722635</v>
      </c>
      <c r="D99" s="308">
        <f t="shared" ref="D99:E99" si="46">D109+D120</f>
        <v>34051155</v>
      </c>
      <c r="E99" s="308">
        <f t="shared" si="46"/>
        <v>25455978</v>
      </c>
      <c r="F99" s="414">
        <f>+E99/D99</f>
        <v>0.74758045652195937</v>
      </c>
      <c r="G99" s="306"/>
      <c r="H99" s="307" t="s">
        <v>395</v>
      </c>
      <c r="I99" s="308">
        <f>I108+I119</f>
        <v>0</v>
      </c>
      <c r="J99" s="308">
        <f t="shared" ref="J99:L99" si="47">J108+J119</f>
        <v>0</v>
      </c>
      <c r="K99" s="308">
        <f t="shared" si="47"/>
        <v>0</v>
      </c>
      <c r="L99" s="414">
        <f t="shared" si="47"/>
        <v>0</v>
      </c>
    </row>
    <row r="100" spans="1:12" ht="21" customHeight="1" x14ac:dyDescent="0.25">
      <c r="A100" s="75"/>
      <c r="B100" s="93" t="s">
        <v>431</v>
      </c>
      <c r="C100" s="101"/>
      <c r="D100" s="101"/>
      <c r="E100" s="101"/>
      <c r="F100" s="422"/>
      <c r="G100" s="75"/>
      <c r="H100" s="93" t="s">
        <v>392</v>
      </c>
      <c r="I100" s="101"/>
      <c r="J100" s="101"/>
      <c r="K100" s="101"/>
      <c r="L100" s="422"/>
    </row>
    <row r="101" spans="1:12" ht="20.25" customHeight="1" x14ac:dyDescent="0.25">
      <c r="A101" s="75"/>
      <c r="B101" s="93" t="s">
        <v>432</v>
      </c>
      <c r="C101" s="101"/>
      <c r="D101" s="101"/>
      <c r="E101" s="101"/>
      <c r="F101" s="422"/>
      <c r="G101" s="75"/>
      <c r="H101" s="93" t="s">
        <v>393</v>
      </c>
      <c r="I101" s="101"/>
      <c r="J101" s="101"/>
      <c r="K101" s="101"/>
      <c r="L101" s="422"/>
    </row>
    <row r="102" spans="1:12" ht="20.25" customHeight="1" x14ac:dyDescent="0.25">
      <c r="A102" s="75"/>
      <c r="B102" s="93" t="s">
        <v>433</v>
      </c>
      <c r="C102" s="101"/>
      <c r="D102" s="101"/>
      <c r="E102" s="101"/>
      <c r="F102" s="422"/>
      <c r="G102" s="75"/>
      <c r="H102" s="93" t="s">
        <v>394</v>
      </c>
      <c r="I102" s="101"/>
      <c r="J102" s="101"/>
      <c r="K102" s="101"/>
      <c r="L102" s="422"/>
    </row>
    <row r="103" spans="1:12" ht="20.25" customHeight="1" x14ac:dyDescent="0.25">
      <c r="A103" s="75"/>
      <c r="B103" s="94" t="s">
        <v>434</v>
      </c>
      <c r="C103" s="101">
        <f>C100+C101+C102</f>
        <v>0</v>
      </c>
      <c r="D103" s="101">
        <f t="shared" ref="D103:F103" si="48">D100+D101+D102</f>
        <v>0</v>
      </c>
      <c r="E103" s="101">
        <f t="shared" si="48"/>
        <v>0</v>
      </c>
      <c r="F103" s="422">
        <f t="shared" si="48"/>
        <v>0</v>
      </c>
      <c r="G103" s="75"/>
      <c r="H103" s="94" t="s">
        <v>396</v>
      </c>
      <c r="I103" s="101">
        <f>I100+I101+I102</f>
        <v>0</v>
      </c>
      <c r="J103" s="101">
        <f t="shared" ref="J103:L103" si="49">J100+J101+J102</f>
        <v>0</v>
      </c>
      <c r="K103" s="101">
        <f t="shared" si="49"/>
        <v>0</v>
      </c>
      <c r="L103" s="422">
        <f t="shared" si="49"/>
        <v>0</v>
      </c>
    </row>
    <row r="104" spans="1:12" ht="20.25" customHeight="1" x14ac:dyDescent="0.25">
      <c r="A104" s="75"/>
      <c r="B104" s="69" t="s">
        <v>435</v>
      </c>
      <c r="C104" s="101"/>
      <c r="D104" s="101"/>
      <c r="E104" s="101"/>
      <c r="F104" s="422"/>
      <c r="G104" s="75"/>
      <c r="H104" s="93" t="s">
        <v>397</v>
      </c>
      <c r="I104" s="101"/>
      <c r="J104" s="101"/>
      <c r="K104" s="101"/>
      <c r="L104" s="422"/>
    </row>
    <row r="105" spans="1:12" ht="20.25" customHeight="1" x14ac:dyDescent="0.25">
      <c r="A105" s="75"/>
      <c r="B105" s="69" t="s">
        <v>436</v>
      </c>
      <c r="C105" s="101"/>
      <c r="D105" s="101"/>
      <c r="E105" s="101"/>
      <c r="F105" s="422"/>
      <c r="G105" s="75"/>
      <c r="H105" s="93" t="s">
        <v>1754</v>
      </c>
      <c r="I105" s="101"/>
      <c r="J105" s="101"/>
      <c r="K105" s="101"/>
      <c r="L105" s="422"/>
    </row>
    <row r="106" spans="1:12" ht="20.25" customHeight="1" x14ac:dyDescent="0.25">
      <c r="A106" s="75"/>
      <c r="B106" s="70" t="s">
        <v>437</v>
      </c>
      <c r="C106" s="101">
        <f>C104+C105</f>
        <v>0</v>
      </c>
      <c r="D106" s="101">
        <f t="shared" ref="D106:F106" si="50">D104+D105</f>
        <v>0</v>
      </c>
      <c r="E106" s="101">
        <f t="shared" si="50"/>
        <v>0</v>
      </c>
      <c r="F106" s="422">
        <f t="shared" si="50"/>
        <v>0</v>
      </c>
      <c r="G106" s="75"/>
      <c r="H106" s="94" t="s">
        <v>398</v>
      </c>
      <c r="I106" s="101">
        <f>I104+I105</f>
        <v>0</v>
      </c>
      <c r="J106" s="101">
        <f t="shared" ref="J106:L106" si="51">J104+J105</f>
        <v>0</v>
      </c>
      <c r="K106" s="101">
        <f t="shared" si="51"/>
        <v>0</v>
      </c>
      <c r="L106" s="422">
        <f t="shared" si="51"/>
        <v>0</v>
      </c>
    </row>
    <row r="107" spans="1:12" ht="20.25" customHeight="1" x14ac:dyDescent="0.25">
      <c r="A107" s="75"/>
      <c r="B107" s="70" t="s">
        <v>438</v>
      </c>
      <c r="C107" s="101"/>
      <c r="D107" s="101">
        <v>40755</v>
      </c>
      <c r="E107" s="101">
        <v>40755</v>
      </c>
      <c r="F107" s="422">
        <f>+E107/D107</f>
        <v>1</v>
      </c>
      <c r="G107" s="75"/>
      <c r="H107" s="94" t="s">
        <v>399</v>
      </c>
      <c r="I107" s="101"/>
      <c r="J107" s="101"/>
      <c r="K107" s="101"/>
      <c r="L107" s="422"/>
    </row>
    <row r="108" spans="1:12" ht="20.25" customHeight="1" x14ac:dyDescent="0.25">
      <c r="A108" s="75"/>
      <c r="B108" s="70" t="s">
        <v>439</v>
      </c>
      <c r="C108" s="101">
        <v>33024135</v>
      </c>
      <c r="D108" s="101">
        <v>33311900</v>
      </c>
      <c r="E108" s="101">
        <f>25415223-67990</f>
        <v>25347233</v>
      </c>
      <c r="F108" s="422">
        <f>+E108/D108</f>
        <v>0.76090625272049928</v>
      </c>
      <c r="G108" s="75"/>
      <c r="H108" s="75" t="s">
        <v>400</v>
      </c>
      <c r="I108" s="109">
        <f>I103+I106+I107</f>
        <v>0</v>
      </c>
      <c r="J108" s="109">
        <f t="shared" ref="J108:L108" si="52">J103+J106+J107</f>
        <v>0</v>
      </c>
      <c r="K108" s="109">
        <f t="shared" si="52"/>
        <v>0</v>
      </c>
      <c r="L108" s="423">
        <f t="shared" si="52"/>
        <v>0</v>
      </c>
    </row>
    <row r="109" spans="1:12" ht="20.25" customHeight="1" x14ac:dyDescent="0.25">
      <c r="A109" s="75"/>
      <c r="B109" s="80" t="s">
        <v>440</v>
      </c>
      <c r="C109" s="109">
        <f>C103+C106+C107+C108</f>
        <v>33024135</v>
      </c>
      <c r="D109" s="109">
        <f t="shared" ref="D109:E109" si="53">D103+D106+D107+D108</f>
        <v>33352655</v>
      </c>
      <c r="E109" s="109">
        <f t="shared" si="53"/>
        <v>25387988</v>
      </c>
      <c r="F109" s="423">
        <f>+E109/D109</f>
        <v>0.7611984113408663</v>
      </c>
      <c r="G109" s="75"/>
      <c r="H109" s="94"/>
      <c r="I109" s="101"/>
      <c r="J109" s="101"/>
      <c r="K109" s="101"/>
      <c r="L109" s="422"/>
    </row>
    <row r="110" spans="1:12" ht="20.25" customHeight="1" x14ac:dyDescent="0.25">
      <c r="A110" s="89"/>
      <c r="B110" s="79"/>
      <c r="C110" s="102"/>
      <c r="D110" s="102"/>
      <c r="E110" s="102"/>
      <c r="F110" s="424"/>
      <c r="G110" s="89"/>
      <c r="H110" s="89"/>
      <c r="I110" s="102"/>
      <c r="J110" s="102"/>
      <c r="K110" s="102"/>
      <c r="L110" s="424"/>
    </row>
    <row r="111" spans="1:12" ht="20.25" customHeight="1" x14ac:dyDescent="0.25">
      <c r="A111" s="75"/>
      <c r="B111" s="93" t="s">
        <v>431</v>
      </c>
      <c r="C111" s="101"/>
      <c r="D111" s="101"/>
      <c r="E111" s="101"/>
      <c r="F111" s="422"/>
      <c r="G111" s="75"/>
      <c r="H111" s="93" t="s">
        <v>392</v>
      </c>
      <c r="I111" s="101"/>
      <c r="J111" s="101"/>
      <c r="K111" s="101"/>
      <c r="L111" s="422"/>
    </row>
    <row r="112" spans="1:12" ht="20.25" customHeight="1" x14ac:dyDescent="0.25">
      <c r="A112" s="75"/>
      <c r="B112" s="93" t="s">
        <v>432</v>
      </c>
      <c r="C112" s="101"/>
      <c r="D112" s="101"/>
      <c r="E112" s="101"/>
      <c r="F112" s="422"/>
      <c r="G112" s="75"/>
      <c r="H112" s="93" t="s">
        <v>393</v>
      </c>
      <c r="I112" s="101"/>
      <c r="J112" s="101"/>
      <c r="K112" s="101"/>
      <c r="L112" s="422"/>
    </row>
    <row r="113" spans="1:12" ht="20.25" customHeight="1" x14ac:dyDescent="0.25">
      <c r="A113" s="75"/>
      <c r="B113" s="93" t="s">
        <v>433</v>
      </c>
      <c r="C113" s="101"/>
      <c r="D113" s="101"/>
      <c r="E113" s="101"/>
      <c r="F113" s="422"/>
      <c r="G113" s="75"/>
      <c r="H113" s="93" t="s">
        <v>394</v>
      </c>
      <c r="I113" s="101"/>
      <c r="J113" s="101"/>
      <c r="K113" s="101"/>
      <c r="L113" s="422"/>
    </row>
    <row r="114" spans="1:12" ht="20.25" customHeight="1" x14ac:dyDescent="0.25">
      <c r="A114" s="75"/>
      <c r="B114" s="94" t="s">
        <v>434</v>
      </c>
      <c r="C114" s="101">
        <f>C111+C112+C113</f>
        <v>0</v>
      </c>
      <c r="D114" s="101">
        <f t="shared" ref="D114:F114" si="54">D111+D112+D113</f>
        <v>0</v>
      </c>
      <c r="E114" s="101">
        <f t="shared" si="54"/>
        <v>0</v>
      </c>
      <c r="F114" s="422">
        <f t="shared" si="54"/>
        <v>0</v>
      </c>
      <c r="G114" s="75"/>
      <c r="H114" s="94" t="s">
        <v>396</v>
      </c>
      <c r="I114" s="101">
        <f>I111+I112+I113</f>
        <v>0</v>
      </c>
      <c r="J114" s="101">
        <f t="shared" ref="J114:L114" si="55">J111+J112+J113</f>
        <v>0</v>
      </c>
      <c r="K114" s="101">
        <f t="shared" si="55"/>
        <v>0</v>
      </c>
      <c r="L114" s="422">
        <f t="shared" si="55"/>
        <v>0</v>
      </c>
    </row>
    <row r="115" spans="1:12" ht="20.25" customHeight="1" x14ac:dyDescent="0.25">
      <c r="A115" s="75"/>
      <c r="B115" s="69" t="s">
        <v>435</v>
      </c>
      <c r="C115" s="101"/>
      <c r="D115" s="101"/>
      <c r="E115" s="101"/>
      <c r="F115" s="422"/>
      <c r="G115" s="75"/>
      <c r="H115" s="93" t="s">
        <v>397</v>
      </c>
      <c r="I115" s="101"/>
      <c r="J115" s="101"/>
      <c r="K115" s="101"/>
      <c r="L115" s="422"/>
    </row>
    <row r="116" spans="1:12" ht="20.25" customHeight="1" x14ac:dyDescent="0.25">
      <c r="A116" s="75"/>
      <c r="B116" s="69" t="s">
        <v>436</v>
      </c>
      <c r="C116" s="101"/>
      <c r="D116" s="101"/>
      <c r="E116" s="101"/>
      <c r="F116" s="422"/>
      <c r="G116" s="75"/>
      <c r="H116" s="93" t="s">
        <v>1754</v>
      </c>
      <c r="I116" s="101"/>
      <c r="J116" s="101"/>
      <c r="K116" s="101"/>
      <c r="L116" s="422"/>
    </row>
    <row r="117" spans="1:12" ht="20.25" customHeight="1" x14ac:dyDescent="0.25">
      <c r="A117" s="75"/>
      <c r="B117" s="70" t="s">
        <v>437</v>
      </c>
      <c r="C117" s="101">
        <f>C115+C116</f>
        <v>0</v>
      </c>
      <c r="D117" s="101">
        <f t="shared" ref="D117:F117" si="56">D115+D116</f>
        <v>0</v>
      </c>
      <c r="E117" s="101">
        <f t="shared" si="56"/>
        <v>0</v>
      </c>
      <c r="F117" s="422">
        <f t="shared" si="56"/>
        <v>0</v>
      </c>
      <c r="G117" s="75"/>
      <c r="H117" s="94" t="s">
        <v>398</v>
      </c>
      <c r="I117" s="101">
        <f>I115+I116</f>
        <v>0</v>
      </c>
      <c r="J117" s="101">
        <f t="shared" ref="J117:L117" si="57">J115+J116</f>
        <v>0</v>
      </c>
      <c r="K117" s="101">
        <f t="shared" si="57"/>
        <v>0</v>
      </c>
      <c r="L117" s="422">
        <f t="shared" si="57"/>
        <v>0</v>
      </c>
    </row>
    <row r="118" spans="1:12" ht="20.25" customHeight="1" x14ac:dyDescent="0.25">
      <c r="A118" s="75"/>
      <c r="B118" s="70" t="s">
        <v>441</v>
      </c>
      <c r="C118" s="101"/>
      <c r="D118" s="101"/>
      <c r="E118" s="101"/>
      <c r="F118" s="422"/>
      <c r="G118" s="75"/>
      <c r="H118" s="94" t="s">
        <v>399</v>
      </c>
      <c r="I118" s="101"/>
      <c r="J118" s="101"/>
      <c r="K118" s="101"/>
      <c r="L118" s="422"/>
    </row>
    <row r="119" spans="1:12" ht="20.25" customHeight="1" x14ac:dyDescent="0.25">
      <c r="A119" s="75"/>
      <c r="B119" s="70" t="s">
        <v>439</v>
      </c>
      <c r="C119" s="101">
        <v>698500</v>
      </c>
      <c r="D119" s="101">
        <v>698500</v>
      </c>
      <c r="E119" s="101">
        <v>67990</v>
      </c>
      <c r="F119" s="422">
        <f>+E119/D119</f>
        <v>9.7337151037938441E-2</v>
      </c>
      <c r="G119" s="75"/>
      <c r="H119" s="75" t="s">
        <v>401</v>
      </c>
      <c r="I119" s="109">
        <f>I114+I117+I118</f>
        <v>0</v>
      </c>
      <c r="J119" s="109">
        <f t="shared" ref="J119:L119" si="58">J114+J117+J118</f>
        <v>0</v>
      </c>
      <c r="K119" s="109">
        <f t="shared" si="58"/>
        <v>0</v>
      </c>
      <c r="L119" s="423">
        <f t="shared" si="58"/>
        <v>0</v>
      </c>
    </row>
    <row r="120" spans="1:12" ht="20.25" customHeight="1" x14ac:dyDescent="0.25">
      <c r="A120" s="107"/>
      <c r="B120" s="80" t="s">
        <v>442</v>
      </c>
      <c r="C120" s="109">
        <f>C114+C117+C118+C119</f>
        <v>698500</v>
      </c>
      <c r="D120" s="109">
        <f t="shared" ref="D120:E120" si="59">D114+D117+D118+D119</f>
        <v>698500</v>
      </c>
      <c r="E120" s="109">
        <f t="shared" si="59"/>
        <v>67990</v>
      </c>
      <c r="F120" s="423">
        <f>+E120/D120</f>
        <v>9.7337151037938441E-2</v>
      </c>
      <c r="G120" s="107"/>
      <c r="H120" s="94"/>
      <c r="I120" s="101"/>
      <c r="J120" s="101"/>
      <c r="K120" s="101"/>
      <c r="L120" s="422"/>
    </row>
    <row r="121" spans="1:12" ht="20.25" customHeight="1" x14ac:dyDescent="0.25">
      <c r="A121" s="851" t="s">
        <v>143</v>
      </c>
      <c r="B121" s="852"/>
      <c r="C121" s="238">
        <f>C2+C82+C99</f>
        <v>51742395</v>
      </c>
      <c r="D121" s="238">
        <f t="shared" ref="D121:E121" si="60">D2+D82+D99</f>
        <v>52070915</v>
      </c>
      <c r="E121" s="238">
        <f t="shared" si="60"/>
        <v>43410624</v>
      </c>
      <c r="F121" s="425">
        <f>+E121/D121</f>
        <v>0.83368275744722364</v>
      </c>
      <c r="G121" s="851" t="s">
        <v>144</v>
      </c>
      <c r="H121" s="852"/>
      <c r="I121" s="238">
        <f>I2+I82+I99</f>
        <v>51742394.942400001</v>
      </c>
      <c r="J121" s="238">
        <f t="shared" ref="J121:K121" si="61">J2+J82+J99</f>
        <v>52070915</v>
      </c>
      <c r="K121" s="238">
        <f t="shared" si="61"/>
        <v>43377917</v>
      </c>
      <c r="L121" s="425">
        <f>+K121/J121</f>
        <v>0.83305463328232277</v>
      </c>
    </row>
    <row r="123" spans="1:12" x14ac:dyDescent="0.25">
      <c r="I123" s="113">
        <f>+C121-I121</f>
        <v>5.7599999010562897E-2</v>
      </c>
      <c r="J123" s="113">
        <f>+D121-J121</f>
        <v>0</v>
      </c>
      <c r="K123" s="113">
        <f>+E121-K121</f>
        <v>32707</v>
      </c>
    </row>
    <row r="125" spans="1:12" x14ac:dyDescent="0.25">
      <c r="C125" s="113"/>
      <c r="D125" s="113"/>
      <c r="E125" s="113"/>
      <c r="I125" s="239"/>
      <c r="J125" s="239"/>
      <c r="K125" s="239"/>
    </row>
    <row r="126" spans="1:12" x14ac:dyDescent="0.25">
      <c r="I126" s="239"/>
      <c r="J126" s="239"/>
      <c r="K126" s="239"/>
    </row>
    <row r="127" spans="1:12" x14ac:dyDescent="0.25">
      <c r="I127" s="239"/>
      <c r="J127" s="239"/>
      <c r="K127" s="239"/>
    </row>
    <row r="128" spans="1:12" x14ac:dyDescent="0.25">
      <c r="I128" s="239"/>
      <c r="J128" s="239"/>
      <c r="K128" s="239"/>
    </row>
    <row r="129" spans="9:11" x14ac:dyDescent="0.25">
      <c r="I129" s="239"/>
      <c r="J129" s="239"/>
      <c r="K129" s="239"/>
    </row>
  </sheetData>
  <mergeCells count="2">
    <mergeCell ref="A121:B121"/>
    <mergeCell ref="G121:H1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Header>&amp;CTaksony Nagyközség Önkormányzat 2018. évi zárszámadás&amp;R6.a.sz. melléklet</oddHeader>
    <oddFooter xml:space="preserve">&amp;LKészült: &amp;D
&amp;C&amp;P&amp;R/:Kreisz László://:Dr.Micheller Anita:/
/:Szelecki N.Andrea:/       </oddFooter>
  </headerFooter>
  <rowBreaks count="1" manualBreakCount="1">
    <brk id="67" max="11" man="1"/>
  </rowBreaks>
  <colBreaks count="1" manualBreakCount="1">
    <brk id="6" max="11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view="pageBreakPreview" zoomScale="70" zoomScaleNormal="70" zoomScaleSheetLayoutView="70" workbookViewId="0">
      <pane ySplit="1" topLeftCell="A2" activePane="bottomLeft" state="frozen"/>
      <selection activeCell="L86" sqref="L86"/>
      <selection pane="bottomLeft" activeCell="H15" sqref="H15"/>
    </sheetView>
  </sheetViews>
  <sheetFormatPr defaultRowHeight="15" x14ac:dyDescent="0.25"/>
  <cols>
    <col min="1" max="1" width="6.7109375" style="21" customWidth="1"/>
    <col min="2" max="2" width="70.7109375" style="21" customWidth="1"/>
    <col min="3" max="3" width="20.28515625" style="21" customWidth="1"/>
    <col min="4" max="4" width="17" style="21" customWidth="1"/>
    <col min="5" max="5" width="15.5703125" style="21" customWidth="1"/>
    <col min="6" max="6" width="14.7109375" style="426" customWidth="1"/>
    <col min="7" max="7" width="6.7109375" style="21" customWidth="1"/>
    <col min="8" max="8" width="69.5703125" style="21" bestFit="1" customWidth="1"/>
    <col min="9" max="9" width="18.28515625" style="21" customWidth="1"/>
    <col min="10" max="10" width="16.5703125" style="21" customWidth="1"/>
    <col min="11" max="11" width="16.85546875" style="21" customWidth="1"/>
    <col min="12" max="12" width="16.5703125" style="426" customWidth="1"/>
    <col min="13" max="16384" width="9.140625" style="21"/>
  </cols>
  <sheetData>
    <row r="1" spans="1:12" ht="40.5" customHeight="1" x14ac:dyDescent="0.25">
      <c r="A1" s="76"/>
      <c r="B1" s="77" t="s">
        <v>711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756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C3+C17+C24+C35</f>
        <v>3396500</v>
      </c>
      <c r="D2" s="308">
        <f>D3+D17+D24+D35</f>
        <v>3396500</v>
      </c>
      <c r="E2" s="308">
        <f>E3+E17+E24+E35</f>
        <v>3150387</v>
      </c>
      <c r="F2" s="414">
        <f>+E2/D2</f>
        <v>0.92753923156190199</v>
      </c>
      <c r="G2" s="306"/>
      <c r="H2" s="307" t="s">
        <v>196</v>
      </c>
      <c r="I2" s="308">
        <f>I3+I7+I17+I24+I35</f>
        <v>31929030.326400001</v>
      </c>
      <c r="J2" s="308">
        <f>J3+J7+J17+J24+J35</f>
        <v>31589370.326400001</v>
      </c>
      <c r="K2" s="308">
        <f>K3+K7+K17+K24+K35</f>
        <v>24811587</v>
      </c>
      <c r="L2" s="414">
        <f>+K2/J2</f>
        <v>0.78544101207564609</v>
      </c>
    </row>
    <row r="3" spans="1:12" ht="20.25" customHeight="1" x14ac:dyDescent="0.25">
      <c r="A3" s="231" t="s">
        <v>23</v>
      </c>
      <c r="B3" s="232" t="s">
        <v>312</v>
      </c>
      <c r="C3" s="233">
        <f>C4+C11+C12+C13+C14+C15</f>
        <v>0</v>
      </c>
      <c r="D3" s="233">
        <f>D4+D11+D12+D13+D14+D15</f>
        <v>0</v>
      </c>
      <c r="E3" s="233">
        <f>E4+E11+E12+E13+E14+E15</f>
        <v>0</v>
      </c>
      <c r="F3" s="429">
        <f>F4+F11+F12+F13+F14+F15</f>
        <v>0</v>
      </c>
      <c r="G3" s="231" t="s">
        <v>23</v>
      </c>
      <c r="H3" s="227" t="s">
        <v>213</v>
      </c>
      <c r="I3" s="228">
        <f>SUM(I4:I5)</f>
        <v>22630385</v>
      </c>
      <c r="J3" s="228">
        <f t="shared" ref="J3:K3" si="0">SUM(J4:J5)</f>
        <v>22630385</v>
      </c>
      <c r="K3" s="228">
        <f t="shared" si="0"/>
        <v>17954333</v>
      </c>
      <c r="L3" s="415">
        <f>+K3/J3</f>
        <v>0.79337284805362351</v>
      </c>
    </row>
    <row r="4" spans="1:12" ht="20.25" customHeight="1" x14ac:dyDescent="0.25">
      <c r="A4" s="70"/>
      <c r="B4" s="108" t="s">
        <v>247</v>
      </c>
      <c r="C4" s="106">
        <f>SUM(C5:C8)</f>
        <v>0</v>
      </c>
      <c r="D4" s="106">
        <f t="shared" ref="D4:F4" si="1">SUM(D5:D8)</f>
        <v>0</v>
      </c>
      <c r="E4" s="106">
        <f t="shared" si="1"/>
        <v>0</v>
      </c>
      <c r="F4" s="427">
        <f t="shared" si="1"/>
        <v>0</v>
      </c>
      <c r="G4" s="80"/>
      <c r="H4" s="69" t="s">
        <v>500</v>
      </c>
      <c r="I4" s="95">
        <f>+'7.a bölcsőde részletes '!I12</f>
        <v>22180385</v>
      </c>
      <c r="J4" s="95">
        <f>+'7.a bölcsőde részletes '!J12</f>
        <v>22180385</v>
      </c>
      <c r="K4" s="95">
        <f>+'7.a bölcsőde részletes '!K12</f>
        <v>17538149</v>
      </c>
      <c r="L4" s="416">
        <f>+K4/J4</f>
        <v>0.79070534618763377</v>
      </c>
    </row>
    <row r="5" spans="1:12" ht="24" customHeight="1" x14ac:dyDescent="0.25">
      <c r="A5" s="80"/>
      <c r="B5" s="83" t="s">
        <v>248</v>
      </c>
      <c r="C5" s="106"/>
      <c r="D5" s="106"/>
      <c r="E5" s="106"/>
      <c r="F5" s="427"/>
      <c r="G5" s="80"/>
      <c r="H5" s="69" t="s">
        <v>501</v>
      </c>
      <c r="I5" s="95">
        <f>+'7.a bölcsőde részletes '!I16</f>
        <v>450000</v>
      </c>
      <c r="J5" s="95">
        <f>+'7.a bölcsőde részletes '!J16</f>
        <v>450000</v>
      </c>
      <c r="K5" s="95">
        <f>+'7.a bölcsőde részletes '!K16</f>
        <v>416184</v>
      </c>
      <c r="L5" s="416">
        <f>+K5/J5</f>
        <v>0.92485333333333331</v>
      </c>
    </row>
    <row r="6" spans="1:12" ht="24" customHeight="1" x14ac:dyDescent="0.25">
      <c r="A6" s="80"/>
      <c r="B6" s="83" t="s">
        <v>249</v>
      </c>
      <c r="C6" s="106"/>
      <c r="D6" s="106"/>
      <c r="E6" s="106"/>
      <c r="F6" s="427"/>
      <c r="G6" s="80"/>
      <c r="H6" s="69"/>
      <c r="I6" s="95"/>
      <c r="J6" s="95"/>
      <c r="K6" s="95"/>
      <c r="L6" s="416"/>
    </row>
    <row r="7" spans="1:12" ht="33" customHeight="1" x14ac:dyDescent="0.25">
      <c r="A7" s="80"/>
      <c r="B7" s="83" t="s">
        <v>250</v>
      </c>
      <c r="C7" s="106">
        <f>'6.a szociális részletes'!C7</f>
        <v>0</v>
      </c>
      <c r="D7" s="106">
        <f>'6.a szociális részletes'!D7</f>
        <v>0</v>
      </c>
      <c r="E7" s="106">
        <f>'6.a szociális részletes'!E7</f>
        <v>0</v>
      </c>
      <c r="F7" s="427">
        <f>'6.a szociális részletes'!F7</f>
        <v>0</v>
      </c>
      <c r="G7" s="231" t="s">
        <v>45</v>
      </c>
      <c r="H7" s="232" t="s">
        <v>214</v>
      </c>
      <c r="I7" s="233">
        <f>+'7.a bölcsőde részletes '!I17</f>
        <v>4663045.3264000006</v>
      </c>
      <c r="J7" s="233">
        <f>+'7.a bölcsőde részletes '!J17</f>
        <v>4663045.3264000006</v>
      </c>
      <c r="K7" s="233">
        <f>+'7.a bölcsőde részletes '!K17</f>
        <v>3798697</v>
      </c>
      <c r="L7" s="429">
        <f>+K7/J7</f>
        <v>0.81463866081110958</v>
      </c>
    </row>
    <row r="8" spans="1:12" ht="22.5" customHeight="1" x14ac:dyDescent="0.25">
      <c r="A8" s="80"/>
      <c r="B8" s="83" t="s">
        <v>251</v>
      </c>
      <c r="C8" s="106"/>
      <c r="D8" s="106"/>
      <c r="E8" s="106"/>
      <c r="F8" s="427"/>
      <c r="G8" s="80"/>
      <c r="H8" s="69"/>
      <c r="I8" s="95"/>
      <c r="J8" s="95"/>
      <c r="K8" s="95"/>
      <c r="L8" s="416"/>
    </row>
    <row r="9" spans="1:12" ht="24.75" customHeight="1" x14ac:dyDescent="0.25">
      <c r="A9" s="80"/>
      <c r="B9" s="83" t="s">
        <v>252</v>
      </c>
      <c r="C9" s="81" t="s">
        <v>253</v>
      </c>
      <c r="D9" s="81" t="s">
        <v>253</v>
      </c>
      <c r="E9" s="81"/>
      <c r="F9" s="427"/>
      <c r="G9" s="80"/>
      <c r="H9" s="69"/>
      <c r="I9" s="95"/>
      <c r="J9" s="95"/>
      <c r="K9" s="95"/>
      <c r="L9" s="416"/>
    </row>
    <row r="10" spans="1:12" ht="18" customHeight="1" x14ac:dyDescent="0.25">
      <c r="A10" s="80"/>
      <c r="B10" s="83" t="s">
        <v>254</v>
      </c>
      <c r="C10" s="81" t="s">
        <v>253</v>
      </c>
      <c r="D10" s="81" t="s">
        <v>253</v>
      </c>
      <c r="E10" s="81"/>
      <c r="F10" s="427"/>
      <c r="G10" s="84"/>
      <c r="H10" s="69"/>
      <c r="I10" s="96"/>
      <c r="J10" s="96"/>
      <c r="K10" s="96"/>
      <c r="L10" s="431"/>
    </row>
    <row r="11" spans="1:12" ht="20.25" customHeight="1" x14ac:dyDescent="0.25">
      <c r="A11" s="80"/>
      <c r="B11" s="83" t="s">
        <v>255</v>
      </c>
      <c r="C11" s="87"/>
      <c r="D11" s="87"/>
      <c r="E11" s="87"/>
      <c r="F11" s="422"/>
      <c r="G11" s="84"/>
      <c r="I11" s="104"/>
      <c r="J11" s="104"/>
      <c r="K11" s="104"/>
      <c r="L11" s="418"/>
    </row>
    <row r="12" spans="1:12" ht="30" x14ac:dyDescent="0.25">
      <c r="A12" s="70"/>
      <c r="B12" s="83" t="s">
        <v>256</v>
      </c>
      <c r="C12" s="106"/>
      <c r="D12" s="106"/>
      <c r="E12" s="106"/>
      <c r="F12" s="427"/>
      <c r="G12" s="84"/>
      <c r="H12" s="69"/>
      <c r="I12" s="97"/>
      <c r="J12" s="97"/>
      <c r="K12" s="97"/>
      <c r="L12" s="419"/>
    </row>
    <row r="13" spans="1:12" ht="29.25" customHeight="1" x14ac:dyDescent="0.25">
      <c r="A13" s="70"/>
      <c r="B13" s="83" t="s">
        <v>257</v>
      </c>
      <c r="C13" s="106"/>
      <c r="D13" s="106"/>
      <c r="E13" s="106"/>
      <c r="F13" s="427"/>
      <c r="G13" s="84"/>
      <c r="H13" s="69"/>
      <c r="I13" s="97"/>
      <c r="J13" s="97"/>
      <c r="K13" s="97"/>
      <c r="L13" s="419"/>
    </row>
    <row r="14" spans="1:12" ht="29.25" customHeight="1" x14ac:dyDescent="0.25">
      <c r="A14" s="70"/>
      <c r="B14" s="83" t="s">
        <v>258</v>
      </c>
      <c r="C14" s="106"/>
      <c r="D14" s="106"/>
      <c r="E14" s="106"/>
      <c r="F14" s="427"/>
      <c r="G14" s="84"/>
      <c r="H14" s="69"/>
      <c r="I14" s="97"/>
      <c r="J14" s="97"/>
      <c r="K14" s="97"/>
      <c r="L14" s="419"/>
    </row>
    <row r="15" spans="1:12" ht="29.25" customHeight="1" x14ac:dyDescent="0.25">
      <c r="A15" s="70"/>
      <c r="B15" s="83" t="s">
        <v>259</v>
      </c>
      <c r="C15" s="106"/>
      <c r="D15" s="106"/>
      <c r="E15" s="106"/>
      <c r="F15" s="427"/>
      <c r="G15" s="84"/>
      <c r="H15" s="87"/>
      <c r="I15" s="104"/>
      <c r="J15" s="104"/>
      <c r="K15" s="104"/>
      <c r="L15" s="418"/>
    </row>
    <row r="16" spans="1:12" ht="18.75" customHeight="1" x14ac:dyDescent="0.25">
      <c r="A16" s="70"/>
      <c r="C16" s="106"/>
      <c r="D16" s="106"/>
      <c r="E16" s="106"/>
      <c r="F16" s="427"/>
      <c r="H16" s="87"/>
      <c r="I16" s="97"/>
      <c r="J16" s="97"/>
      <c r="K16" s="97"/>
      <c r="L16" s="419"/>
    </row>
    <row r="17" spans="1:12" ht="20.25" customHeight="1" x14ac:dyDescent="0.25">
      <c r="A17" s="231" t="s">
        <v>45</v>
      </c>
      <c r="B17" s="232" t="s">
        <v>266</v>
      </c>
      <c r="C17" s="233">
        <f>C18+C19+C23</f>
        <v>0</v>
      </c>
      <c r="D17" s="233">
        <f t="shared" ref="D17:F17" si="2">D18+D19+D23</f>
        <v>0</v>
      </c>
      <c r="E17" s="233">
        <f t="shared" si="2"/>
        <v>0</v>
      </c>
      <c r="F17" s="429">
        <f t="shared" si="2"/>
        <v>0</v>
      </c>
      <c r="G17" s="231" t="s">
        <v>56</v>
      </c>
      <c r="H17" s="232" t="s">
        <v>215</v>
      </c>
      <c r="I17" s="233">
        <f>SUM(I18:I22)</f>
        <v>4635600</v>
      </c>
      <c r="J17" s="233">
        <f t="shared" ref="J17:K17" si="3">SUM(J18:J22)</f>
        <v>4295940</v>
      </c>
      <c r="K17" s="233">
        <f t="shared" si="3"/>
        <v>3058557</v>
      </c>
      <c r="L17" s="429">
        <f>+K17/J17</f>
        <v>0.71196455257754998</v>
      </c>
    </row>
    <row r="18" spans="1:12" ht="20.25" customHeight="1" x14ac:dyDescent="0.25">
      <c r="A18" s="85"/>
      <c r="B18" s="87" t="s">
        <v>267</v>
      </c>
      <c r="C18" s="95"/>
      <c r="D18" s="95"/>
      <c r="E18" s="95"/>
      <c r="F18" s="416"/>
      <c r="G18" s="71"/>
      <c r="H18" s="115" t="s">
        <v>238</v>
      </c>
      <c r="I18" s="104">
        <f>+'7.a bölcsőde részletes '!I35</f>
        <v>1412000</v>
      </c>
      <c r="J18" s="104">
        <f>+'7.a bölcsőde részletes '!J35</f>
        <v>1057771</v>
      </c>
      <c r="K18" s="104">
        <f>+'7.a bölcsőde részletes '!K35</f>
        <v>900191</v>
      </c>
      <c r="L18" s="416">
        <f t="shared" ref="L18:L22" si="4">+K18/J18</f>
        <v>0.85102635636635904</v>
      </c>
    </row>
    <row r="19" spans="1:12" ht="20.25" customHeight="1" x14ac:dyDescent="0.25">
      <c r="A19" s="85"/>
      <c r="B19" s="87" t="s">
        <v>268</v>
      </c>
      <c r="C19" s="95"/>
      <c r="D19" s="95"/>
      <c r="E19" s="95"/>
      <c r="F19" s="416"/>
      <c r="G19" s="71"/>
      <c r="H19" s="115" t="s">
        <v>239</v>
      </c>
      <c r="I19" s="104">
        <f>+'7.a bölcsőde részletes '!I38</f>
        <v>96000</v>
      </c>
      <c r="J19" s="104">
        <f>+'7.a bölcsőde részletes '!J38</f>
        <v>96000</v>
      </c>
      <c r="K19" s="104">
        <f>+'7.a bölcsőde részletes '!K38</f>
        <v>82143</v>
      </c>
      <c r="L19" s="416">
        <f t="shared" si="4"/>
        <v>0.85565625000000001</v>
      </c>
    </row>
    <row r="20" spans="1:12" ht="20.25" customHeight="1" x14ac:dyDescent="0.25">
      <c r="A20" s="85"/>
      <c r="B20" s="87" t="s">
        <v>269</v>
      </c>
      <c r="C20" s="95"/>
      <c r="D20" s="95"/>
      <c r="E20" s="95"/>
      <c r="F20" s="416"/>
      <c r="G20" s="71"/>
      <c r="H20" s="115" t="s">
        <v>240</v>
      </c>
      <c r="I20" s="104">
        <f>+'7.a bölcsőde részletes '!I54</f>
        <v>2037600</v>
      </c>
      <c r="J20" s="104">
        <f>+'7.a bölcsőde részletes '!J54</f>
        <v>2124600</v>
      </c>
      <c r="K20" s="104">
        <f>+'7.a bölcsőde részletes '!K54</f>
        <v>1438354</v>
      </c>
      <c r="L20" s="416">
        <f t="shared" si="4"/>
        <v>0.67699990586463332</v>
      </c>
    </row>
    <row r="21" spans="1:12" ht="20.25" customHeight="1" x14ac:dyDescent="0.25">
      <c r="A21" s="85"/>
      <c r="B21" s="87" t="s">
        <v>270</v>
      </c>
      <c r="C21" s="95"/>
      <c r="D21" s="95"/>
      <c r="E21" s="95"/>
      <c r="F21" s="416"/>
      <c r="G21" s="71"/>
      <c r="H21" s="115" t="s">
        <v>241</v>
      </c>
      <c r="I21" s="104">
        <f>+'7.a bölcsőde részletes '!I57</f>
        <v>50000</v>
      </c>
      <c r="J21" s="104">
        <f>+'7.a bölcsőde részletes '!J57</f>
        <v>50000</v>
      </c>
      <c r="K21" s="104">
        <f>+'7.a bölcsőde részletes '!K57</f>
        <v>32011</v>
      </c>
      <c r="L21" s="416">
        <f t="shared" si="4"/>
        <v>0.64022000000000001</v>
      </c>
    </row>
    <row r="22" spans="1:12" ht="20.25" customHeight="1" x14ac:dyDescent="0.25">
      <c r="A22" s="85"/>
      <c r="B22" s="87" t="s">
        <v>271</v>
      </c>
      <c r="C22" s="95"/>
      <c r="D22" s="95"/>
      <c r="E22" s="95"/>
      <c r="F22" s="416"/>
      <c r="G22" s="71"/>
      <c r="H22" s="115" t="s">
        <v>242</v>
      </c>
      <c r="I22" s="104">
        <f>+'7.a bölcsőde részletes '!I63</f>
        <v>1040000</v>
      </c>
      <c r="J22" s="104">
        <f>+'7.a bölcsőde részletes '!J63</f>
        <v>967569</v>
      </c>
      <c r="K22" s="104">
        <f>+'7.a bölcsőde részletes '!K63</f>
        <v>605858</v>
      </c>
      <c r="L22" s="416">
        <f t="shared" si="4"/>
        <v>0.62616516238118414</v>
      </c>
    </row>
    <row r="23" spans="1:12" ht="20.25" customHeight="1" x14ac:dyDescent="0.25">
      <c r="A23" s="85"/>
      <c r="B23" s="87" t="s">
        <v>272</v>
      </c>
      <c r="C23" s="95"/>
      <c r="D23" s="95"/>
      <c r="E23" s="95"/>
      <c r="F23" s="416"/>
      <c r="G23" s="71"/>
      <c r="H23" s="71"/>
      <c r="I23" s="97"/>
      <c r="J23" s="97"/>
      <c r="K23" s="97"/>
      <c r="L23" s="419"/>
    </row>
    <row r="24" spans="1:12" ht="20.25" customHeight="1" x14ac:dyDescent="0.25">
      <c r="A24" s="231" t="s">
        <v>56</v>
      </c>
      <c r="B24" s="232" t="s">
        <v>273</v>
      </c>
      <c r="C24" s="233">
        <f>SUM(C25:C34)</f>
        <v>3396500</v>
      </c>
      <c r="D24" s="233">
        <f t="shared" ref="D24:E24" si="5">SUM(D25:D34)</f>
        <v>3396500</v>
      </c>
      <c r="E24" s="233">
        <f t="shared" si="5"/>
        <v>3150387</v>
      </c>
      <c r="F24" s="429">
        <f>+E24/D24</f>
        <v>0.92753923156190199</v>
      </c>
      <c r="G24" s="231" t="s">
        <v>64</v>
      </c>
      <c r="H24" s="232" t="s">
        <v>216</v>
      </c>
      <c r="I24" s="233">
        <f>'6.a szociális részletes'!I68</f>
        <v>0</v>
      </c>
      <c r="J24" s="233">
        <f>'6.a szociális részletes'!J68</f>
        <v>0</v>
      </c>
      <c r="K24" s="233">
        <f>'6.a szociális részletes'!K68</f>
        <v>0</v>
      </c>
      <c r="L24" s="429">
        <f>'6.a szociális részletes'!L68</f>
        <v>0</v>
      </c>
    </row>
    <row r="25" spans="1:12" ht="20.25" customHeight="1" x14ac:dyDescent="0.25">
      <c r="A25" s="85"/>
      <c r="B25" s="88" t="s">
        <v>274</v>
      </c>
      <c r="C25" s="101"/>
      <c r="D25" s="101"/>
      <c r="E25" s="101"/>
      <c r="F25" s="422"/>
      <c r="G25" s="71"/>
      <c r="H25" s="71" t="s">
        <v>202</v>
      </c>
      <c r="I25" s="100"/>
      <c r="J25" s="100"/>
      <c r="K25" s="100"/>
      <c r="L25" s="420"/>
    </row>
    <row r="26" spans="1:12" ht="20.25" customHeight="1" x14ac:dyDescent="0.25">
      <c r="A26" s="85"/>
      <c r="B26" s="88" t="s">
        <v>275</v>
      </c>
      <c r="C26" s="101"/>
      <c r="D26" s="101"/>
      <c r="E26" s="101"/>
      <c r="F26" s="422"/>
      <c r="G26" s="71"/>
      <c r="H26" s="87" t="s">
        <v>203</v>
      </c>
      <c r="I26" s="100"/>
      <c r="J26" s="100"/>
      <c r="K26" s="100"/>
      <c r="L26" s="420"/>
    </row>
    <row r="27" spans="1:12" ht="20.25" customHeight="1" x14ac:dyDescent="0.25">
      <c r="A27" s="85"/>
      <c r="B27" s="88" t="s">
        <v>276</v>
      </c>
      <c r="C27" s="101"/>
      <c r="D27" s="101"/>
      <c r="E27" s="101"/>
      <c r="F27" s="422"/>
      <c r="G27" s="71"/>
      <c r="H27" s="71" t="s">
        <v>204</v>
      </c>
      <c r="I27" s="100"/>
      <c r="J27" s="100"/>
      <c r="K27" s="100"/>
      <c r="L27" s="420"/>
    </row>
    <row r="28" spans="1:12" ht="20.25" customHeight="1" x14ac:dyDescent="0.25">
      <c r="A28" s="85"/>
      <c r="B28" s="88" t="s">
        <v>277</v>
      </c>
      <c r="C28" s="101"/>
      <c r="D28" s="101"/>
      <c r="E28" s="101"/>
      <c r="F28" s="422"/>
      <c r="G28" s="71"/>
      <c r="H28" s="71" t="s">
        <v>205</v>
      </c>
      <c r="I28" s="100"/>
      <c r="J28" s="100"/>
      <c r="K28" s="100"/>
      <c r="L28" s="420"/>
    </row>
    <row r="29" spans="1:12" ht="20.25" customHeight="1" x14ac:dyDescent="0.25">
      <c r="A29" s="85"/>
      <c r="B29" s="88" t="s">
        <v>278</v>
      </c>
      <c r="C29" s="101">
        <f>+'7.a bölcsőde részletes '!C34</f>
        <v>3396500</v>
      </c>
      <c r="D29" s="101">
        <f>+'7.a bölcsőde részletes '!D34</f>
        <v>3396500</v>
      </c>
      <c r="E29" s="101">
        <f>+'7.a bölcsőde részletes '!E34</f>
        <v>3120529</v>
      </c>
      <c r="F29" s="422">
        <f>+E29/D29</f>
        <v>0.91874841748859115</v>
      </c>
      <c r="G29" s="71"/>
      <c r="H29" s="71" t="s">
        <v>206</v>
      </c>
      <c r="I29" s="100"/>
      <c r="J29" s="100"/>
      <c r="K29" s="100"/>
      <c r="L29" s="420"/>
    </row>
    <row r="30" spans="1:12" ht="20.25" customHeight="1" x14ac:dyDescent="0.25">
      <c r="A30" s="85"/>
      <c r="B30" s="88" t="s">
        <v>279</v>
      </c>
      <c r="C30" s="101"/>
      <c r="D30" s="101"/>
      <c r="E30" s="101"/>
      <c r="F30" s="422"/>
      <c r="G30" s="71"/>
      <c r="H30" s="71" t="s">
        <v>207</v>
      </c>
      <c r="I30" s="100"/>
      <c r="J30" s="100"/>
      <c r="K30" s="100"/>
      <c r="L30" s="420"/>
    </row>
    <row r="31" spans="1:12" ht="20.25" customHeight="1" x14ac:dyDescent="0.25">
      <c r="A31" s="85"/>
      <c r="B31" s="88" t="s">
        <v>280</v>
      </c>
      <c r="C31" s="101"/>
      <c r="D31" s="101"/>
      <c r="E31" s="101"/>
      <c r="F31" s="422"/>
      <c r="G31" s="71"/>
      <c r="H31" s="71"/>
      <c r="I31" s="97"/>
      <c r="J31" s="97"/>
      <c r="K31" s="97"/>
      <c r="L31" s="419"/>
    </row>
    <row r="32" spans="1:12" ht="20.25" customHeight="1" x14ac:dyDescent="0.25">
      <c r="A32" s="85"/>
      <c r="B32" s="88" t="s">
        <v>281</v>
      </c>
      <c r="C32" s="101"/>
      <c r="D32" s="101"/>
      <c r="E32" s="101"/>
      <c r="F32" s="422"/>
      <c r="G32" s="71"/>
      <c r="I32" s="104"/>
      <c r="J32" s="104"/>
      <c r="K32" s="104"/>
      <c r="L32" s="418"/>
    </row>
    <row r="33" spans="1:12" ht="20.25" customHeight="1" x14ac:dyDescent="0.25">
      <c r="A33" s="85"/>
      <c r="B33" s="88" t="s">
        <v>282</v>
      </c>
      <c r="C33" s="101"/>
      <c r="D33" s="101"/>
      <c r="E33" s="101"/>
      <c r="F33" s="422"/>
      <c r="G33" s="71"/>
      <c r="H33" s="71"/>
      <c r="I33" s="97"/>
      <c r="J33" s="97"/>
      <c r="K33" s="97"/>
      <c r="L33" s="419"/>
    </row>
    <row r="34" spans="1:12" ht="20.25" customHeight="1" x14ac:dyDescent="0.25">
      <c r="A34" s="85"/>
      <c r="B34" s="88" t="s">
        <v>283</v>
      </c>
      <c r="C34" s="101"/>
      <c r="D34" s="101"/>
      <c r="E34" s="101">
        <f>+'7.a bölcsőde részletes '!E44</f>
        <v>29858</v>
      </c>
      <c r="F34" s="422"/>
      <c r="G34" s="71"/>
      <c r="H34" s="71"/>
      <c r="I34" s="97"/>
      <c r="J34" s="97"/>
      <c r="K34" s="97"/>
      <c r="L34" s="419"/>
    </row>
    <row r="35" spans="1:12" ht="20.25" customHeight="1" x14ac:dyDescent="0.25">
      <c r="A35" s="231" t="s">
        <v>64</v>
      </c>
      <c r="B35" s="232" t="s">
        <v>290</v>
      </c>
      <c r="C35" s="233">
        <f>C36+C37+C38</f>
        <v>0</v>
      </c>
      <c r="D35" s="233">
        <f t="shared" ref="D35:F35" si="6">D36+D37+D38</f>
        <v>0</v>
      </c>
      <c r="E35" s="233">
        <f t="shared" si="6"/>
        <v>0</v>
      </c>
      <c r="F35" s="429">
        <f t="shared" si="6"/>
        <v>0</v>
      </c>
      <c r="G35" s="231" t="s">
        <v>100</v>
      </c>
      <c r="H35" s="232" t="s">
        <v>237</v>
      </c>
      <c r="I35" s="233">
        <f>'6.a szociális részletes'!I75</f>
        <v>0</v>
      </c>
      <c r="J35" s="233">
        <f>'6.a szociális részletes'!J75</f>
        <v>0</v>
      </c>
      <c r="K35" s="233">
        <f>'6.a szociális részletes'!K75</f>
        <v>0</v>
      </c>
      <c r="L35" s="429">
        <f>'6.a szociális részletes'!L75</f>
        <v>0</v>
      </c>
    </row>
    <row r="36" spans="1:12" ht="30" x14ac:dyDescent="0.25">
      <c r="A36" s="85"/>
      <c r="B36" s="88" t="s">
        <v>291</v>
      </c>
      <c r="C36" s="101"/>
      <c r="D36" s="101"/>
      <c r="E36" s="101"/>
      <c r="F36" s="422"/>
      <c r="G36" s="71"/>
      <c r="H36" s="71" t="s">
        <v>208</v>
      </c>
      <c r="I36" s="105" t="s">
        <v>253</v>
      </c>
      <c r="J36" s="105" t="s">
        <v>253</v>
      </c>
      <c r="K36" s="105"/>
      <c r="L36" s="417"/>
    </row>
    <row r="37" spans="1:12" ht="28.5" customHeight="1" x14ac:dyDescent="0.25">
      <c r="A37" s="85"/>
      <c r="B37" s="83" t="s">
        <v>292</v>
      </c>
      <c r="C37" s="101"/>
      <c r="D37" s="101"/>
      <c r="E37" s="101"/>
      <c r="F37" s="422"/>
      <c r="G37" s="71"/>
      <c r="H37" s="71" t="s">
        <v>210</v>
      </c>
      <c r="I37" s="100"/>
      <c r="J37" s="100"/>
      <c r="K37" s="100"/>
      <c r="L37" s="420"/>
    </row>
    <row r="38" spans="1:12" ht="19.5" customHeight="1" x14ac:dyDescent="0.25">
      <c r="A38" s="85"/>
      <c r="B38" s="88" t="s">
        <v>293</v>
      </c>
      <c r="C38" s="101"/>
      <c r="D38" s="101"/>
      <c r="E38" s="101"/>
      <c r="F38" s="422"/>
      <c r="G38" s="71"/>
      <c r="H38" s="71" t="s">
        <v>209</v>
      </c>
      <c r="I38" s="100"/>
      <c r="J38" s="100"/>
      <c r="K38" s="100"/>
      <c r="L38" s="420"/>
    </row>
    <row r="39" spans="1:12" ht="19.5" customHeight="1" x14ac:dyDescent="0.25">
      <c r="A39" s="85"/>
      <c r="B39" s="88"/>
      <c r="C39" s="101"/>
      <c r="D39" s="101"/>
      <c r="E39" s="101"/>
      <c r="F39" s="422"/>
      <c r="G39" s="71"/>
      <c r="H39" s="71" t="s">
        <v>211</v>
      </c>
      <c r="I39" s="100"/>
      <c r="J39" s="100"/>
      <c r="K39" s="100"/>
      <c r="L39" s="420"/>
    </row>
    <row r="40" spans="1:12" ht="19.5" customHeight="1" x14ac:dyDescent="0.25">
      <c r="A40" s="85"/>
      <c r="B40" s="88"/>
      <c r="C40" s="99"/>
      <c r="D40" s="99"/>
      <c r="E40" s="99"/>
      <c r="F40" s="430"/>
      <c r="G40" s="71"/>
      <c r="H40" s="71" t="s">
        <v>376</v>
      </c>
      <c r="I40" s="100"/>
      <c r="J40" s="100"/>
      <c r="K40" s="100"/>
      <c r="L40" s="420"/>
    </row>
    <row r="41" spans="1:12" ht="19.5" customHeight="1" x14ac:dyDescent="0.25">
      <c r="A41" s="85"/>
      <c r="B41" s="88"/>
      <c r="C41" s="99"/>
      <c r="D41" s="99"/>
      <c r="E41" s="99"/>
      <c r="F41" s="430"/>
      <c r="G41" s="71"/>
      <c r="H41" s="71" t="s">
        <v>212</v>
      </c>
      <c r="I41" s="100"/>
      <c r="J41" s="100"/>
      <c r="K41" s="100"/>
      <c r="L41" s="420"/>
    </row>
    <row r="42" spans="1:12" ht="19.5" customHeight="1" x14ac:dyDescent="0.25">
      <c r="A42" s="85"/>
      <c r="B42" s="88"/>
      <c r="C42" s="99"/>
      <c r="D42" s="99"/>
      <c r="E42" s="99"/>
      <c r="F42" s="430"/>
      <c r="G42" s="73"/>
      <c r="H42" s="82"/>
      <c r="I42" s="100"/>
      <c r="J42" s="100"/>
      <c r="K42" s="100"/>
      <c r="L42" s="420"/>
    </row>
    <row r="43" spans="1:12" ht="19.5" customHeight="1" x14ac:dyDescent="0.25">
      <c r="A43" s="85"/>
      <c r="B43" s="88"/>
      <c r="C43" s="99"/>
      <c r="D43" s="99"/>
      <c r="E43" s="99"/>
      <c r="F43" s="430"/>
      <c r="G43" s="71"/>
      <c r="H43" s="71"/>
      <c r="I43" s="100"/>
      <c r="J43" s="100"/>
      <c r="K43" s="100"/>
      <c r="L43" s="420"/>
    </row>
    <row r="44" spans="1:12" ht="19.5" customHeight="1" x14ac:dyDescent="0.25">
      <c r="A44" s="85"/>
      <c r="B44" s="88"/>
      <c r="C44" s="99"/>
      <c r="D44" s="99"/>
      <c r="E44" s="99"/>
      <c r="F44" s="430"/>
      <c r="G44" s="71"/>
      <c r="H44" s="87"/>
      <c r="I44" s="100"/>
      <c r="J44" s="100"/>
      <c r="K44" s="100"/>
      <c r="L44" s="420"/>
    </row>
    <row r="45" spans="1:12" ht="19.5" customHeight="1" x14ac:dyDescent="0.25">
      <c r="A45" s="85"/>
      <c r="B45" s="88"/>
      <c r="C45" s="99"/>
      <c r="D45" s="99"/>
      <c r="E45" s="99"/>
      <c r="F45" s="430"/>
      <c r="G45" s="71"/>
      <c r="H45" s="71"/>
      <c r="I45" s="100"/>
      <c r="J45" s="100"/>
      <c r="K45" s="100"/>
      <c r="L45" s="420"/>
    </row>
    <row r="46" spans="1:12" ht="19.5" customHeight="1" x14ac:dyDescent="0.25">
      <c r="A46" s="85"/>
      <c r="B46" s="88"/>
      <c r="C46" s="99"/>
      <c r="D46" s="99"/>
      <c r="E46" s="99"/>
      <c r="F46" s="430"/>
      <c r="G46" s="71"/>
      <c r="H46" s="71"/>
      <c r="I46" s="100"/>
      <c r="J46" s="100"/>
      <c r="K46" s="100"/>
      <c r="L46" s="420"/>
    </row>
    <row r="47" spans="1:12" ht="19.5" customHeight="1" x14ac:dyDescent="0.25">
      <c r="A47" s="85"/>
      <c r="B47" s="88"/>
      <c r="C47" s="99"/>
      <c r="D47" s="99"/>
      <c r="E47" s="99"/>
      <c r="F47" s="430"/>
      <c r="G47" s="71"/>
      <c r="H47" s="71"/>
      <c r="I47" s="100"/>
      <c r="J47" s="100"/>
      <c r="K47" s="100"/>
      <c r="L47" s="420"/>
    </row>
    <row r="48" spans="1:12" ht="19.5" customHeight="1" x14ac:dyDescent="0.25">
      <c r="A48" s="85"/>
      <c r="B48" s="88"/>
      <c r="C48" s="99"/>
      <c r="D48" s="99"/>
      <c r="E48" s="99"/>
      <c r="F48" s="430"/>
      <c r="G48" s="87"/>
      <c r="H48" s="87"/>
      <c r="I48" s="87"/>
      <c r="J48" s="87"/>
      <c r="K48" s="87"/>
      <c r="L48" s="422"/>
    </row>
    <row r="49" spans="1:12" ht="20.25" customHeight="1" x14ac:dyDescent="0.25">
      <c r="A49" s="85"/>
      <c r="B49" s="88"/>
      <c r="C49" s="99"/>
      <c r="D49" s="99"/>
      <c r="E49" s="99"/>
      <c r="F49" s="430"/>
      <c r="G49" s="87"/>
      <c r="H49" s="87"/>
      <c r="I49" s="87"/>
      <c r="J49" s="87"/>
      <c r="K49" s="87"/>
      <c r="L49" s="422"/>
    </row>
    <row r="50" spans="1:12" ht="20.25" customHeight="1" x14ac:dyDescent="0.25">
      <c r="A50" s="306"/>
      <c r="B50" s="307" t="s">
        <v>192</v>
      </c>
      <c r="C50" s="308">
        <f>C51+C57+C63</f>
        <v>0</v>
      </c>
      <c r="D50" s="308">
        <f t="shared" ref="D50:F50" si="7">D51+D57+D63</f>
        <v>0</v>
      </c>
      <c r="E50" s="308">
        <f t="shared" si="7"/>
        <v>0</v>
      </c>
      <c r="F50" s="414">
        <f t="shared" si="7"/>
        <v>0</v>
      </c>
      <c r="G50" s="306"/>
      <c r="H50" s="307" t="s">
        <v>200</v>
      </c>
      <c r="I50" s="308">
        <f>I51+I59+I64</f>
        <v>0</v>
      </c>
      <c r="J50" s="308">
        <f t="shared" ref="J50:K50" si="8">J51+J59+J64</f>
        <v>339660</v>
      </c>
      <c r="K50" s="308">
        <f t="shared" si="8"/>
        <v>336630</v>
      </c>
      <c r="L50" s="414">
        <f>+K50/J50</f>
        <v>0.99107931460872634</v>
      </c>
    </row>
    <row r="51" spans="1:12" ht="20.25" customHeight="1" x14ac:dyDescent="0.25">
      <c r="A51" s="231" t="s">
        <v>100</v>
      </c>
      <c r="B51" s="232" t="s">
        <v>260</v>
      </c>
      <c r="C51" s="233">
        <f>SUM(C52:C56)</f>
        <v>0</v>
      </c>
      <c r="D51" s="233">
        <f t="shared" ref="D51:F51" si="9">SUM(D52:D56)</f>
        <v>0</v>
      </c>
      <c r="E51" s="233">
        <f t="shared" si="9"/>
        <v>0</v>
      </c>
      <c r="F51" s="429">
        <f t="shared" si="9"/>
        <v>0</v>
      </c>
      <c r="G51" s="231" t="s">
        <v>181</v>
      </c>
      <c r="H51" s="232" t="s">
        <v>217</v>
      </c>
      <c r="I51" s="233">
        <f>SUM(I52:I58)</f>
        <v>0</v>
      </c>
      <c r="J51" s="233">
        <f t="shared" ref="J51:K51" si="10">SUM(J52:J58)</f>
        <v>339660</v>
      </c>
      <c r="K51" s="233">
        <f t="shared" si="10"/>
        <v>336630</v>
      </c>
      <c r="L51" s="429">
        <f>+K51/J51</f>
        <v>0.99107931460872634</v>
      </c>
    </row>
    <row r="52" spans="1:12" ht="20.25" customHeight="1" x14ac:dyDescent="0.25">
      <c r="A52" s="85"/>
      <c r="B52" s="83" t="s">
        <v>261</v>
      </c>
      <c r="C52" s="101"/>
      <c r="D52" s="101"/>
      <c r="E52" s="101"/>
      <c r="F52" s="422"/>
      <c r="G52" s="85"/>
      <c r="H52" s="91" t="s">
        <v>218</v>
      </c>
      <c r="I52" s="95"/>
      <c r="J52" s="95"/>
      <c r="K52" s="95"/>
      <c r="L52" s="416"/>
    </row>
    <row r="53" spans="1:12" ht="29.25" customHeight="1" x14ac:dyDescent="0.25">
      <c r="A53" s="85"/>
      <c r="B53" s="83" t="s">
        <v>262</v>
      </c>
      <c r="C53" s="101"/>
      <c r="D53" s="101"/>
      <c r="E53" s="101"/>
      <c r="F53" s="422"/>
      <c r="G53" s="85"/>
      <c r="H53" s="91" t="s">
        <v>219</v>
      </c>
      <c r="I53" s="95"/>
      <c r="J53" s="95"/>
      <c r="K53" s="95"/>
      <c r="L53" s="416"/>
    </row>
    <row r="54" spans="1:12" ht="29.25" customHeight="1" x14ac:dyDescent="0.25">
      <c r="A54" s="85"/>
      <c r="B54" s="83" t="s">
        <v>263</v>
      </c>
      <c r="C54" s="101"/>
      <c r="D54" s="101"/>
      <c r="E54" s="101"/>
      <c r="F54" s="422"/>
      <c r="G54" s="71"/>
      <c r="H54" s="71" t="s">
        <v>220</v>
      </c>
      <c r="I54" s="98"/>
      <c r="J54" s="98"/>
      <c r="K54" s="98"/>
      <c r="L54" s="421"/>
    </row>
    <row r="55" spans="1:12" ht="29.25" customHeight="1" x14ac:dyDescent="0.25">
      <c r="A55" s="85"/>
      <c r="B55" s="83" t="s">
        <v>264</v>
      </c>
      <c r="C55" s="101"/>
      <c r="D55" s="101"/>
      <c r="E55" s="101"/>
      <c r="F55" s="422"/>
      <c r="G55" s="71"/>
      <c r="H55" s="71" t="s">
        <v>221</v>
      </c>
      <c r="I55" s="98">
        <f>+'7.a bölcsőde részletes '!I83</f>
        <v>0</v>
      </c>
      <c r="J55" s="98">
        <f>+'7.a bölcsőde részletes '!J83</f>
        <v>267229</v>
      </c>
      <c r="K55" s="98">
        <f>+'7.a bölcsőde részletes '!K83</f>
        <v>265063</v>
      </c>
      <c r="L55" s="421">
        <f>+K55/J55</f>
        <v>0.99189459227853261</v>
      </c>
    </row>
    <row r="56" spans="1:12" ht="21" customHeight="1" x14ac:dyDescent="0.25">
      <c r="A56" s="85"/>
      <c r="B56" s="83" t="s">
        <v>265</v>
      </c>
      <c r="C56" s="101"/>
      <c r="D56" s="101"/>
      <c r="E56" s="101"/>
      <c r="F56" s="422"/>
      <c r="G56" s="71"/>
      <c r="H56" s="71" t="s">
        <v>222</v>
      </c>
      <c r="I56" s="98"/>
      <c r="J56" s="98"/>
      <c r="K56" s="98"/>
      <c r="L56" s="421"/>
    </row>
    <row r="57" spans="1:12" ht="20.25" customHeight="1" x14ac:dyDescent="0.25">
      <c r="A57" s="231" t="s">
        <v>181</v>
      </c>
      <c r="B57" s="232" t="s">
        <v>284</v>
      </c>
      <c r="C57" s="233">
        <f>SUM(C58:C62)</f>
        <v>0</v>
      </c>
      <c r="D57" s="233">
        <f t="shared" ref="D57:F57" si="11">SUM(D58:D62)</f>
        <v>0</v>
      </c>
      <c r="E57" s="233">
        <f t="shared" si="11"/>
        <v>0</v>
      </c>
      <c r="F57" s="429">
        <f t="shared" si="11"/>
        <v>0</v>
      </c>
      <c r="G57" s="71"/>
      <c r="H57" s="71" t="s">
        <v>223</v>
      </c>
      <c r="I57" s="98"/>
      <c r="J57" s="98"/>
      <c r="K57" s="98"/>
      <c r="L57" s="421"/>
    </row>
    <row r="58" spans="1:12" ht="20.25" customHeight="1" x14ac:dyDescent="0.25">
      <c r="A58" s="85"/>
      <c r="B58" s="88" t="s">
        <v>285</v>
      </c>
      <c r="C58" s="101"/>
      <c r="D58" s="101"/>
      <c r="E58" s="101"/>
      <c r="F58" s="422"/>
      <c r="G58" s="71"/>
      <c r="H58" s="71" t="s">
        <v>224</v>
      </c>
      <c r="I58" s="98">
        <f>+'7.a bölcsőde részletes '!I86</f>
        <v>0</v>
      </c>
      <c r="J58" s="98">
        <f>+'7.a bölcsőde részletes '!J86</f>
        <v>72431</v>
      </c>
      <c r="K58" s="98">
        <f>+'7.a bölcsőde részletes '!K86</f>
        <v>71567</v>
      </c>
      <c r="L58" s="421">
        <f t="shared" ref="L58" si="12">+K58/J58</f>
        <v>0.98807140588974329</v>
      </c>
    </row>
    <row r="59" spans="1:12" ht="20.25" customHeight="1" x14ac:dyDescent="0.25">
      <c r="A59" s="85"/>
      <c r="B59" s="88" t="s">
        <v>286</v>
      </c>
      <c r="C59" s="101"/>
      <c r="D59" s="101"/>
      <c r="E59" s="101"/>
      <c r="F59" s="422"/>
      <c r="G59" s="231" t="s">
        <v>191</v>
      </c>
      <c r="H59" s="232" t="s">
        <v>225</v>
      </c>
      <c r="I59" s="233">
        <f>SUM(I60:I63)</f>
        <v>0</v>
      </c>
      <c r="J59" s="233">
        <f t="shared" ref="J59:L59" si="13">SUM(J60:J63)</f>
        <v>0</v>
      </c>
      <c r="K59" s="233">
        <f t="shared" si="13"/>
        <v>0</v>
      </c>
      <c r="L59" s="429">
        <f t="shared" si="13"/>
        <v>0</v>
      </c>
    </row>
    <row r="60" spans="1:12" ht="20.25" customHeight="1" x14ac:dyDescent="0.25">
      <c r="A60" s="85"/>
      <c r="B60" s="88" t="s">
        <v>287</v>
      </c>
      <c r="C60" s="101"/>
      <c r="D60" s="101"/>
      <c r="E60" s="101"/>
      <c r="F60" s="422"/>
      <c r="G60" s="71"/>
      <c r="H60" s="71" t="s">
        <v>226</v>
      </c>
      <c r="I60" s="98">
        <f>'6.a szociális részletes'!I92</f>
        <v>0</v>
      </c>
      <c r="J60" s="98">
        <f>'6.a szociális részletes'!J92</f>
        <v>0</v>
      </c>
      <c r="K60" s="98">
        <f>'6.a szociális részletes'!K92</f>
        <v>0</v>
      </c>
      <c r="L60" s="421">
        <f>'6.a szociális részletes'!L92</f>
        <v>0</v>
      </c>
    </row>
    <row r="61" spans="1:12" ht="20.25" customHeight="1" x14ac:dyDescent="0.25">
      <c r="A61" s="85"/>
      <c r="B61" s="88" t="s">
        <v>288</v>
      </c>
      <c r="C61" s="101"/>
      <c r="D61" s="101"/>
      <c r="E61" s="101"/>
      <c r="F61" s="422"/>
      <c r="G61" s="71"/>
      <c r="H61" s="71" t="s">
        <v>227</v>
      </c>
      <c r="I61" s="98">
        <f>'6.a szociális részletes'!I93</f>
        <v>0</v>
      </c>
      <c r="J61" s="98">
        <f>'6.a szociális részletes'!J93</f>
        <v>0</v>
      </c>
      <c r="K61" s="98">
        <f>'6.a szociális részletes'!K93</f>
        <v>0</v>
      </c>
      <c r="L61" s="421">
        <f>'6.a szociális részletes'!L93</f>
        <v>0</v>
      </c>
    </row>
    <row r="62" spans="1:12" ht="20.25" customHeight="1" x14ac:dyDescent="0.25">
      <c r="A62" s="85"/>
      <c r="B62" s="88" t="s">
        <v>289</v>
      </c>
      <c r="C62" s="101"/>
      <c r="D62" s="101"/>
      <c r="E62" s="101"/>
      <c r="F62" s="422"/>
      <c r="G62" s="71"/>
      <c r="H62" s="71" t="s">
        <v>228</v>
      </c>
      <c r="I62" s="98">
        <f>'6.a szociális részletes'!I94</f>
        <v>0</v>
      </c>
      <c r="J62" s="98">
        <f>'6.a szociális részletes'!J94</f>
        <v>0</v>
      </c>
      <c r="K62" s="98">
        <f>'6.a szociális részletes'!K94</f>
        <v>0</v>
      </c>
      <c r="L62" s="421">
        <f>'6.a szociális részletes'!L94</f>
        <v>0</v>
      </c>
    </row>
    <row r="63" spans="1:12" ht="20.25" customHeight="1" x14ac:dyDescent="0.25">
      <c r="A63" s="231" t="s">
        <v>191</v>
      </c>
      <c r="B63" s="232" t="s">
        <v>294</v>
      </c>
      <c r="C63" s="233">
        <f>C64+C65+C66</f>
        <v>0</v>
      </c>
      <c r="D63" s="233">
        <f t="shared" ref="D63:F63" si="14">D64+D65+D66</f>
        <v>0</v>
      </c>
      <c r="E63" s="233">
        <f t="shared" si="14"/>
        <v>0</v>
      </c>
      <c r="F63" s="429">
        <f t="shared" si="14"/>
        <v>0</v>
      </c>
      <c r="G63" s="71"/>
      <c r="H63" s="71" t="s">
        <v>229</v>
      </c>
      <c r="I63" s="98">
        <f>'6.a szociális részletes'!I95</f>
        <v>0</v>
      </c>
      <c r="J63" s="98">
        <f>'6.a szociális részletes'!J95</f>
        <v>0</v>
      </c>
      <c r="K63" s="98">
        <f>'6.a szociális részletes'!K95</f>
        <v>0</v>
      </c>
      <c r="L63" s="421">
        <f>'6.a szociális részletes'!L95</f>
        <v>0</v>
      </c>
    </row>
    <row r="64" spans="1:12" ht="29.25" customHeight="1" x14ac:dyDescent="0.25">
      <c r="A64" s="85"/>
      <c r="B64" s="88" t="s">
        <v>295</v>
      </c>
      <c r="C64" s="101"/>
      <c r="D64" s="101"/>
      <c r="E64" s="101"/>
      <c r="F64" s="422"/>
      <c r="G64" s="231" t="s">
        <v>199</v>
      </c>
      <c r="H64" s="232" t="s">
        <v>230</v>
      </c>
      <c r="I64" s="233">
        <f>'6.a szociális részletes'!I96</f>
        <v>0</v>
      </c>
      <c r="J64" s="233">
        <f>'6.a szociális részletes'!J96</f>
        <v>0</v>
      </c>
      <c r="K64" s="233">
        <f>'6.a szociális részletes'!K96</f>
        <v>0</v>
      </c>
      <c r="L64" s="429">
        <f>'6.a szociális részletes'!L96</f>
        <v>0</v>
      </c>
    </row>
    <row r="65" spans="1:12" ht="29.25" customHeight="1" x14ac:dyDescent="0.25">
      <c r="A65" s="85"/>
      <c r="B65" s="83" t="s">
        <v>296</v>
      </c>
      <c r="C65" s="101"/>
      <c r="D65" s="101"/>
      <c r="E65" s="101"/>
      <c r="F65" s="422"/>
      <c r="G65" s="71"/>
      <c r="H65" s="71"/>
      <c r="I65" s="98"/>
      <c r="J65" s="98"/>
      <c r="K65" s="98"/>
      <c r="L65" s="421"/>
    </row>
    <row r="66" spans="1:12" ht="21" customHeight="1" x14ac:dyDescent="0.25">
      <c r="A66" s="85"/>
      <c r="B66" s="88" t="s">
        <v>297</v>
      </c>
      <c r="C66" s="101"/>
      <c r="D66" s="101"/>
      <c r="E66" s="101"/>
      <c r="F66" s="422"/>
      <c r="G66" s="71"/>
      <c r="H66" s="71"/>
      <c r="I66" s="98"/>
      <c r="J66" s="98"/>
      <c r="K66" s="98"/>
      <c r="L66" s="421"/>
    </row>
    <row r="67" spans="1:12" ht="20.25" customHeight="1" x14ac:dyDescent="0.25">
      <c r="A67" s="306"/>
      <c r="B67" s="307" t="s">
        <v>298</v>
      </c>
      <c r="C67" s="308">
        <f>C77+C88</f>
        <v>28532530</v>
      </c>
      <c r="D67" s="308">
        <f t="shared" ref="D67:E67" si="15">D77+D88</f>
        <v>28532530</v>
      </c>
      <c r="E67" s="308">
        <f t="shared" si="15"/>
        <v>22044783</v>
      </c>
      <c r="F67" s="414">
        <f>+E67/D67</f>
        <v>0.77261928752900633</v>
      </c>
      <c r="G67" s="306"/>
      <c r="H67" s="307" t="s">
        <v>299</v>
      </c>
      <c r="I67" s="308">
        <f>I76+I87</f>
        <v>0</v>
      </c>
      <c r="J67" s="308">
        <f t="shared" ref="J67:L67" si="16">J76+J87</f>
        <v>0</v>
      </c>
      <c r="K67" s="308">
        <f t="shared" si="16"/>
        <v>0</v>
      </c>
      <c r="L67" s="414">
        <f t="shared" si="16"/>
        <v>0</v>
      </c>
    </row>
    <row r="68" spans="1:12" ht="21" customHeight="1" x14ac:dyDescent="0.25">
      <c r="A68" s="75"/>
      <c r="B68" s="93" t="s">
        <v>300</v>
      </c>
      <c r="C68" s="101"/>
      <c r="D68" s="101"/>
      <c r="E68" s="101"/>
      <c r="F68" s="422"/>
      <c r="G68" s="75"/>
      <c r="H68" s="93" t="s">
        <v>231</v>
      </c>
      <c r="I68" s="101"/>
      <c r="J68" s="101"/>
      <c r="K68" s="101"/>
      <c r="L68" s="422"/>
    </row>
    <row r="69" spans="1:12" ht="20.25" customHeight="1" x14ac:dyDescent="0.25">
      <c r="A69" s="75"/>
      <c r="B69" s="93" t="s">
        <v>301</v>
      </c>
      <c r="C69" s="101"/>
      <c r="D69" s="101"/>
      <c r="E69" s="101"/>
      <c r="F69" s="422"/>
      <c r="G69" s="75"/>
      <c r="H69" s="93" t="s">
        <v>232</v>
      </c>
      <c r="I69" s="101"/>
      <c r="J69" s="101"/>
      <c r="K69" s="101"/>
      <c r="L69" s="422"/>
    </row>
    <row r="70" spans="1:12" ht="20.25" customHeight="1" x14ac:dyDescent="0.25">
      <c r="A70" s="75"/>
      <c r="B70" s="93" t="s">
        <v>302</v>
      </c>
      <c r="C70" s="101"/>
      <c r="D70" s="101"/>
      <c r="E70" s="101"/>
      <c r="F70" s="422"/>
      <c r="G70" s="75"/>
      <c r="H70" s="93" t="s">
        <v>233</v>
      </c>
      <c r="I70" s="101"/>
      <c r="J70" s="101"/>
      <c r="K70" s="101"/>
      <c r="L70" s="422"/>
    </row>
    <row r="71" spans="1:12" ht="20.25" customHeight="1" x14ac:dyDescent="0.25">
      <c r="A71" s="75"/>
      <c r="B71" s="94" t="s">
        <v>303</v>
      </c>
      <c r="C71" s="101">
        <f>C68+C69+C70</f>
        <v>0</v>
      </c>
      <c r="D71" s="101">
        <f t="shared" ref="D71:F71" si="17">D68+D69+D70</f>
        <v>0</v>
      </c>
      <c r="E71" s="101">
        <f t="shared" si="17"/>
        <v>0</v>
      </c>
      <c r="F71" s="422">
        <f t="shared" si="17"/>
        <v>0</v>
      </c>
      <c r="G71" s="75"/>
      <c r="H71" s="94" t="s">
        <v>243</v>
      </c>
      <c r="I71" s="101">
        <f>I68+I69+I70</f>
        <v>0</v>
      </c>
      <c r="J71" s="101">
        <f t="shared" ref="J71:L71" si="18">J68+J69+J70</f>
        <v>0</v>
      </c>
      <c r="K71" s="101">
        <f t="shared" si="18"/>
        <v>0</v>
      </c>
      <c r="L71" s="422">
        <f t="shared" si="18"/>
        <v>0</v>
      </c>
    </row>
    <row r="72" spans="1:12" ht="20.25" customHeight="1" x14ac:dyDescent="0.25">
      <c r="A72" s="75"/>
      <c r="B72" s="69" t="s">
        <v>304</v>
      </c>
      <c r="C72" s="101"/>
      <c r="D72" s="101"/>
      <c r="E72" s="101"/>
      <c r="F72" s="422"/>
      <c r="G72" s="75"/>
      <c r="H72" s="93" t="s">
        <v>235</v>
      </c>
      <c r="I72" s="101"/>
      <c r="J72" s="101"/>
      <c r="K72" s="101"/>
      <c r="L72" s="422"/>
    </row>
    <row r="73" spans="1:12" ht="20.25" customHeight="1" x14ac:dyDescent="0.25">
      <c r="A73" s="75"/>
      <c r="B73" s="69" t="s">
        <v>305</v>
      </c>
      <c r="C73" s="101"/>
      <c r="D73" s="101"/>
      <c r="E73" s="101"/>
      <c r="F73" s="422"/>
      <c r="G73" s="75"/>
      <c r="H73" s="93" t="s">
        <v>1795</v>
      </c>
      <c r="I73" s="101"/>
      <c r="J73" s="101"/>
      <c r="K73" s="101"/>
      <c r="L73" s="422"/>
    </row>
    <row r="74" spans="1:12" ht="20.25" customHeight="1" x14ac:dyDescent="0.25">
      <c r="A74" s="75"/>
      <c r="B74" s="70" t="s">
        <v>306</v>
      </c>
      <c r="C74" s="101">
        <f>C72+C73</f>
        <v>0</v>
      </c>
      <c r="D74" s="101">
        <f t="shared" ref="D74:F74" si="19">D72+D73</f>
        <v>0</v>
      </c>
      <c r="E74" s="101">
        <f t="shared" si="19"/>
        <v>0</v>
      </c>
      <c r="F74" s="422">
        <f t="shared" si="19"/>
        <v>0</v>
      </c>
      <c r="G74" s="75"/>
      <c r="H74" s="94" t="s">
        <v>244</v>
      </c>
      <c r="I74" s="101">
        <f>I72+I73</f>
        <v>0</v>
      </c>
      <c r="J74" s="101">
        <f t="shared" ref="J74:L74" si="20">J72+J73</f>
        <v>0</v>
      </c>
      <c r="K74" s="101">
        <f t="shared" si="20"/>
        <v>0</v>
      </c>
      <c r="L74" s="422">
        <f t="shared" si="20"/>
        <v>0</v>
      </c>
    </row>
    <row r="75" spans="1:12" ht="20.25" customHeight="1" x14ac:dyDescent="0.25">
      <c r="A75" s="75"/>
      <c r="B75" s="70" t="s">
        <v>307</v>
      </c>
      <c r="C75" s="101">
        <f>+'7.a bölcsőde részletes '!C103</f>
        <v>0</v>
      </c>
      <c r="D75" s="101">
        <f>+'7.a bölcsőde részletes '!D103</f>
        <v>63238</v>
      </c>
      <c r="E75" s="101">
        <f>+'7.a bölcsőde részletes '!E103</f>
        <v>63238</v>
      </c>
      <c r="F75" s="422">
        <f>+E75/D75</f>
        <v>1</v>
      </c>
      <c r="G75" s="75"/>
      <c r="H75" s="94" t="s">
        <v>236</v>
      </c>
      <c r="I75" s="101"/>
      <c r="J75" s="101"/>
      <c r="K75" s="101"/>
      <c r="L75" s="422"/>
    </row>
    <row r="76" spans="1:12" ht="20.25" customHeight="1" x14ac:dyDescent="0.25">
      <c r="A76" s="75"/>
      <c r="B76" s="70" t="s">
        <v>308</v>
      </c>
      <c r="C76" s="101">
        <f>+'7.a bölcsőde részletes '!C104</f>
        <v>28532530</v>
      </c>
      <c r="D76" s="101">
        <f>+'7.a bölcsőde részletes '!D104</f>
        <v>28469292</v>
      </c>
      <c r="E76" s="101">
        <f>+'7.a bölcsőde részletes '!E104</f>
        <v>21981545</v>
      </c>
      <c r="F76" s="422">
        <f t="shared" ref="F76:F77" si="21">+E76/D76</f>
        <v>0.7721142134479495</v>
      </c>
      <c r="G76" s="75"/>
      <c r="H76" s="75" t="s">
        <v>245</v>
      </c>
      <c r="I76" s="109">
        <f>I71+I74+I75</f>
        <v>0</v>
      </c>
      <c r="J76" s="109">
        <f t="shared" ref="J76:L76" si="22">J71+J74+J75</f>
        <v>0</v>
      </c>
      <c r="K76" s="109">
        <f t="shared" si="22"/>
        <v>0</v>
      </c>
      <c r="L76" s="423">
        <f t="shared" si="22"/>
        <v>0</v>
      </c>
    </row>
    <row r="77" spans="1:12" ht="20.25" customHeight="1" x14ac:dyDescent="0.25">
      <c r="A77" s="75"/>
      <c r="B77" s="80" t="s">
        <v>309</v>
      </c>
      <c r="C77" s="109">
        <f>C71+C74+C75+C76</f>
        <v>28532530</v>
      </c>
      <c r="D77" s="109">
        <f t="shared" ref="D77:E77" si="23">D71+D74+D75+D76</f>
        <v>28532530</v>
      </c>
      <c r="E77" s="109">
        <f t="shared" si="23"/>
        <v>22044783</v>
      </c>
      <c r="F77" s="423">
        <f t="shared" si="21"/>
        <v>0.77261928752900633</v>
      </c>
      <c r="G77" s="75"/>
      <c r="H77" s="94"/>
      <c r="I77" s="101"/>
      <c r="J77" s="101"/>
      <c r="K77" s="101"/>
      <c r="L77" s="422"/>
    </row>
    <row r="78" spans="1:12" ht="20.25" customHeight="1" x14ac:dyDescent="0.25">
      <c r="A78" s="89"/>
      <c r="B78" s="79"/>
      <c r="C78" s="102"/>
      <c r="D78" s="102"/>
      <c r="E78" s="102"/>
      <c r="F78" s="424"/>
      <c r="G78" s="89"/>
      <c r="H78" s="89"/>
      <c r="I78" s="102"/>
      <c r="J78" s="102"/>
      <c r="K78" s="102"/>
      <c r="L78" s="424"/>
    </row>
    <row r="79" spans="1:12" ht="20.25" customHeight="1" x14ac:dyDescent="0.25">
      <c r="A79" s="75"/>
      <c r="B79" s="93" t="s">
        <v>300</v>
      </c>
      <c r="C79" s="101"/>
      <c r="D79" s="101"/>
      <c r="E79" s="101"/>
      <c r="F79" s="422"/>
      <c r="G79" s="75"/>
      <c r="H79" s="93" t="s">
        <v>231</v>
      </c>
      <c r="I79" s="101"/>
      <c r="J79" s="101"/>
      <c r="K79" s="101"/>
      <c r="L79" s="422"/>
    </row>
    <row r="80" spans="1:12" ht="20.25" customHeight="1" x14ac:dyDescent="0.25">
      <c r="A80" s="75"/>
      <c r="B80" s="93" t="s">
        <v>301</v>
      </c>
      <c r="C80" s="101"/>
      <c r="D80" s="101"/>
      <c r="E80" s="101"/>
      <c r="F80" s="422"/>
      <c r="G80" s="75"/>
      <c r="H80" s="93" t="s">
        <v>232</v>
      </c>
      <c r="I80" s="101"/>
      <c r="J80" s="101"/>
      <c r="K80" s="101"/>
      <c r="L80" s="422"/>
    </row>
    <row r="81" spans="1:12" ht="20.25" customHeight="1" x14ac:dyDescent="0.25">
      <c r="A81" s="75"/>
      <c r="B81" s="93" t="s">
        <v>302</v>
      </c>
      <c r="C81" s="101"/>
      <c r="D81" s="101"/>
      <c r="E81" s="101"/>
      <c r="F81" s="422"/>
      <c r="G81" s="75"/>
      <c r="H81" s="93" t="s">
        <v>233</v>
      </c>
      <c r="I81" s="101"/>
      <c r="J81" s="101"/>
      <c r="K81" s="101"/>
      <c r="L81" s="422"/>
    </row>
    <row r="82" spans="1:12" ht="20.25" customHeight="1" x14ac:dyDescent="0.25">
      <c r="A82" s="75"/>
      <c r="B82" s="94" t="s">
        <v>303</v>
      </c>
      <c r="C82" s="101">
        <f>C79+C80+C81</f>
        <v>0</v>
      </c>
      <c r="D82" s="101">
        <f t="shared" ref="D82:F82" si="24">D79+D80+D81</f>
        <v>0</v>
      </c>
      <c r="E82" s="101">
        <f t="shared" si="24"/>
        <v>0</v>
      </c>
      <c r="F82" s="422">
        <f t="shared" si="24"/>
        <v>0</v>
      </c>
      <c r="G82" s="75"/>
      <c r="H82" s="94" t="s">
        <v>243</v>
      </c>
      <c r="I82" s="101">
        <f>I79+I80+I81</f>
        <v>0</v>
      </c>
      <c r="J82" s="101">
        <f t="shared" ref="J82:L82" si="25">J79+J80+J81</f>
        <v>0</v>
      </c>
      <c r="K82" s="101">
        <f t="shared" si="25"/>
        <v>0</v>
      </c>
      <c r="L82" s="422">
        <f t="shared" si="25"/>
        <v>0</v>
      </c>
    </row>
    <row r="83" spans="1:12" ht="20.25" customHeight="1" x14ac:dyDescent="0.25">
      <c r="A83" s="75"/>
      <c r="B83" s="69" t="s">
        <v>304</v>
      </c>
      <c r="C83" s="101"/>
      <c r="D83" s="101"/>
      <c r="E83" s="101"/>
      <c r="F83" s="422"/>
      <c r="G83" s="75"/>
      <c r="H83" s="93" t="s">
        <v>235</v>
      </c>
      <c r="I83" s="101"/>
      <c r="J83" s="101"/>
      <c r="K83" s="101"/>
      <c r="L83" s="422"/>
    </row>
    <row r="84" spans="1:12" ht="20.25" customHeight="1" x14ac:dyDescent="0.25">
      <c r="A84" s="75"/>
      <c r="B84" s="69" t="s">
        <v>305</v>
      </c>
      <c r="C84" s="101"/>
      <c r="D84" s="101"/>
      <c r="E84" s="101"/>
      <c r="F84" s="422"/>
      <c r="G84" s="75"/>
      <c r="H84" s="93" t="s">
        <v>234</v>
      </c>
      <c r="I84" s="101"/>
      <c r="J84" s="101"/>
      <c r="K84" s="101"/>
      <c r="L84" s="422"/>
    </row>
    <row r="85" spans="1:12" ht="20.25" customHeight="1" x14ac:dyDescent="0.25">
      <c r="A85" s="75"/>
      <c r="B85" s="70" t="s">
        <v>306</v>
      </c>
      <c r="C85" s="101">
        <f>C83+C84</f>
        <v>0</v>
      </c>
      <c r="D85" s="101">
        <f t="shared" ref="D85:F85" si="26">D83+D84</f>
        <v>0</v>
      </c>
      <c r="E85" s="101">
        <f t="shared" si="26"/>
        <v>0</v>
      </c>
      <c r="F85" s="422">
        <f t="shared" si="26"/>
        <v>0</v>
      </c>
      <c r="G85" s="75"/>
      <c r="H85" s="94" t="s">
        <v>244</v>
      </c>
      <c r="I85" s="101">
        <f>I83+I84</f>
        <v>0</v>
      </c>
      <c r="J85" s="101">
        <f t="shared" ref="J85:L85" si="27">J83+J84</f>
        <v>0</v>
      </c>
      <c r="K85" s="101">
        <f t="shared" si="27"/>
        <v>0</v>
      </c>
      <c r="L85" s="422">
        <f t="shared" si="27"/>
        <v>0</v>
      </c>
    </row>
    <row r="86" spans="1:12" ht="20.25" customHeight="1" x14ac:dyDescent="0.25">
      <c r="A86" s="75"/>
      <c r="B86" s="70" t="s">
        <v>311</v>
      </c>
      <c r="C86" s="101"/>
      <c r="D86" s="101"/>
      <c r="E86" s="101"/>
      <c r="F86" s="422"/>
      <c r="G86" s="75"/>
      <c r="H86" s="94" t="s">
        <v>236</v>
      </c>
      <c r="I86" s="101"/>
      <c r="J86" s="101"/>
      <c r="K86" s="101"/>
      <c r="L86" s="422"/>
    </row>
    <row r="87" spans="1:12" ht="20.25" customHeight="1" x14ac:dyDescent="0.25">
      <c r="A87" s="75"/>
      <c r="B87" s="70" t="s">
        <v>308</v>
      </c>
      <c r="C87" s="101">
        <f>+'7.a bölcsőde részletes '!C115</f>
        <v>0</v>
      </c>
      <c r="D87" s="101">
        <f>+'7.a bölcsőde részletes '!D115</f>
        <v>0</v>
      </c>
      <c r="E87" s="101">
        <f>+'7.a bölcsőde részletes '!E115</f>
        <v>0</v>
      </c>
      <c r="F87" s="422">
        <f>+'7.a bölcsőde részletes '!F115</f>
        <v>0</v>
      </c>
      <c r="G87" s="75"/>
      <c r="H87" s="75" t="s">
        <v>246</v>
      </c>
      <c r="I87" s="109">
        <f>I82+I85+I86</f>
        <v>0</v>
      </c>
      <c r="J87" s="109">
        <f t="shared" ref="J87:L87" si="28">J82+J85+J86</f>
        <v>0</v>
      </c>
      <c r="K87" s="109">
        <f t="shared" si="28"/>
        <v>0</v>
      </c>
      <c r="L87" s="423">
        <f t="shared" si="28"/>
        <v>0</v>
      </c>
    </row>
    <row r="88" spans="1:12" ht="20.25" customHeight="1" x14ac:dyDescent="0.25">
      <c r="A88" s="107"/>
      <c r="B88" s="80" t="s">
        <v>310</v>
      </c>
      <c r="C88" s="109">
        <f>C82+C85+C86+C87</f>
        <v>0</v>
      </c>
      <c r="D88" s="109">
        <f t="shared" ref="D88:F88" si="29">D82+D85+D86+D87</f>
        <v>0</v>
      </c>
      <c r="E88" s="109">
        <f t="shared" si="29"/>
        <v>0</v>
      </c>
      <c r="F88" s="423">
        <f t="shared" si="29"/>
        <v>0</v>
      </c>
      <c r="G88" s="107"/>
      <c r="H88" s="94"/>
      <c r="I88" s="101"/>
      <c r="J88" s="101"/>
      <c r="K88" s="101"/>
      <c r="L88" s="422"/>
    </row>
    <row r="89" spans="1:12" ht="20.25" customHeight="1" x14ac:dyDescent="0.25">
      <c r="A89" s="851" t="s">
        <v>143</v>
      </c>
      <c r="B89" s="852"/>
      <c r="C89" s="238">
        <f>C2+C50+C67</f>
        <v>31929030</v>
      </c>
      <c r="D89" s="238">
        <f>D2+D50+D67</f>
        <v>31929030</v>
      </c>
      <c r="E89" s="238">
        <f>E2+E50+E67</f>
        <v>25195170</v>
      </c>
      <c r="F89" s="425">
        <f>+E89/D89</f>
        <v>0.78909913642851037</v>
      </c>
      <c r="G89" s="851" t="s">
        <v>144</v>
      </c>
      <c r="H89" s="852"/>
      <c r="I89" s="238">
        <f>I2+I50+I67</f>
        <v>31929030.326400001</v>
      </c>
      <c r="J89" s="238">
        <f>J2+J50+J67</f>
        <v>31929030.326400001</v>
      </c>
      <c r="K89" s="238">
        <f>K2+K50+K67</f>
        <v>25148217</v>
      </c>
      <c r="L89" s="425">
        <f>+K89/J89</f>
        <v>0.78762858573899763</v>
      </c>
    </row>
    <row r="90" spans="1:12" x14ac:dyDescent="0.25">
      <c r="C90" s="113">
        <f>+C89-'7.a bölcsőde részletes '!C117</f>
        <v>0</v>
      </c>
      <c r="D90" s="113">
        <f>+D89-'7.a bölcsőde részletes '!D117</f>
        <v>0</v>
      </c>
      <c r="E90" s="113">
        <f>+E89-'7.a bölcsőde részletes '!E117</f>
        <v>0</v>
      </c>
      <c r="I90" s="113">
        <f>I89-C89</f>
        <v>0.32640000060200691</v>
      </c>
      <c r="J90" s="113">
        <f t="shared" ref="J90:K90" si="30">J89-D89</f>
        <v>0.32640000060200691</v>
      </c>
      <c r="K90" s="113">
        <f t="shared" si="30"/>
        <v>-46953</v>
      </c>
    </row>
    <row r="92" spans="1:12" x14ac:dyDescent="0.25">
      <c r="E92" s="21">
        <f>+(E75+E2)/E89</f>
        <v>0.12754924852660252</v>
      </c>
    </row>
    <row r="93" spans="1:12" x14ac:dyDescent="0.25">
      <c r="E93" s="21">
        <f>12675100/E89</f>
        <v>0.50307658174165926</v>
      </c>
    </row>
    <row r="94" spans="1:12" x14ac:dyDescent="0.25">
      <c r="E94" s="21">
        <f>+(E76-12675100)/E89</f>
        <v>0.36937416973173826</v>
      </c>
    </row>
  </sheetData>
  <mergeCells count="2">
    <mergeCell ref="A89:B89"/>
    <mergeCell ref="G89:H8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&amp;CTaksony Nagyközség Önkormányzat 2018. évi zárszámadás&amp;R7.sz. melléklet</oddHeader>
    <oddFooter xml:space="preserve">&amp;LKészült: &amp;D
&amp;C&amp;P&amp;R/:Kreisz László://:Dr.Micheller Anita:/
/:Szelecki N.Andrea:/       </oddFooter>
  </headerFooter>
  <rowBreaks count="1" manualBreakCount="1">
    <brk id="49" max="11" man="1"/>
  </rowBreaks>
  <colBreaks count="1" manualBreakCount="1">
    <brk id="6" max="9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view="pageBreakPreview" zoomScale="70" zoomScaleNormal="80" zoomScaleSheetLayoutView="70" workbookViewId="0">
      <pane ySplit="1" topLeftCell="A2" activePane="bottomLeft" state="frozen"/>
      <selection activeCell="L86" sqref="L86"/>
      <selection pane="bottomLeft" activeCell="H19" sqref="H19"/>
    </sheetView>
  </sheetViews>
  <sheetFormatPr defaultRowHeight="15" x14ac:dyDescent="0.25"/>
  <cols>
    <col min="1" max="1" width="6.7109375" style="21" customWidth="1"/>
    <col min="2" max="2" width="68.85546875" style="21" customWidth="1"/>
    <col min="3" max="3" width="19.42578125" style="21" customWidth="1"/>
    <col min="4" max="4" width="17.42578125" style="21" customWidth="1"/>
    <col min="5" max="5" width="17.140625" style="21" customWidth="1"/>
    <col min="6" max="6" width="14.7109375" style="426" customWidth="1"/>
    <col min="7" max="7" width="6.7109375" style="21" customWidth="1"/>
    <col min="8" max="8" width="71.28515625" style="21" customWidth="1"/>
    <col min="9" max="9" width="20.7109375" style="21" customWidth="1"/>
    <col min="10" max="10" width="16.28515625" style="21" customWidth="1"/>
    <col min="11" max="11" width="15" style="21" customWidth="1"/>
    <col min="12" max="12" width="14.5703125" style="426" customWidth="1"/>
    <col min="13" max="16384" width="9.140625" style="21"/>
  </cols>
  <sheetData>
    <row r="1" spans="1:12" ht="40.5" customHeight="1" x14ac:dyDescent="0.25">
      <c r="A1" s="76"/>
      <c r="B1" s="77" t="s">
        <v>711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712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s="309" customFormat="1" ht="20.25" customHeight="1" x14ac:dyDescent="0.25">
      <c r="A2" s="306"/>
      <c r="B2" s="307" t="s">
        <v>180</v>
      </c>
      <c r="C2" s="308">
        <f>C3+C22+C24+C57</f>
        <v>3396500</v>
      </c>
      <c r="D2" s="308">
        <f>D3+D22+D24+D57</f>
        <v>3396500</v>
      </c>
      <c r="E2" s="308">
        <f t="shared" ref="E2" si="0">E3+E22+E24+E57</f>
        <v>3150387</v>
      </c>
      <c r="F2" s="414">
        <f>+E2/D2</f>
        <v>0.92753923156190199</v>
      </c>
      <c r="G2" s="306"/>
      <c r="H2" s="307" t="s">
        <v>196</v>
      </c>
      <c r="I2" s="308">
        <f>I3+I17+I22+I64+I71</f>
        <v>31929030.326400001</v>
      </c>
      <c r="J2" s="308">
        <f>J3+J17+J22+J64+J71</f>
        <v>31589370.326400001</v>
      </c>
      <c r="K2" s="308">
        <f t="shared" ref="K2" si="1">K3+K17+K22+K64+K71</f>
        <v>24811587</v>
      </c>
      <c r="L2" s="414">
        <f>+K2/J2</f>
        <v>0.78544101207564609</v>
      </c>
    </row>
    <row r="3" spans="1:12" ht="20.25" customHeight="1" x14ac:dyDescent="0.25">
      <c r="A3" s="231" t="s">
        <v>23</v>
      </c>
      <c r="B3" s="232" t="s">
        <v>402</v>
      </c>
      <c r="C3" s="233">
        <f>SUM(C4+C12+C13+C14+C15+C16)</f>
        <v>0</v>
      </c>
      <c r="D3" s="233">
        <f>SUM(D4+D12+D13+D14+D15+D16)</f>
        <v>0</v>
      </c>
      <c r="E3" s="233">
        <f t="shared" ref="E3:F3" si="2">SUM(E4+E12+E13+E14+E15+E16)</f>
        <v>0</v>
      </c>
      <c r="F3" s="429">
        <f t="shared" si="2"/>
        <v>0</v>
      </c>
      <c r="G3" s="231" t="s">
        <v>23</v>
      </c>
      <c r="H3" s="227" t="s">
        <v>313</v>
      </c>
      <c r="I3" s="228">
        <f>I12+I16</f>
        <v>22630385</v>
      </c>
      <c r="J3" s="228">
        <f>J12+J16</f>
        <v>22630385</v>
      </c>
      <c r="K3" s="228">
        <f t="shared" ref="K3" si="3">K12+K16</f>
        <v>17954333</v>
      </c>
      <c r="L3" s="415">
        <f>+K3/J3</f>
        <v>0.79337284805362351</v>
      </c>
    </row>
    <row r="4" spans="1:12" ht="20.25" customHeight="1" x14ac:dyDescent="0.25">
      <c r="A4" s="70"/>
      <c r="B4" s="108" t="s">
        <v>443</v>
      </c>
      <c r="C4" s="106">
        <f>SUM(C5:C10)</f>
        <v>0</v>
      </c>
      <c r="D4" s="106">
        <f>SUM(D5:D10)</f>
        <v>0</v>
      </c>
      <c r="E4" s="106">
        <f t="shared" ref="E4:F4" si="4">SUM(E5:E10)</f>
        <v>0</v>
      </c>
      <c r="F4" s="427">
        <f t="shared" si="4"/>
        <v>0</v>
      </c>
      <c r="G4" s="80"/>
      <c r="H4" s="69" t="s">
        <v>714</v>
      </c>
      <c r="I4" s="95">
        <f>21360000+168000</f>
        <v>21528000</v>
      </c>
      <c r="J4" s="95">
        <v>20763385</v>
      </c>
      <c r="K4" s="95">
        <v>16239123</v>
      </c>
      <c r="L4" s="416">
        <f>+K4/J4</f>
        <v>0.78210383326225463</v>
      </c>
    </row>
    <row r="5" spans="1:12" ht="24" customHeight="1" x14ac:dyDescent="0.25">
      <c r="A5" s="80"/>
      <c r="B5" s="83" t="s">
        <v>404</v>
      </c>
      <c r="C5" s="106"/>
      <c r="D5" s="106"/>
      <c r="E5" s="106"/>
      <c r="F5" s="427"/>
      <c r="G5" s="80"/>
      <c r="H5" s="69" t="s">
        <v>314</v>
      </c>
      <c r="I5" s="95"/>
      <c r="J5" s="95"/>
      <c r="K5" s="95"/>
      <c r="L5" s="416"/>
    </row>
    <row r="6" spans="1:12" ht="24" customHeight="1" x14ac:dyDescent="0.25">
      <c r="A6" s="80"/>
      <c r="B6" s="83" t="s">
        <v>405</v>
      </c>
      <c r="C6" s="106"/>
      <c r="D6" s="106"/>
      <c r="E6" s="106"/>
      <c r="F6" s="427"/>
      <c r="G6" s="80"/>
      <c r="H6" s="69" t="s">
        <v>315</v>
      </c>
      <c r="I6" s="95"/>
      <c r="J6" s="95"/>
      <c r="K6" s="95"/>
      <c r="L6" s="416"/>
    </row>
    <row r="7" spans="1:12" ht="30" x14ac:dyDescent="0.25">
      <c r="A7" s="80"/>
      <c r="B7" s="83" t="s">
        <v>657</v>
      </c>
      <c r="C7" s="106"/>
      <c r="D7" s="106"/>
      <c r="E7" s="106"/>
      <c r="F7" s="427"/>
      <c r="G7" s="80"/>
      <c r="H7" s="69" t="s">
        <v>316</v>
      </c>
      <c r="I7" s="95"/>
      <c r="J7" s="95"/>
      <c r="K7" s="95"/>
      <c r="L7" s="416"/>
    </row>
    <row r="8" spans="1:12" ht="22.5" customHeight="1" x14ac:dyDescent="0.25">
      <c r="A8" s="80"/>
      <c r="B8" s="83" t="s">
        <v>406</v>
      </c>
      <c r="C8" s="106"/>
      <c r="D8" s="106"/>
      <c r="E8" s="106"/>
      <c r="F8" s="427"/>
      <c r="G8" s="80"/>
      <c r="H8" s="69" t="s">
        <v>683</v>
      </c>
      <c r="I8" s="204">
        <f>6*8000*12+I38*127%*20%+1</f>
        <v>600385</v>
      </c>
      <c r="J8" s="204">
        <v>1115000</v>
      </c>
      <c r="K8" s="204">
        <v>1112894</v>
      </c>
      <c r="L8" s="416">
        <f t="shared" ref="L8:L63" si="5">+K8/J8</f>
        <v>0.99811121076233189</v>
      </c>
    </row>
    <row r="9" spans="1:12" ht="24.75" customHeight="1" x14ac:dyDescent="0.25">
      <c r="A9" s="80"/>
      <c r="B9" s="83" t="s">
        <v>658</v>
      </c>
      <c r="C9" s="81" t="s">
        <v>253</v>
      </c>
      <c r="D9" s="81"/>
      <c r="E9" s="81"/>
      <c r="F9" s="427"/>
      <c r="G9" s="80"/>
      <c r="H9" s="69" t="s">
        <v>317</v>
      </c>
      <c r="I9" s="95">
        <v>52000</v>
      </c>
      <c r="J9" s="95">
        <v>52000</v>
      </c>
      <c r="K9" s="95"/>
      <c r="L9" s="416">
        <f t="shared" si="5"/>
        <v>0</v>
      </c>
    </row>
    <row r="10" spans="1:12" ht="18" customHeight="1" x14ac:dyDescent="0.25">
      <c r="A10" s="80"/>
      <c r="B10" s="83" t="s">
        <v>659</v>
      </c>
      <c r="C10" s="81" t="s">
        <v>253</v>
      </c>
      <c r="D10" s="81"/>
      <c r="E10" s="81"/>
      <c r="F10" s="427"/>
      <c r="G10" s="84"/>
      <c r="H10" s="69" t="s">
        <v>318</v>
      </c>
      <c r="I10" s="105"/>
      <c r="J10" s="105"/>
      <c r="K10" s="105"/>
      <c r="L10" s="416"/>
    </row>
    <row r="11" spans="1:12" ht="20.25" customHeight="1" x14ac:dyDescent="0.25">
      <c r="A11" s="80"/>
      <c r="B11" s="111"/>
      <c r="C11" s="87"/>
      <c r="D11" s="87"/>
      <c r="E11" s="87"/>
      <c r="F11" s="422"/>
      <c r="G11" s="84"/>
      <c r="H11" s="69" t="s">
        <v>684</v>
      </c>
      <c r="I11" s="204"/>
      <c r="J11" s="204">
        <v>250000</v>
      </c>
      <c r="K11" s="204">
        <v>186132</v>
      </c>
      <c r="L11" s="416">
        <f t="shared" si="5"/>
        <v>0.74452799999999997</v>
      </c>
    </row>
    <row r="12" spans="1:12" ht="24.75" customHeight="1" x14ac:dyDescent="0.25">
      <c r="A12" s="80"/>
      <c r="B12" s="83" t="s">
        <v>409</v>
      </c>
      <c r="C12" s="87"/>
      <c r="D12" s="87"/>
      <c r="E12" s="87"/>
      <c r="F12" s="422"/>
      <c r="G12" s="84"/>
      <c r="H12" s="70" t="s">
        <v>320</v>
      </c>
      <c r="I12" s="104">
        <f>I4+I5+I6+I7+I8+I9+I10+I11</f>
        <v>22180385</v>
      </c>
      <c r="J12" s="104">
        <f>J4+J5+J6+J7+J8+J9+J10+J11</f>
        <v>22180385</v>
      </c>
      <c r="K12" s="104">
        <f t="shared" ref="K12" si="6">K4+K5+K6+K7+K8+K9+K10+K11</f>
        <v>17538149</v>
      </c>
      <c r="L12" s="416">
        <f t="shared" si="5"/>
        <v>0.79070534618763377</v>
      </c>
    </row>
    <row r="13" spans="1:12" ht="30" x14ac:dyDescent="0.25">
      <c r="A13" s="70"/>
      <c r="B13" s="83" t="s">
        <v>410</v>
      </c>
      <c r="C13" s="106"/>
      <c r="D13" s="106"/>
      <c r="E13" s="106"/>
      <c r="F13" s="427"/>
      <c r="G13" s="84"/>
      <c r="H13" s="69" t="s">
        <v>321</v>
      </c>
      <c r="I13" s="97"/>
      <c r="J13" s="97"/>
      <c r="K13" s="97"/>
      <c r="L13" s="416"/>
    </row>
    <row r="14" spans="1:12" ht="29.25" customHeight="1" x14ac:dyDescent="0.25">
      <c r="A14" s="70"/>
      <c r="B14" s="83" t="s">
        <v>411</v>
      </c>
      <c r="C14" s="106"/>
      <c r="D14" s="106"/>
      <c r="E14" s="106"/>
      <c r="F14" s="427"/>
      <c r="G14" s="84"/>
      <c r="H14" s="69" t="s">
        <v>758</v>
      </c>
      <c r="I14" s="204">
        <f>12*35000</f>
        <v>420000</v>
      </c>
      <c r="J14" s="204">
        <f>12*35000</f>
        <v>420000</v>
      </c>
      <c r="K14" s="204">
        <v>416184</v>
      </c>
      <c r="L14" s="416">
        <f t="shared" si="5"/>
        <v>0.99091428571428575</v>
      </c>
    </row>
    <row r="15" spans="1:12" ht="29.25" customHeight="1" x14ac:dyDescent="0.25">
      <c r="A15" s="70"/>
      <c r="B15" s="83" t="s">
        <v>412</v>
      </c>
      <c r="C15" s="106"/>
      <c r="D15" s="106"/>
      <c r="E15" s="106"/>
      <c r="F15" s="427"/>
      <c r="G15" s="84"/>
      <c r="H15" s="69" t="s">
        <v>686</v>
      </c>
      <c r="I15" s="104">
        <v>30000</v>
      </c>
      <c r="J15" s="104">
        <v>30000</v>
      </c>
      <c r="K15" s="104">
        <v>0</v>
      </c>
      <c r="L15" s="416">
        <f t="shared" si="5"/>
        <v>0</v>
      </c>
    </row>
    <row r="16" spans="1:12" ht="31.5" customHeight="1" x14ac:dyDescent="0.25">
      <c r="A16" s="70"/>
      <c r="B16" s="83" t="s">
        <v>713</v>
      </c>
      <c r="C16" s="205"/>
      <c r="D16" s="205"/>
      <c r="E16" s="205"/>
      <c r="F16" s="428"/>
      <c r="G16" s="84"/>
      <c r="H16" s="70" t="s">
        <v>324</v>
      </c>
      <c r="I16" s="104">
        <f>I13+I14+I15</f>
        <v>450000</v>
      </c>
      <c r="J16" s="104">
        <f>J13+J14+J15</f>
        <v>450000</v>
      </c>
      <c r="K16" s="104">
        <f t="shared" ref="K16" si="7">K13+K14+K15</f>
        <v>416184</v>
      </c>
      <c r="L16" s="416">
        <f t="shared" si="5"/>
        <v>0.92485333333333331</v>
      </c>
    </row>
    <row r="17" spans="1:12" ht="18.75" customHeight="1" x14ac:dyDescent="0.25">
      <c r="A17" s="70"/>
      <c r="B17" s="83"/>
      <c r="C17" s="106"/>
      <c r="D17" s="106"/>
      <c r="E17" s="106"/>
      <c r="F17" s="427"/>
      <c r="G17" s="231" t="s">
        <v>45</v>
      </c>
      <c r="H17" s="227" t="s">
        <v>325</v>
      </c>
      <c r="I17" s="228">
        <f>SUM(I18:I21)</f>
        <v>4663045.3264000006</v>
      </c>
      <c r="J17" s="228">
        <f>SUM(J18:J21)</f>
        <v>4663045.3264000006</v>
      </c>
      <c r="K17" s="228">
        <f t="shared" ref="K17" si="8">SUM(K18:K21)</f>
        <v>3798697</v>
      </c>
      <c r="L17" s="415">
        <f>+K17/J17</f>
        <v>0.81463866081110958</v>
      </c>
    </row>
    <row r="18" spans="1:12" ht="20.25" customHeight="1" x14ac:dyDescent="0.25">
      <c r="A18" s="70"/>
      <c r="B18" s="83"/>
      <c r="C18" s="106"/>
      <c r="D18" s="106"/>
      <c r="E18" s="106"/>
      <c r="F18" s="427"/>
      <c r="G18" s="71"/>
      <c r="H18" s="93" t="s">
        <v>759</v>
      </c>
      <c r="I18" s="104">
        <f>(I4+I13+I14)*19.5%</f>
        <v>4279860</v>
      </c>
      <c r="J18" s="104">
        <v>4279860</v>
      </c>
      <c r="K18" s="104">
        <v>3306700</v>
      </c>
      <c r="L18" s="416">
        <f t="shared" si="5"/>
        <v>0.77261873051922259</v>
      </c>
    </row>
    <row r="19" spans="1:12" ht="20.25" customHeight="1" x14ac:dyDescent="0.25">
      <c r="A19" s="70"/>
      <c r="B19" s="83"/>
      <c r="C19" s="106"/>
      <c r="D19" s="106"/>
      <c r="E19" s="106"/>
      <c r="F19" s="427"/>
      <c r="G19" s="71"/>
      <c r="H19" s="93" t="s">
        <v>1157</v>
      </c>
      <c r="I19" s="104"/>
      <c r="J19" s="104"/>
      <c r="K19" s="104">
        <v>22837</v>
      </c>
      <c r="L19" s="416"/>
    </row>
    <row r="20" spans="1:12" ht="20.25" customHeight="1" x14ac:dyDescent="0.25">
      <c r="A20" s="70"/>
      <c r="B20" s="83"/>
      <c r="C20" s="106"/>
      <c r="D20" s="106"/>
      <c r="E20" s="106"/>
      <c r="F20" s="427"/>
      <c r="G20" s="71"/>
      <c r="H20" s="93" t="s">
        <v>760</v>
      </c>
      <c r="I20" s="104">
        <f>8*8000*12*1.18*14%+I38*127%*20%*1.18*19.5%+I16*1.18*19.5%+1</f>
        <v>236030.3584</v>
      </c>
      <c r="J20" s="104">
        <v>236030.3584</v>
      </c>
      <c r="K20" s="104">
        <v>245540</v>
      </c>
      <c r="L20" s="416">
        <f t="shared" si="5"/>
        <v>1.0402899087408242</v>
      </c>
    </row>
    <row r="21" spans="1:12" ht="20.25" customHeight="1" x14ac:dyDescent="0.25">
      <c r="A21" s="70"/>
      <c r="B21" s="83"/>
      <c r="C21" s="106"/>
      <c r="D21" s="106"/>
      <c r="E21" s="106"/>
      <c r="F21" s="427"/>
      <c r="G21" s="71"/>
      <c r="H21" s="93" t="s">
        <v>687</v>
      </c>
      <c r="I21" s="104">
        <f>8*8000*12*1.18*15%+I38*127%*20%*1.18*15%+I15*1.18*19.5%</f>
        <v>147154.96799999999</v>
      </c>
      <c r="J21" s="104">
        <v>147154.96799999999</v>
      </c>
      <c r="K21" s="104">
        <v>223620</v>
      </c>
      <c r="L21" s="416">
        <f t="shared" si="5"/>
        <v>1.5196224975564536</v>
      </c>
    </row>
    <row r="22" spans="1:12" ht="20.25" customHeight="1" x14ac:dyDescent="0.25">
      <c r="A22" s="231" t="s">
        <v>45</v>
      </c>
      <c r="B22" s="232" t="s">
        <v>445</v>
      </c>
      <c r="C22" s="233">
        <f>0</f>
        <v>0</v>
      </c>
      <c r="D22" s="233">
        <f>0</f>
        <v>0</v>
      </c>
      <c r="E22" s="233">
        <f>0</f>
        <v>0</v>
      </c>
      <c r="F22" s="429">
        <f>0</f>
        <v>0</v>
      </c>
      <c r="G22" s="231" t="s">
        <v>56</v>
      </c>
      <c r="H22" s="227" t="s">
        <v>326</v>
      </c>
      <c r="I22" s="228">
        <f>I35+I38+I54+I57+I63</f>
        <v>4635600</v>
      </c>
      <c r="J22" s="228">
        <f>J35+J38+J54+J57+J63</f>
        <v>4295940</v>
      </c>
      <c r="K22" s="228">
        <f t="shared" ref="K22" si="9">K35+K38+K54+K57+K63</f>
        <v>3058557</v>
      </c>
      <c r="L22" s="415">
        <f>+K22/J22</f>
        <v>0.71196455257754998</v>
      </c>
    </row>
    <row r="23" spans="1:12" ht="20.25" customHeight="1" x14ac:dyDescent="0.25">
      <c r="A23" s="85"/>
      <c r="B23" s="87"/>
      <c r="C23" s="95"/>
      <c r="D23" s="95"/>
      <c r="E23" s="95"/>
      <c r="F23" s="416"/>
      <c r="G23" s="71"/>
      <c r="H23" s="71" t="s">
        <v>327</v>
      </c>
      <c r="I23" s="104">
        <f>SUM(I24:I26)</f>
        <v>145000</v>
      </c>
      <c r="J23" s="104">
        <f>SUM(J24:J26)</f>
        <v>145000</v>
      </c>
      <c r="K23" s="104">
        <f t="shared" ref="K23" si="10">SUM(K24:K26)</f>
        <v>57223</v>
      </c>
      <c r="L23" s="416">
        <f t="shared" si="5"/>
        <v>0.39464137931034482</v>
      </c>
    </row>
    <row r="24" spans="1:12" ht="20.25" customHeight="1" x14ac:dyDescent="0.25">
      <c r="A24" s="231" t="s">
        <v>56</v>
      </c>
      <c r="B24" s="232" t="s">
        <v>444</v>
      </c>
      <c r="C24" s="233">
        <f>C25+C26+C32+C33+C34+C40+C41+C42+C43+C44</f>
        <v>3396500</v>
      </c>
      <c r="D24" s="233">
        <f>D25+D26+D32+D33+D34+D40+D41+D42+D43+D44</f>
        <v>3396500</v>
      </c>
      <c r="E24" s="233">
        <f>E25+E26+E32+E33+E34+E40+E41+E42+E43+E44</f>
        <v>3150387</v>
      </c>
      <c r="F24" s="429">
        <f>+E24/D24</f>
        <v>0.92753923156190199</v>
      </c>
      <c r="G24" s="71"/>
      <c r="H24" s="71" t="s">
        <v>328</v>
      </c>
      <c r="I24" s="104"/>
      <c r="J24" s="104"/>
      <c r="K24" s="104"/>
      <c r="L24" s="416"/>
    </row>
    <row r="25" spans="1:12" ht="20.25" customHeight="1" x14ac:dyDescent="0.25">
      <c r="A25" s="85"/>
      <c r="B25" s="88" t="s">
        <v>446</v>
      </c>
      <c r="C25" s="101"/>
      <c r="D25" s="101"/>
      <c r="E25" s="101"/>
      <c r="F25" s="422"/>
      <c r="G25" s="71"/>
      <c r="H25" s="71" t="s">
        <v>329</v>
      </c>
      <c r="I25" s="104">
        <v>50000</v>
      </c>
      <c r="J25" s="104">
        <v>50000</v>
      </c>
      <c r="K25" s="104">
        <v>28877</v>
      </c>
      <c r="L25" s="416">
        <f t="shared" si="5"/>
        <v>0.57754000000000005</v>
      </c>
    </row>
    <row r="26" spans="1:12" ht="20.25" customHeight="1" x14ac:dyDescent="0.25">
      <c r="A26" s="85"/>
      <c r="B26" s="88" t="s">
        <v>447</v>
      </c>
      <c r="C26" s="101">
        <f>SUM(C27:C31)</f>
        <v>0</v>
      </c>
      <c r="D26" s="101">
        <f>SUM(D27:D31)</f>
        <v>0</v>
      </c>
      <c r="E26" s="101">
        <f t="shared" ref="E26:F26" si="11">SUM(E27:E31)</f>
        <v>0</v>
      </c>
      <c r="F26" s="422">
        <f t="shared" si="11"/>
        <v>0</v>
      </c>
      <c r="G26" s="71"/>
      <c r="H26" s="71" t="s">
        <v>330</v>
      </c>
      <c r="I26" s="104">
        <v>95000</v>
      </c>
      <c r="J26" s="104">
        <v>95000</v>
      </c>
      <c r="K26" s="104">
        <v>28346</v>
      </c>
      <c r="L26" s="416">
        <f t="shared" si="5"/>
        <v>0.29837894736842108</v>
      </c>
    </row>
    <row r="27" spans="1:12" ht="20.25" customHeight="1" x14ac:dyDescent="0.25">
      <c r="A27" s="85"/>
      <c r="B27" s="88" t="s">
        <v>466</v>
      </c>
      <c r="C27" s="101"/>
      <c r="D27" s="101"/>
      <c r="E27" s="101"/>
      <c r="F27" s="422"/>
      <c r="G27" s="71"/>
      <c r="H27" s="71" t="s">
        <v>337</v>
      </c>
      <c r="I27" s="104">
        <f>SUM(I28:I33)</f>
        <v>1267000</v>
      </c>
      <c r="J27" s="104">
        <f>SUM(J28:J33)</f>
        <v>912771</v>
      </c>
      <c r="K27" s="104">
        <f t="shared" ref="K27" si="12">SUM(K28:K33)</f>
        <v>842968</v>
      </c>
      <c r="L27" s="416">
        <f t="shared" si="5"/>
        <v>0.92352627329308223</v>
      </c>
    </row>
    <row r="28" spans="1:12" ht="20.25" customHeight="1" x14ac:dyDescent="0.25">
      <c r="A28" s="85"/>
      <c r="B28" s="88" t="s">
        <v>464</v>
      </c>
      <c r="C28" s="101"/>
      <c r="D28" s="101"/>
      <c r="E28" s="101"/>
      <c r="F28" s="422"/>
      <c r="G28" s="71"/>
      <c r="H28" s="71" t="s">
        <v>331</v>
      </c>
      <c r="I28" s="104"/>
      <c r="J28" s="104"/>
      <c r="K28" s="104"/>
      <c r="L28" s="416"/>
    </row>
    <row r="29" spans="1:12" ht="20.25" customHeight="1" x14ac:dyDescent="0.25">
      <c r="A29" s="85"/>
      <c r="B29" s="21" t="s">
        <v>465</v>
      </c>
      <c r="C29" s="101"/>
      <c r="D29" s="101"/>
      <c r="E29" s="101"/>
      <c r="F29" s="422"/>
      <c r="G29" s="71"/>
      <c r="H29" s="71" t="s">
        <v>332</v>
      </c>
      <c r="I29" s="104">
        <v>80000</v>
      </c>
      <c r="J29" s="104">
        <v>80000</v>
      </c>
      <c r="K29" s="104">
        <v>38740</v>
      </c>
      <c r="L29" s="416">
        <f t="shared" si="5"/>
        <v>0.48425000000000001</v>
      </c>
    </row>
    <row r="30" spans="1:12" ht="20.25" customHeight="1" x14ac:dyDescent="0.25">
      <c r="A30" s="85"/>
      <c r="B30" s="88" t="s">
        <v>491</v>
      </c>
      <c r="C30" s="101"/>
      <c r="D30" s="101"/>
      <c r="E30" s="101"/>
      <c r="F30" s="422"/>
      <c r="G30" s="71"/>
      <c r="H30" s="71" t="s">
        <v>333</v>
      </c>
      <c r="I30" s="104">
        <v>15000</v>
      </c>
      <c r="J30" s="104">
        <v>15000</v>
      </c>
      <c r="K30" s="104"/>
      <c r="L30" s="416">
        <f t="shared" si="5"/>
        <v>0</v>
      </c>
    </row>
    <row r="31" spans="1:12" ht="20.25" customHeight="1" x14ac:dyDescent="0.25">
      <c r="A31" s="85"/>
      <c r="B31" s="88" t="s">
        <v>492</v>
      </c>
      <c r="C31" s="101"/>
      <c r="D31" s="101"/>
      <c r="E31" s="101"/>
      <c r="F31" s="422"/>
      <c r="G31" s="71"/>
      <c r="H31" s="71" t="s">
        <v>716</v>
      </c>
      <c r="I31" s="104">
        <v>600000</v>
      </c>
      <c r="J31" s="104">
        <v>59771</v>
      </c>
      <c r="K31" s="104">
        <v>32876</v>
      </c>
      <c r="L31" s="416">
        <f t="shared" si="5"/>
        <v>0.55003262451690615</v>
      </c>
    </row>
    <row r="32" spans="1:12" ht="20.25" customHeight="1" x14ac:dyDescent="0.25">
      <c r="A32" s="85"/>
      <c r="B32" s="88" t="s">
        <v>448</v>
      </c>
      <c r="C32" s="101"/>
      <c r="D32" s="101"/>
      <c r="E32" s="101"/>
      <c r="F32" s="422"/>
      <c r="G32" s="71"/>
      <c r="H32" s="71" t="s">
        <v>762</v>
      </c>
      <c r="I32" s="104">
        <f>(5000+6000)*6</f>
        <v>66000</v>
      </c>
      <c r="J32" s="104">
        <f>(5000+6000)*6</f>
        <v>66000</v>
      </c>
      <c r="K32" s="104">
        <v>80313</v>
      </c>
      <c r="L32" s="416">
        <f t="shared" si="5"/>
        <v>1.2168636363636363</v>
      </c>
    </row>
    <row r="33" spans="1:12" ht="20.25" customHeight="1" x14ac:dyDescent="0.25">
      <c r="A33" s="85"/>
      <c r="B33" s="88" t="s">
        <v>449</v>
      </c>
      <c r="C33" s="101"/>
      <c r="D33" s="101"/>
      <c r="E33" s="101"/>
      <c r="F33" s="422"/>
      <c r="G33" s="71"/>
      <c r="H33" s="71" t="s">
        <v>761</v>
      </c>
      <c r="I33" s="104">
        <f>200000+306000</f>
        <v>506000</v>
      </c>
      <c r="J33" s="104">
        <v>692000</v>
      </c>
      <c r="K33" s="104">
        <v>691039</v>
      </c>
      <c r="L33" s="416">
        <f t="shared" si="5"/>
        <v>0.99861127167630059</v>
      </c>
    </row>
    <row r="34" spans="1:12" ht="20.25" customHeight="1" x14ac:dyDescent="0.25">
      <c r="A34" s="85"/>
      <c r="B34" s="88" t="s">
        <v>450</v>
      </c>
      <c r="C34" s="101">
        <f>SUM(C35:C39)</f>
        <v>3396500</v>
      </c>
      <c r="D34" s="101">
        <f>SUM(D35:D39)</f>
        <v>3396500</v>
      </c>
      <c r="E34" s="101">
        <f t="shared" ref="E34" si="13">SUM(E35:E39)</f>
        <v>3120529</v>
      </c>
      <c r="F34" s="422">
        <f>+E34/D34</f>
        <v>0.91874841748859115</v>
      </c>
      <c r="G34" s="71"/>
      <c r="H34" s="71" t="s">
        <v>338</v>
      </c>
      <c r="I34" s="104"/>
      <c r="J34" s="104"/>
      <c r="K34" s="104"/>
      <c r="L34" s="416"/>
    </row>
    <row r="35" spans="1:12" ht="20.25" customHeight="1" x14ac:dyDescent="0.25">
      <c r="A35" s="85"/>
      <c r="B35" s="21" t="s">
        <v>494</v>
      </c>
      <c r="C35" s="101"/>
      <c r="D35" s="101"/>
      <c r="E35" s="101"/>
      <c r="F35" s="422"/>
      <c r="G35" s="71"/>
      <c r="H35" s="72" t="s">
        <v>339</v>
      </c>
      <c r="I35" s="104">
        <f>I23+I27+I34</f>
        <v>1412000</v>
      </c>
      <c r="J35" s="104">
        <f>J23+J27+J34</f>
        <v>1057771</v>
      </c>
      <c r="K35" s="104">
        <f t="shared" ref="K35" si="14">K23+K27+K34</f>
        <v>900191</v>
      </c>
      <c r="L35" s="416">
        <f t="shared" si="5"/>
        <v>0.85102635636635904</v>
      </c>
    </row>
    <row r="36" spans="1:12" ht="20.25" customHeight="1" x14ac:dyDescent="0.25">
      <c r="A36" s="85"/>
      <c r="B36" s="87" t="s">
        <v>495</v>
      </c>
      <c r="C36" s="101"/>
      <c r="D36" s="101"/>
      <c r="E36" s="101"/>
      <c r="F36" s="422"/>
      <c r="G36" s="71"/>
      <c r="H36" s="71" t="s">
        <v>715</v>
      </c>
      <c r="I36" s="104"/>
      <c r="J36" s="104"/>
      <c r="K36" s="104"/>
      <c r="L36" s="416"/>
    </row>
    <row r="37" spans="1:12" ht="20.25" customHeight="1" x14ac:dyDescent="0.25">
      <c r="A37" s="85"/>
      <c r="B37" s="87" t="s">
        <v>493</v>
      </c>
      <c r="C37" s="101"/>
      <c r="D37" s="101"/>
      <c r="E37" s="101"/>
      <c r="F37" s="422"/>
      <c r="G37" s="71"/>
      <c r="H37" s="71" t="s">
        <v>489</v>
      </c>
      <c r="I37" s="104">
        <f>5000*12+3000*12</f>
        <v>96000</v>
      </c>
      <c r="J37" s="104">
        <f>5000*12+3000*12</f>
        <v>96000</v>
      </c>
      <c r="K37" s="104">
        <v>82143</v>
      </c>
      <c r="L37" s="416">
        <f t="shared" si="5"/>
        <v>0.85565625000000001</v>
      </c>
    </row>
    <row r="38" spans="1:12" ht="20.25" customHeight="1" x14ac:dyDescent="0.25">
      <c r="A38" s="85"/>
      <c r="B38" s="87" t="s">
        <v>451</v>
      </c>
      <c r="C38" s="101">
        <f>2*358*250+18*715*250</f>
        <v>3396500</v>
      </c>
      <c r="D38" s="101">
        <f>2*358*250+18*715*250</f>
        <v>3396500</v>
      </c>
      <c r="E38" s="101">
        <v>3120529</v>
      </c>
      <c r="F38" s="422">
        <f t="shared" ref="F38" si="15">+E38/D38</f>
        <v>0.91874841748859115</v>
      </c>
      <c r="G38" s="71"/>
      <c r="H38" s="72" t="s">
        <v>340</v>
      </c>
      <c r="I38" s="104">
        <f>I36+I37</f>
        <v>96000</v>
      </c>
      <c r="J38" s="104">
        <f>J36+J37</f>
        <v>96000</v>
      </c>
      <c r="K38" s="104">
        <f t="shared" ref="K38" si="16">K36+K37</f>
        <v>82143</v>
      </c>
      <c r="L38" s="416">
        <f t="shared" si="5"/>
        <v>0.85565625000000001</v>
      </c>
    </row>
    <row r="39" spans="1:12" ht="20.25" customHeight="1" x14ac:dyDescent="0.25">
      <c r="A39" s="85"/>
      <c r="B39" s="21" t="s">
        <v>624</v>
      </c>
      <c r="C39" s="101"/>
      <c r="D39" s="101"/>
      <c r="E39" s="101"/>
      <c r="F39" s="422"/>
      <c r="G39" s="71"/>
      <c r="H39" s="71" t="s">
        <v>344</v>
      </c>
      <c r="I39" s="104">
        <f>SUM(I40:I42)</f>
        <v>1220000</v>
      </c>
      <c r="J39" s="104">
        <f>SUM(J40:J42)</f>
        <v>1220000</v>
      </c>
      <c r="K39" s="104">
        <f t="shared" ref="K39" si="17">SUM(K40:K42)</f>
        <v>987942</v>
      </c>
      <c r="L39" s="416">
        <f t="shared" si="5"/>
        <v>0.80978852459016393</v>
      </c>
    </row>
    <row r="40" spans="1:12" ht="20.25" customHeight="1" x14ac:dyDescent="0.25">
      <c r="A40" s="85"/>
      <c r="B40" s="88" t="s">
        <v>452</v>
      </c>
      <c r="C40" s="101"/>
      <c r="D40" s="101"/>
      <c r="E40" s="101"/>
      <c r="F40" s="422"/>
      <c r="G40" s="71"/>
      <c r="H40" s="71" t="s">
        <v>345</v>
      </c>
      <c r="I40" s="104">
        <f>15000*12</f>
        <v>180000</v>
      </c>
      <c r="J40" s="104">
        <f>15000*12</f>
        <v>180000</v>
      </c>
      <c r="K40" s="104">
        <v>136268</v>
      </c>
      <c r="L40" s="416">
        <f t="shared" si="5"/>
        <v>0.75704444444444441</v>
      </c>
    </row>
    <row r="41" spans="1:12" ht="20.25" customHeight="1" x14ac:dyDescent="0.25">
      <c r="A41" s="87"/>
      <c r="B41" s="88" t="s">
        <v>453</v>
      </c>
      <c r="C41" s="87"/>
      <c r="D41" s="87"/>
      <c r="E41" s="87"/>
      <c r="F41" s="422"/>
      <c r="G41" s="71"/>
      <c r="H41" s="71" t="s">
        <v>347</v>
      </c>
      <c r="I41" s="104">
        <v>800000</v>
      </c>
      <c r="J41" s="104">
        <v>800000</v>
      </c>
      <c r="K41" s="104">
        <v>630913</v>
      </c>
      <c r="L41" s="416">
        <f t="shared" si="5"/>
        <v>0.78864124999999996</v>
      </c>
    </row>
    <row r="42" spans="1:12" ht="20.25" customHeight="1" x14ac:dyDescent="0.25">
      <c r="A42" s="87"/>
      <c r="B42" s="88" t="s">
        <v>660</v>
      </c>
      <c r="C42" s="87"/>
      <c r="D42" s="87"/>
      <c r="E42" s="87"/>
      <c r="F42" s="422"/>
      <c r="G42" s="71"/>
      <c r="H42" s="71" t="s">
        <v>346</v>
      </c>
      <c r="I42" s="104">
        <f>20000*12</f>
        <v>240000</v>
      </c>
      <c r="J42" s="104">
        <f>20000*12</f>
        <v>240000</v>
      </c>
      <c r="K42" s="104">
        <v>220761</v>
      </c>
      <c r="L42" s="416">
        <f t="shared" si="5"/>
        <v>0.91983749999999997</v>
      </c>
    </row>
    <row r="43" spans="1:12" ht="20.25" customHeight="1" x14ac:dyDescent="0.25">
      <c r="A43" s="87"/>
      <c r="B43" s="88" t="s">
        <v>455</v>
      </c>
      <c r="C43" s="87"/>
      <c r="D43" s="87"/>
      <c r="E43" s="87"/>
      <c r="F43" s="422"/>
      <c r="G43" s="71"/>
      <c r="H43" s="71" t="s">
        <v>717</v>
      </c>
      <c r="I43" s="204"/>
      <c r="J43" s="204"/>
      <c r="K43" s="204"/>
      <c r="L43" s="416"/>
    </row>
    <row r="44" spans="1:12" ht="20.25" customHeight="1" x14ac:dyDescent="0.25">
      <c r="A44" s="87"/>
      <c r="B44" s="88" t="s">
        <v>456</v>
      </c>
      <c r="C44" s="87">
        <f>SUM(C45:C47)</f>
        <v>0</v>
      </c>
      <c r="D44" s="87">
        <f>SUM(D45:D47)</f>
        <v>0</v>
      </c>
      <c r="E44" s="101">
        <f t="shared" ref="E44" si="18">SUM(E45:E47)</f>
        <v>29858</v>
      </c>
      <c r="F44" s="422"/>
      <c r="G44" s="71"/>
      <c r="H44" s="71" t="s">
        <v>349</v>
      </c>
      <c r="I44" s="104">
        <f>600*12</f>
        <v>7200</v>
      </c>
      <c r="J44" s="104">
        <f>600*12</f>
        <v>7200</v>
      </c>
      <c r="K44" s="104">
        <v>4920</v>
      </c>
      <c r="L44" s="416">
        <f t="shared" si="5"/>
        <v>0.68333333333333335</v>
      </c>
    </row>
    <row r="45" spans="1:12" ht="20.25" customHeight="1" x14ac:dyDescent="0.25">
      <c r="A45" s="87"/>
      <c r="B45" s="87" t="s">
        <v>1156</v>
      </c>
      <c r="C45" s="87"/>
      <c r="D45" s="87"/>
      <c r="E45" s="101">
        <v>29858</v>
      </c>
      <c r="F45" s="422"/>
      <c r="G45" s="71"/>
      <c r="H45" s="71" t="s">
        <v>718</v>
      </c>
      <c r="I45" s="104">
        <v>100000</v>
      </c>
      <c r="J45" s="104">
        <v>100000</v>
      </c>
      <c r="K45" s="104">
        <v>58344</v>
      </c>
      <c r="L45" s="416">
        <f t="shared" si="5"/>
        <v>0.58343999999999996</v>
      </c>
    </row>
    <row r="46" spans="1:12" ht="20.25" customHeight="1" x14ac:dyDescent="0.25">
      <c r="A46" s="87"/>
      <c r="B46" s="87" t="s">
        <v>458</v>
      </c>
      <c r="C46" s="87"/>
      <c r="D46" s="87"/>
      <c r="E46" s="87"/>
      <c r="F46" s="422"/>
      <c r="G46" s="71"/>
      <c r="H46" s="71" t="s">
        <v>351</v>
      </c>
      <c r="I46" s="97"/>
      <c r="J46" s="97"/>
      <c r="K46" s="97"/>
      <c r="L46" s="416"/>
    </row>
    <row r="47" spans="1:12" ht="20.25" customHeight="1" x14ac:dyDescent="0.25">
      <c r="A47" s="85"/>
      <c r="B47" s="87" t="s">
        <v>459</v>
      </c>
      <c r="C47" s="101"/>
      <c r="D47" s="101"/>
      <c r="E47" s="101"/>
      <c r="F47" s="422"/>
      <c r="G47" s="71"/>
      <c r="H47" s="71" t="s">
        <v>763</v>
      </c>
      <c r="I47" s="204">
        <f>6*5000+6*2000</f>
        <v>42000</v>
      </c>
      <c r="J47" s="204">
        <v>129000</v>
      </c>
      <c r="K47" s="204">
        <v>53500</v>
      </c>
      <c r="L47" s="416">
        <f t="shared" si="5"/>
        <v>0.41472868217054265</v>
      </c>
    </row>
    <row r="48" spans="1:12" ht="20.25" customHeight="1" x14ac:dyDescent="0.25">
      <c r="A48" s="87"/>
      <c r="B48" s="88"/>
      <c r="C48" s="87"/>
      <c r="D48" s="87"/>
      <c r="E48" s="87"/>
      <c r="F48" s="422"/>
      <c r="G48" s="71"/>
      <c r="H48" s="71" t="s">
        <v>353</v>
      </c>
      <c r="I48" s="104">
        <f>SUM(I49:I53)</f>
        <v>668400</v>
      </c>
      <c r="J48" s="104">
        <f>SUM(J49:J53)</f>
        <v>668400</v>
      </c>
      <c r="K48" s="104">
        <f t="shared" ref="K48" si="19">SUM(K49:K53)</f>
        <v>333648</v>
      </c>
      <c r="L48" s="416">
        <f t="shared" si="5"/>
        <v>0.49917414721723519</v>
      </c>
    </row>
    <row r="49" spans="1:12" ht="20.25" customHeight="1" x14ac:dyDescent="0.25">
      <c r="A49" s="87"/>
      <c r="B49" s="88"/>
      <c r="C49" s="87"/>
      <c r="D49" s="87"/>
      <c r="E49" s="87"/>
      <c r="F49" s="422"/>
      <c r="G49" s="71"/>
      <c r="H49" s="71" t="s">
        <v>354</v>
      </c>
      <c r="I49" s="104"/>
      <c r="J49" s="104"/>
      <c r="K49" s="104"/>
      <c r="L49" s="416"/>
    </row>
    <row r="50" spans="1:12" ht="30.75" customHeight="1" x14ac:dyDescent="0.25">
      <c r="A50" s="87"/>
      <c r="B50" s="88"/>
      <c r="C50" s="87"/>
      <c r="D50" s="87"/>
      <c r="E50" s="87"/>
      <c r="F50" s="422"/>
      <c r="G50" s="71"/>
      <c r="H50" s="112" t="s">
        <v>719</v>
      </c>
      <c r="I50" s="104">
        <f>8800*4+47000*2+1800*2+11400*4</f>
        <v>178400</v>
      </c>
      <c r="J50" s="104">
        <f>8800*4+47000*2+1800*2+11400*4</f>
        <v>178400</v>
      </c>
      <c r="K50" s="104">
        <v>261482</v>
      </c>
      <c r="L50" s="416">
        <f t="shared" si="5"/>
        <v>1.4657062780269059</v>
      </c>
    </row>
    <row r="51" spans="1:12" ht="20.25" customHeight="1" x14ac:dyDescent="0.25">
      <c r="A51" s="87"/>
      <c r="B51" s="87"/>
      <c r="C51" s="87"/>
      <c r="D51" s="87"/>
      <c r="E51" s="87"/>
      <c r="F51" s="422"/>
      <c r="G51" s="71"/>
      <c r="H51" s="71" t="s">
        <v>720</v>
      </c>
      <c r="I51" s="104">
        <f>180000+200000</f>
        <v>380000</v>
      </c>
      <c r="J51" s="104">
        <f>180000+200000</f>
        <v>380000</v>
      </c>
      <c r="K51" s="104">
        <v>4000</v>
      </c>
      <c r="L51" s="416">
        <f t="shared" si="5"/>
        <v>1.0526315789473684E-2</v>
      </c>
    </row>
    <row r="52" spans="1:12" ht="20.25" customHeight="1" x14ac:dyDescent="0.25">
      <c r="A52" s="87"/>
      <c r="B52" s="87"/>
      <c r="C52" s="87"/>
      <c r="D52" s="87"/>
      <c r="E52" s="87"/>
      <c r="F52" s="422"/>
      <c r="G52" s="71"/>
      <c r="H52" s="71" t="s">
        <v>764</v>
      </c>
      <c r="I52" s="104">
        <v>30000</v>
      </c>
      <c r="J52" s="104">
        <v>30000</v>
      </c>
      <c r="K52" s="104">
        <v>30774</v>
      </c>
      <c r="L52" s="416">
        <f t="shared" si="5"/>
        <v>1.0258</v>
      </c>
    </row>
    <row r="53" spans="1:12" ht="20.25" customHeight="1" x14ac:dyDescent="0.25">
      <c r="A53" s="87"/>
      <c r="B53" s="87"/>
      <c r="C53" s="87"/>
      <c r="D53" s="87"/>
      <c r="E53" s="87"/>
      <c r="F53" s="422"/>
      <c r="G53" s="71"/>
      <c r="H53" s="71" t="s">
        <v>601</v>
      </c>
      <c r="I53" s="104">
        <v>80000</v>
      </c>
      <c r="J53" s="104">
        <v>80000</v>
      </c>
      <c r="K53" s="104">
        <v>37392</v>
      </c>
      <c r="L53" s="416">
        <f t="shared" si="5"/>
        <v>0.46739999999999998</v>
      </c>
    </row>
    <row r="54" spans="1:12" ht="20.25" customHeight="1" x14ac:dyDescent="0.25">
      <c r="A54" s="87"/>
      <c r="B54" s="87"/>
      <c r="C54" s="87"/>
      <c r="D54" s="87"/>
      <c r="E54" s="87"/>
      <c r="F54" s="422"/>
      <c r="G54" s="71"/>
      <c r="H54" s="72" t="s">
        <v>343</v>
      </c>
      <c r="I54" s="104">
        <f>I39+I43+I44+I45+I46+I47+I48</f>
        <v>2037600</v>
      </c>
      <c r="J54" s="104">
        <f>J39+J43+J44+J45+J46+J47+J48</f>
        <v>2124600</v>
      </c>
      <c r="K54" s="104">
        <f t="shared" ref="K54" si="20">K39+K43+K44+K45+K46+K47+K48</f>
        <v>1438354</v>
      </c>
      <c r="L54" s="416">
        <f t="shared" si="5"/>
        <v>0.67699990586463332</v>
      </c>
    </row>
    <row r="55" spans="1:12" ht="20.25" customHeight="1" x14ac:dyDescent="0.25">
      <c r="A55" s="87"/>
      <c r="B55" s="87"/>
      <c r="C55" s="87"/>
      <c r="D55" s="87"/>
      <c r="E55" s="87"/>
      <c r="F55" s="422"/>
      <c r="G55" s="71"/>
      <c r="H55" s="71" t="s">
        <v>356</v>
      </c>
      <c r="I55" s="104">
        <v>50000</v>
      </c>
      <c r="J55" s="104">
        <v>50000</v>
      </c>
      <c r="K55" s="104">
        <v>32011</v>
      </c>
      <c r="L55" s="416">
        <f t="shared" si="5"/>
        <v>0.64022000000000001</v>
      </c>
    </row>
    <row r="56" spans="1:12" ht="20.25" customHeight="1" x14ac:dyDescent="0.25">
      <c r="A56" s="87"/>
      <c r="B56" s="87"/>
      <c r="C56" s="87"/>
      <c r="D56" s="87"/>
      <c r="E56" s="87"/>
      <c r="F56" s="422"/>
      <c r="G56" s="71"/>
      <c r="H56" s="71" t="s">
        <v>357</v>
      </c>
      <c r="I56" s="104"/>
      <c r="J56" s="104"/>
      <c r="K56" s="104"/>
      <c r="L56" s="416"/>
    </row>
    <row r="57" spans="1:12" ht="20.25" customHeight="1" x14ac:dyDescent="0.25">
      <c r="A57" s="231" t="s">
        <v>64</v>
      </c>
      <c r="B57" s="232" t="s">
        <v>460</v>
      </c>
      <c r="C57" s="233">
        <f>C58+C59+C60</f>
        <v>0</v>
      </c>
      <c r="D57" s="233">
        <f>D58+D59+D60</f>
        <v>0</v>
      </c>
      <c r="E57" s="233">
        <f t="shared" ref="E57:F57" si="21">E58+E59+E60</f>
        <v>0</v>
      </c>
      <c r="F57" s="429">
        <f t="shared" si="21"/>
        <v>0</v>
      </c>
      <c r="G57" s="71"/>
      <c r="H57" s="72" t="s">
        <v>358</v>
      </c>
      <c r="I57" s="104">
        <f>I55+I56</f>
        <v>50000</v>
      </c>
      <c r="J57" s="104">
        <f>J55+J56</f>
        <v>50000</v>
      </c>
      <c r="K57" s="104">
        <f t="shared" ref="K57" si="22">K55+K56</f>
        <v>32011</v>
      </c>
      <c r="L57" s="416">
        <f t="shared" si="5"/>
        <v>0.64022000000000001</v>
      </c>
    </row>
    <row r="58" spans="1:12" ht="30" x14ac:dyDescent="0.25">
      <c r="A58" s="85"/>
      <c r="B58" s="88" t="s">
        <v>461</v>
      </c>
      <c r="C58" s="101"/>
      <c r="D58" s="101"/>
      <c r="E58" s="101"/>
      <c r="F58" s="422"/>
      <c r="G58" s="71"/>
      <c r="H58" s="71" t="s">
        <v>360</v>
      </c>
      <c r="I58" s="104">
        <v>928000</v>
      </c>
      <c r="J58" s="104">
        <v>855569</v>
      </c>
      <c r="K58" s="104">
        <v>585803</v>
      </c>
      <c r="L58" s="416">
        <f t="shared" si="5"/>
        <v>0.68469404571694392</v>
      </c>
    </row>
    <row r="59" spans="1:12" ht="28.5" customHeight="1" x14ac:dyDescent="0.25">
      <c r="A59" s="85"/>
      <c r="B59" s="83" t="s">
        <v>462</v>
      </c>
      <c r="C59" s="101"/>
      <c r="D59" s="101"/>
      <c r="E59" s="101"/>
      <c r="F59" s="422"/>
      <c r="G59" s="71"/>
      <c r="H59" s="71" t="s">
        <v>361</v>
      </c>
      <c r="I59" s="97"/>
      <c r="J59" s="97"/>
      <c r="K59" s="97"/>
      <c r="L59" s="416"/>
    </row>
    <row r="60" spans="1:12" ht="19.5" customHeight="1" x14ac:dyDescent="0.25">
      <c r="A60" s="85"/>
      <c r="B60" s="88" t="s">
        <v>463</v>
      </c>
      <c r="C60" s="101"/>
      <c r="D60" s="101"/>
      <c r="E60" s="101"/>
      <c r="F60" s="422"/>
      <c r="G60" s="71"/>
      <c r="H60" s="71" t="s">
        <v>362</v>
      </c>
      <c r="I60" s="97"/>
      <c r="J60" s="97"/>
      <c r="K60" s="97"/>
      <c r="L60" s="416"/>
    </row>
    <row r="61" spans="1:12" ht="19.5" customHeight="1" x14ac:dyDescent="0.25">
      <c r="A61" s="85"/>
      <c r="B61" s="88"/>
      <c r="C61" s="101"/>
      <c r="D61" s="101"/>
      <c r="E61" s="101"/>
      <c r="F61" s="422"/>
      <c r="G61" s="71"/>
      <c r="H61" s="71" t="s">
        <v>363</v>
      </c>
      <c r="I61" s="97"/>
      <c r="J61" s="97"/>
      <c r="K61" s="97"/>
      <c r="L61" s="416"/>
    </row>
    <row r="62" spans="1:12" ht="32.25" customHeight="1" x14ac:dyDescent="0.25">
      <c r="A62" s="85"/>
      <c r="B62" s="88"/>
      <c r="C62" s="99"/>
      <c r="D62" s="99"/>
      <c r="E62" s="99"/>
      <c r="F62" s="430"/>
      <c r="G62" s="71"/>
      <c r="H62" s="112" t="s">
        <v>721</v>
      </c>
      <c r="I62" s="203">
        <f>12000+2*50000</f>
        <v>112000</v>
      </c>
      <c r="J62" s="203">
        <f>12000+2*50000</f>
        <v>112000</v>
      </c>
      <c r="K62" s="203">
        <v>20055</v>
      </c>
      <c r="L62" s="416">
        <f t="shared" si="5"/>
        <v>0.17906250000000001</v>
      </c>
    </row>
    <row r="63" spans="1:12" ht="19.5" customHeight="1" x14ac:dyDescent="0.25">
      <c r="A63" s="85"/>
      <c r="B63" s="88"/>
      <c r="C63" s="99"/>
      <c r="D63" s="99"/>
      <c r="E63" s="99"/>
      <c r="F63" s="430"/>
      <c r="G63" s="71"/>
      <c r="H63" s="72" t="s">
        <v>359</v>
      </c>
      <c r="I63" s="105">
        <f>I58+I59+I60+I61+I62</f>
        <v>1040000</v>
      </c>
      <c r="J63" s="105">
        <f>J58+J59+J60+J61+J62</f>
        <v>967569</v>
      </c>
      <c r="K63" s="105">
        <f t="shared" ref="K63" si="23">K58+K59+K60+K61+K62</f>
        <v>605858</v>
      </c>
      <c r="L63" s="416">
        <f t="shared" si="5"/>
        <v>0.62616516238118414</v>
      </c>
    </row>
    <row r="64" spans="1:12" ht="19.5" customHeight="1" x14ac:dyDescent="0.25">
      <c r="A64" s="85"/>
      <c r="B64" s="88"/>
      <c r="C64" s="99"/>
      <c r="D64" s="99"/>
      <c r="E64" s="99"/>
      <c r="F64" s="430"/>
      <c r="G64" s="231" t="s">
        <v>64</v>
      </c>
      <c r="H64" s="227" t="s">
        <v>365</v>
      </c>
      <c r="I64" s="228">
        <f>SUM(I65:I70)</f>
        <v>0</v>
      </c>
      <c r="J64" s="228">
        <f>SUM(J65:J70)</f>
        <v>0</v>
      </c>
      <c r="K64" s="228">
        <f t="shared" ref="K64:L64" si="24">SUM(K65:K70)</f>
        <v>0</v>
      </c>
      <c r="L64" s="415">
        <f t="shared" si="24"/>
        <v>0</v>
      </c>
    </row>
    <row r="65" spans="1:12" ht="19.5" customHeight="1" x14ac:dyDescent="0.25">
      <c r="A65" s="85"/>
      <c r="B65" s="88"/>
      <c r="C65" s="99"/>
      <c r="D65" s="99"/>
      <c r="E65" s="99"/>
      <c r="F65" s="430"/>
      <c r="G65" s="71"/>
      <c r="H65" s="71" t="s">
        <v>366</v>
      </c>
      <c r="I65" s="100"/>
      <c r="J65" s="100"/>
      <c r="K65" s="100"/>
      <c r="L65" s="420"/>
    </row>
    <row r="66" spans="1:12" ht="19.5" customHeight="1" x14ac:dyDescent="0.25">
      <c r="A66" s="85"/>
      <c r="B66" s="88"/>
      <c r="C66" s="99"/>
      <c r="D66" s="99"/>
      <c r="E66" s="99"/>
      <c r="F66" s="430"/>
      <c r="G66" s="71"/>
      <c r="H66" s="87" t="s">
        <v>367</v>
      </c>
      <c r="I66" s="100"/>
      <c r="J66" s="100"/>
      <c r="K66" s="100"/>
      <c r="L66" s="420"/>
    </row>
    <row r="67" spans="1:12" ht="19.5" customHeight="1" x14ac:dyDescent="0.25">
      <c r="A67" s="85"/>
      <c r="B67" s="88"/>
      <c r="C67" s="99"/>
      <c r="D67" s="99"/>
      <c r="E67" s="99"/>
      <c r="F67" s="430"/>
      <c r="G67" s="71"/>
      <c r="H67" s="71" t="s">
        <v>368</v>
      </c>
      <c r="I67" s="100"/>
      <c r="J67" s="100"/>
      <c r="K67" s="100"/>
      <c r="L67" s="420"/>
    </row>
    <row r="68" spans="1:12" ht="19.5" customHeight="1" x14ac:dyDescent="0.25">
      <c r="A68" s="85"/>
      <c r="B68" s="88"/>
      <c r="C68" s="99"/>
      <c r="D68" s="99"/>
      <c r="E68" s="99"/>
      <c r="F68" s="430"/>
      <c r="G68" s="71"/>
      <c r="H68" s="71" t="s">
        <v>369</v>
      </c>
      <c r="I68" s="100"/>
      <c r="J68" s="100"/>
      <c r="K68" s="100"/>
      <c r="L68" s="420"/>
    </row>
    <row r="69" spans="1:12" ht="19.5" customHeight="1" x14ac:dyDescent="0.25">
      <c r="A69" s="85"/>
      <c r="B69" s="88"/>
      <c r="C69" s="99"/>
      <c r="D69" s="99"/>
      <c r="E69" s="99"/>
      <c r="F69" s="430"/>
      <c r="G69" s="71"/>
      <c r="H69" s="71" t="s">
        <v>370</v>
      </c>
      <c r="I69" s="100"/>
      <c r="J69" s="100"/>
      <c r="K69" s="100"/>
      <c r="L69" s="420"/>
    </row>
    <row r="70" spans="1:12" ht="19.5" customHeight="1" x14ac:dyDescent="0.25">
      <c r="A70" s="85"/>
      <c r="B70" s="88"/>
      <c r="C70" s="99"/>
      <c r="D70" s="99"/>
      <c r="E70" s="99"/>
      <c r="F70" s="430"/>
      <c r="G70" s="71"/>
      <c r="H70" s="71" t="s">
        <v>371</v>
      </c>
      <c r="I70" s="100"/>
      <c r="J70" s="100"/>
      <c r="K70" s="100"/>
      <c r="L70" s="420"/>
    </row>
    <row r="71" spans="1:12" ht="19.5" customHeight="1" x14ac:dyDescent="0.25">
      <c r="A71" s="85"/>
      <c r="B71" s="86"/>
      <c r="C71" s="99"/>
      <c r="D71" s="99"/>
      <c r="E71" s="99"/>
      <c r="F71" s="430"/>
      <c r="G71" s="231" t="s">
        <v>100</v>
      </c>
      <c r="H71" s="227" t="s">
        <v>499</v>
      </c>
      <c r="I71" s="228">
        <f>SUM(I72:I77)</f>
        <v>0</v>
      </c>
      <c r="J71" s="228">
        <f>SUM(J72:J77)</f>
        <v>0</v>
      </c>
      <c r="K71" s="228">
        <f t="shared" ref="K71:L71" si="25">SUM(K72:K77)</f>
        <v>0</v>
      </c>
      <c r="L71" s="415">
        <f t="shared" si="25"/>
        <v>0</v>
      </c>
    </row>
    <row r="72" spans="1:12" ht="21.75" customHeight="1" x14ac:dyDescent="0.25">
      <c r="A72" s="85"/>
      <c r="B72" s="88"/>
      <c r="C72" s="99"/>
      <c r="D72" s="99"/>
      <c r="E72" s="99"/>
      <c r="F72" s="430"/>
      <c r="G72" s="71"/>
      <c r="H72" s="71" t="s">
        <v>372</v>
      </c>
      <c r="I72" s="105" t="s">
        <v>253</v>
      </c>
      <c r="J72" s="105"/>
      <c r="K72" s="105"/>
      <c r="L72" s="417"/>
    </row>
    <row r="73" spans="1:12" ht="21.75" customHeight="1" x14ac:dyDescent="0.25">
      <c r="A73" s="85"/>
      <c r="B73" s="83"/>
      <c r="C73" s="99"/>
      <c r="D73" s="99"/>
      <c r="E73" s="99"/>
      <c r="F73" s="430"/>
      <c r="G73" s="71"/>
      <c r="H73" s="71" t="s">
        <v>373</v>
      </c>
      <c r="I73" s="100"/>
      <c r="J73" s="100"/>
      <c r="K73" s="100"/>
      <c r="L73" s="420"/>
    </row>
    <row r="74" spans="1:12" ht="19.5" customHeight="1" x14ac:dyDescent="0.25">
      <c r="A74" s="85"/>
      <c r="B74" s="88"/>
      <c r="C74" s="99"/>
      <c r="D74" s="99"/>
      <c r="E74" s="99"/>
      <c r="F74" s="430"/>
      <c r="G74" s="71"/>
      <c r="H74" s="71" t="s">
        <v>374</v>
      </c>
      <c r="I74" s="100"/>
      <c r="J74" s="100"/>
      <c r="K74" s="100"/>
      <c r="L74" s="420"/>
    </row>
    <row r="75" spans="1:12" ht="19.5" customHeight="1" x14ac:dyDescent="0.25">
      <c r="A75" s="85"/>
      <c r="B75" s="88"/>
      <c r="C75" s="99"/>
      <c r="D75" s="99"/>
      <c r="E75" s="99"/>
      <c r="F75" s="430"/>
      <c r="G75" s="71"/>
      <c r="H75" s="71" t="s">
        <v>375</v>
      </c>
      <c r="I75" s="100"/>
      <c r="J75" s="100"/>
      <c r="K75" s="100"/>
      <c r="L75" s="420"/>
    </row>
    <row r="76" spans="1:12" ht="19.5" customHeight="1" x14ac:dyDescent="0.25">
      <c r="A76" s="85"/>
      <c r="B76" s="88"/>
      <c r="C76" s="99"/>
      <c r="D76" s="99"/>
      <c r="E76" s="99"/>
      <c r="F76" s="430"/>
      <c r="G76" s="71"/>
      <c r="H76" s="71" t="s">
        <v>656</v>
      </c>
      <c r="I76" s="100"/>
      <c r="J76" s="100"/>
      <c r="K76" s="100"/>
      <c r="L76" s="420"/>
    </row>
    <row r="77" spans="1:12" ht="20.25" customHeight="1" x14ac:dyDescent="0.25">
      <c r="A77" s="85"/>
      <c r="B77" s="88"/>
      <c r="C77" s="99"/>
      <c r="D77" s="99"/>
      <c r="E77" s="99"/>
      <c r="F77" s="430"/>
      <c r="G77" s="71"/>
      <c r="H77" s="71" t="s">
        <v>665</v>
      </c>
      <c r="I77" s="100"/>
      <c r="J77" s="100"/>
      <c r="K77" s="100"/>
      <c r="L77" s="420"/>
    </row>
    <row r="78" spans="1:12" ht="20.25" customHeight="1" x14ac:dyDescent="0.25">
      <c r="A78" s="306"/>
      <c r="B78" s="307" t="s">
        <v>192</v>
      </c>
      <c r="C78" s="308">
        <f>C79+C85+C91</f>
        <v>0</v>
      </c>
      <c r="D78" s="308">
        <f>D79+D85+D91</f>
        <v>0</v>
      </c>
      <c r="E78" s="308">
        <f t="shared" ref="E78:F78" si="26">E79+E85+E91</f>
        <v>0</v>
      </c>
      <c r="F78" s="414">
        <f t="shared" si="26"/>
        <v>0</v>
      </c>
      <c r="G78" s="306"/>
      <c r="H78" s="307" t="s">
        <v>200</v>
      </c>
      <c r="I78" s="308">
        <f>I79+I87+I92</f>
        <v>0</v>
      </c>
      <c r="J78" s="308">
        <f>J79+J87+J92</f>
        <v>339660</v>
      </c>
      <c r="K78" s="308">
        <f t="shared" ref="K78" si="27">K79+K87+K92</f>
        <v>336630</v>
      </c>
      <c r="L78" s="414">
        <f>+K78/J78</f>
        <v>0.99107931460872634</v>
      </c>
    </row>
    <row r="79" spans="1:12" ht="20.25" customHeight="1" x14ac:dyDescent="0.25">
      <c r="A79" s="231" t="s">
        <v>100</v>
      </c>
      <c r="B79" s="232" t="s">
        <v>414</v>
      </c>
      <c r="C79" s="233">
        <f>SUM(C80:C84)</f>
        <v>0</v>
      </c>
      <c r="D79" s="233">
        <f>SUM(D80:D84)</f>
        <v>0</v>
      </c>
      <c r="E79" s="233">
        <f t="shared" ref="E79:F79" si="28">SUM(E80:E84)</f>
        <v>0</v>
      </c>
      <c r="F79" s="429">
        <f t="shared" si="28"/>
        <v>0</v>
      </c>
      <c r="G79" s="231" t="s">
        <v>181</v>
      </c>
      <c r="H79" s="227" t="s">
        <v>379</v>
      </c>
      <c r="I79" s="228">
        <f>SUM(I80:I86)</f>
        <v>0</v>
      </c>
      <c r="J79" s="228">
        <f>SUM(J80:J86)</f>
        <v>339660</v>
      </c>
      <c r="K79" s="228">
        <f t="shared" ref="K79" si="29">SUM(K80:K86)</f>
        <v>336630</v>
      </c>
      <c r="L79" s="415">
        <f>+K79/J79</f>
        <v>0.99107931460872634</v>
      </c>
    </row>
    <row r="80" spans="1:12" ht="20.25" customHeight="1" x14ac:dyDescent="0.25">
      <c r="A80" s="85"/>
      <c r="B80" s="83" t="s">
        <v>415</v>
      </c>
      <c r="C80" s="101" t="s">
        <v>253</v>
      </c>
      <c r="D80" s="101"/>
      <c r="E80" s="101"/>
      <c r="F80" s="422"/>
      <c r="G80" s="85"/>
      <c r="H80" s="91" t="s">
        <v>377</v>
      </c>
      <c r="I80" s="95"/>
      <c r="J80" s="95"/>
      <c r="K80" s="95"/>
      <c r="L80" s="416"/>
    </row>
    <row r="81" spans="1:12" ht="29.25" customHeight="1" x14ac:dyDescent="0.25">
      <c r="A81" s="85"/>
      <c r="B81" s="83" t="s">
        <v>416</v>
      </c>
      <c r="C81" s="101"/>
      <c r="D81" s="101"/>
      <c r="E81" s="101"/>
      <c r="F81" s="422"/>
      <c r="G81" s="85"/>
      <c r="H81" s="91" t="s">
        <v>378</v>
      </c>
      <c r="I81" s="95"/>
      <c r="J81" s="95"/>
      <c r="K81" s="95"/>
      <c r="L81" s="416"/>
    </row>
    <row r="82" spans="1:12" ht="29.25" customHeight="1" x14ac:dyDescent="0.25">
      <c r="A82" s="85"/>
      <c r="B82" s="83" t="s">
        <v>417</v>
      </c>
      <c r="C82" s="101"/>
      <c r="D82" s="101"/>
      <c r="E82" s="101"/>
      <c r="F82" s="422"/>
      <c r="G82" s="71"/>
      <c r="H82" s="71" t="s">
        <v>599</v>
      </c>
      <c r="I82" s="98"/>
      <c r="J82" s="98"/>
      <c r="K82" s="98"/>
      <c r="L82" s="421"/>
    </row>
    <row r="83" spans="1:12" ht="29.25" customHeight="1" x14ac:dyDescent="0.25">
      <c r="A83" s="85"/>
      <c r="B83" s="83" t="s">
        <v>418</v>
      </c>
      <c r="C83" s="101"/>
      <c r="D83" s="101"/>
      <c r="E83" s="101"/>
      <c r="F83" s="422"/>
      <c r="G83" s="71"/>
      <c r="H83" s="71" t="s">
        <v>692</v>
      </c>
      <c r="I83" s="98">
        <v>0</v>
      </c>
      <c r="J83" s="98">
        <v>267229</v>
      </c>
      <c r="K83" s="98">
        <v>265063</v>
      </c>
      <c r="L83" s="416">
        <f t="shared" ref="L83:L86" si="30">+K83/J83</f>
        <v>0.99189459227853261</v>
      </c>
    </row>
    <row r="84" spans="1:12" ht="21" customHeight="1" x14ac:dyDescent="0.25">
      <c r="A84" s="85"/>
      <c r="B84" s="83" t="s">
        <v>419</v>
      </c>
      <c r="C84" s="101"/>
      <c r="D84" s="101"/>
      <c r="E84" s="101"/>
      <c r="F84" s="422"/>
      <c r="G84" s="71"/>
      <c r="H84" s="71" t="s">
        <v>381</v>
      </c>
      <c r="I84" s="98"/>
      <c r="J84" s="98"/>
      <c r="K84" s="98"/>
      <c r="L84" s="416"/>
    </row>
    <row r="85" spans="1:12" ht="20.25" customHeight="1" x14ac:dyDescent="0.25">
      <c r="A85" s="231" t="s">
        <v>181</v>
      </c>
      <c r="B85" s="232" t="s">
        <v>420</v>
      </c>
      <c r="C85" s="233">
        <f>SUM(C86:C90)</f>
        <v>0</v>
      </c>
      <c r="D85" s="233">
        <f>SUM(D86:D90)</f>
        <v>0</v>
      </c>
      <c r="E85" s="233">
        <f t="shared" ref="E85:F85" si="31">SUM(E86:E90)</f>
        <v>0</v>
      </c>
      <c r="F85" s="429">
        <f t="shared" si="31"/>
        <v>0</v>
      </c>
      <c r="G85" s="71"/>
      <c r="H85" s="71" t="s">
        <v>382</v>
      </c>
      <c r="I85" s="98"/>
      <c r="J85" s="98"/>
      <c r="K85" s="98"/>
      <c r="L85" s="416"/>
    </row>
    <row r="86" spans="1:12" ht="20.25" customHeight="1" x14ac:dyDescent="0.25">
      <c r="A86" s="85"/>
      <c r="B86" s="88" t="s">
        <v>421</v>
      </c>
      <c r="C86" s="101"/>
      <c r="D86" s="101"/>
      <c r="E86" s="101"/>
      <c r="F86" s="422"/>
      <c r="G86" s="71"/>
      <c r="H86" s="71" t="s">
        <v>383</v>
      </c>
      <c r="I86" s="98"/>
      <c r="J86" s="98">
        <v>72431</v>
      </c>
      <c r="K86" s="98">
        <v>71567</v>
      </c>
      <c r="L86" s="416">
        <f t="shared" si="30"/>
        <v>0.98807140588974329</v>
      </c>
    </row>
    <row r="87" spans="1:12" ht="20.25" customHeight="1" x14ac:dyDescent="0.25">
      <c r="A87" s="85"/>
      <c r="B87" s="88" t="s">
        <v>422</v>
      </c>
      <c r="C87" s="101"/>
      <c r="D87" s="101"/>
      <c r="E87" s="101"/>
      <c r="F87" s="422"/>
      <c r="G87" s="231" t="s">
        <v>191</v>
      </c>
      <c r="H87" s="227" t="s">
        <v>384</v>
      </c>
      <c r="I87" s="228">
        <f>SUM(I88:I91)</f>
        <v>0</v>
      </c>
      <c r="J87" s="228">
        <f>SUM(J88:J91)</f>
        <v>0</v>
      </c>
      <c r="K87" s="228">
        <f t="shared" ref="K87:L87" si="32">SUM(K88:K91)</f>
        <v>0</v>
      </c>
      <c r="L87" s="415">
        <f t="shared" si="32"/>
        <v>0</v>
      </c>
    </row>
    <row r="88" spans="1:12" ht="20.25" customHeight="1" x14ac:dyDescent="0.25">
      <c r="A88" s="85"/>
      <c r="B88" s="88" t="s">
        <v>423</v>
      </c>
      <c r="C88" s="101"/>
      <c r="D88" s="101"/>
      <c r="E88" s="101"/>
      <c r="F88" s="422"/>
      <c r="G88" s="71"/>
      <c r="H88" s="71" t="s">
        <v>385</v>
      </c>
      <c r="I88" s="98"/>
      <c r="J88" s="98"/>
      <c r="K88" s="98"/>
      <c r="L88" s="421"/>
    </row>
    <row r="89" spans="1:12" ht="20.25" customHeight="1" x14ac:dyDescent="0.25">
      <c r="A89" s="85"/>
      <c r="B89" s="88" t="s">
        <v>424</v>
      </c>
      <c r="C89" s="101"/>
      <c r="D89" s="101"/>
      <c r="E89" s="101"/>
      <c r="F89" s="422"/>
      <c r="G89" s="71"/>
      <c r="H89" s="71" t="s">
        <v>386</v>
      </c>
      <c r="I89" s="98"/>
      <c r="J89" s="98"/>
      <c r="K89" s="98"/>
      <c r="L89" s="421"/>
    </row>
    <row r="90" spans="1:12" ht="20.25" customHeight="1" x14ac:dyDescent="0.25">
      <c r="A90" s="85"/>
      <c r="B90" s="88" t="s">
        <v>425</v>
      </c>
      <c r="C90" s="101"/>
      <c r="D90" s="101"/>
      <c r="E90" s="101"/>
      <c r="F90" s="422"/>
      <c r="G90" s="71"/>
      <c r="H90" s="71" t="s">
        <v>387</v>
      </c>
      <c r="I90" s="98"/>
      <c r="J90" s="98"/>
      <c r="K90" s="98"/>
      <c r="L90" s="421"/>
    </row>
    <row r="91" spans="1:12" ht="20.25" customHeight="1" x14ac:dyDescent="0.25">
      <c r="A91" s="231" t="s">
        <v>191</v>
      </c>
      <c r="B91" s="232" t="s">
        <v>426</v>
      </c>
      <c r="C91" s="233">
        <f>C92+C93+C94</f>
        <v>0</v>
      </c>
      <c r="D91" s="233">
        <f>D92+D93+D94</f>
        <v>0</v>
      </c>
      <c r="E91" s="233">
        <f t="shared" ref="E91:F91" si="33">E92+E93+E94</f>
        <v>0</v>
      </c>
      <c r="F91" s="429">
        <f t="shared" si="33"/>
        <v>0</v>
      </c>
      <c r="G91" s="71"/>
      <c r="H91" s="71" t="s">
        <v>388</v>
      </c>
      <c r="I91" s="98"/>
      <c r="J91" s="98"/>
      <c r="K91" s="98"/>
      <c r="L91" s="421"/>
    </row>
    <row r="92" spans="1:12" ht="29.25" customHeight="1" x14ac:dyDescent="0.25">
      <c r="A92" s="85"/>
      <c r="B92" s="88" t="s">
        <v>427</v>
      </c>
      <c r="C92" s="101"/>
      <c r="D92" s="101"/>
      <c r="E92" s="101"/>
      <c r="F92" s="422"/>
      <c r="G92" s="231" t="s">
        <v>199</v>
      </c>
      <c r="H92" s="227" t="s">
        <v>389</v>
      </c>
      <c r="I92" s="228">
        <f>I93+I94</f>
        <v>0</v>
      </c>
      <c r="J92" s="228">
        <f>J93+J94</f>
        <v>0</v>
      </c>
      <c r="K92" s="228">
        <f t="shared" ref="K92:L92" si="34">K93+K94</f>
        <v>0</v>
      </c>
      <c r="L92" s="415">
        <f t="shared" si="34"/>
        <v>0</v>
      </c>
    </row>
    <row r="93" spans="1:12" ht="29.25" customHeight="1" x14ac:dyDescent="0.25">
      <c r="A93" s="85"/>
      <c r="B93" s="83" t="s">
        <v>662</v>
      </c>
      <c r="C93" s="101"/>
      <c r="D93" s="101"/>
      <c r="E93" s="101"/>
      <c r="F93" s="422"/>
      <c r="G93" s="71"/>
      <c r="H93" s="71" t="s">
        <v>391</v>
      </c>
      <c r="I93" s="98"/>
      <c r="J93" s="98"/>
      <c r="K93" s="98"/>
      <c r="L93" s="421"/>
    </row>
    <row r="94" spans="1:12" ht="21" customHeight="1" x14ac:dyDescent="0.25">
      <c r="A94" s="85"/>
      <c r="B94" s="88"/>
      <c r="C94" s="101"/>
      <c r="D94" s="101"/>
      <c r="E94" s="101"/>
      <c r="F94" s="422"/>
      <c r="G94" s="71"/>
      <c r="H94" s="71" t="s">
        <v>390</v>
      </c>
      <c r="I94" s="98"/>
      <c r="J94" s="98"/>
      <c r="K94" s="98"/>
      <c r="L94" s="421"/>
    </row>
    <row r="95" spans="1:12" ht="20.25" customHeight="1" x14ac:dyDescent="0.25">
      <c r="A95" s="306"/>
      <c r="B95" s="310" t="s">
        <v>430</v>
      </c>
      <c r="C95" s="308">
        <f>C105+C116</f>
        <v>28532530</v>
      </c>
      <c r="D95" s="308">
        <f>D105+D116</f>
        <v>28532530</v>
      </c>
      <c r="E95" s="308">
        <f t="shared" ref="E95" si="35">E105+E116</f>
        <v>22044783</v>
      </c>
      <c r="F95" s="414">
        <f>+E95/D95</f>
        <v>0.77261928752900633</v>
      </c>
      <c r="G95" s="306"/>
      <c r="H95" s="307" t="s">
        <v>395</v>
      </c>
      <c r="I95" s="308">
        <f>I104+I115</f>
        <v>0</v>
      </c>
      <c r="J95" s="308">
        <f>J104+J115</f>
        <v>0</v>
      </c>
      <c r="K95" s="308">
        <f t="shared" ref="K95:L95" si="36">K104+K115</f>
        <v>0</v>
      </c>
      <c r="L95" s="414">
        <f t="shared" si="36"/>
        <v>0</v>
      </c>
    </row>
    <row r="96" spans="1:12" ht="21" customHeight="1" x14ac:dyDescent="0.25">
      <c r="A96" s="75"/>
      <c r="B96" s="93" t="s">
        <v>431</v>
      </c>
      <c r="C96" s="101"/>
      <c r="D96" s="101"/>
      <c r="E96" s="101"/>
      <c r="F96" s="422"/>
      <c r="G96" s="75"/>
      <c r="H96" s="93" t="s">
        <v>392</v>
      </c>
      <c r="I96" s="101"/>
      <c r="J96" s="101"/>
      <c r="K96" s="101"/>
      <c r="L96" s="422"/>
    </row>
    <row r="97" spans="1:12" ht="20.25" customHeight="1" x14ac:dyDescent="0.25">
      <c r="A97" s="75"/>
      <c r="B97" s="93" t="s">
        <v>432</v>
      </c>
      <c r="C97" s="101"/>
      <c r="D97" s="101"/>
      <c r="E97" s="101"/>
      <c r="F97" s="422"/>
      <c r="G97" s="75"/>
      <c r="H97" s="93" t="s">
        <v>393</v>
      </c>
      <c r="I97" s="101"/>
      <c r="J97" s="101"/>
      <c r="K97" s="101"/>
      <c r="L97" s="422"/>
    </row>
    <row r="98" spans="1:12" ht="20.25" customHeight="1" x14ac:dyDescent="0.25">
      <c r="A98" s="75"/>
      <c r="B98" s="93" t="s">
        <v>433</v>
      </c>
      <c r="C98" s="101"/>
      <c r="D98" s="101"/>
      <c r="E98" s="101"/>
      <c r="F98" s="422"/>
      <c r="G98" s="75"/>
      <c r="H98" s="93" t="s">
        <v>394</v>
      </c>
      <c r="I98" s="101"/>
      <c r="J98" s="101"/>
      <c r="K98" s="101"/>
      <c r="L98" s="422"/>
    </row>
    <row r="99" spans="1:12" ht="20.25" customHeight="1" x14ac:dyDescent="0.25">
      <c r="A99" s="75"/>
      <c r="B99" s="94" t="s">
        <v>434</v>
      </c>
      <c r="C99" s="101">
        <f>C96+C97+C98</f>
        <v>0</v>
      </c>
      <c r="D99" s="101">
        <f>D96+D97+D98</f>
        <v>0</v>
      </c>
      <c r="E99" s="101">
        <f t="shared" ref="E99:F99" si="37">E96+E97+E98</f>
        <v>0</v>
      </c>
      <c r="F99" s="422">
        <f t="shared" si="37"/>
        <v>0</v>
      </c>
      <c r="G99" s="75"/>
      <c r="H99" s="94" t="s">
        <v>396</v>
      </c>
      <c r="I99" s="101">
        <f>I96+I97+I98</f>
        <v>0</v>
      </c>
      <c r="J99" s="101">
        <f>J96+J97+J98</f>
        <v>0</v>
      </c>
      <c r="K99" s="101">
        <f t="shared" ref="K99:L99" si="38">K96+K97+K98</f>
        <v>0</v>
      </c>
      <c r="L99" s="422">
        <f t="shared" si="38"/>
        <v>0</v>
      </c>
    </row>
    <row r="100" spans="1:12" ht="20.25" customHeight="1" x14ac:dyDescent="0.25">
      <c r="A100" s="75"/>
      <c r="B100" s="69" t="s">
        <v>435</v>
      </c>
      <c r="C100" s="101"/>
      <c r="D100" s="101"/>
      <c r="E100" s="101"/>
      <c r="F100" s="422"/>
      <c r="G100" s="75"/>
      <c r="H100" s="93" t="s">
        <v>397</v>
      </c>
      <c r="I100" s="101"/>
      <c r="J100" s="101"/>
      <c r="K100" s="101"/>
      <c r="L100" s="422"/>
    </row>
    <row r="101" spans="1:12" ht="20.25" customHeight="1" x14ac:dyDescent="0.25">
      <c r="A101" s="75"/>
      <c r="B101" s="69" t="s">
        <v>436</v>
      </c>
      <c r="C101" s="101"/>
      <c r="D101" s="101"/>
      <c r="E101" s="101"/>
      <c r="F101" s="422"/>
      <c r="G101" s="75"/>
      <c r="H101" s="93" t="s">
        <v>1754</v>
      </c>
      <c r="I101" s="101"/>
      <c r="J101" s="101"/>
      <c r="K101" s="101"/>
      <c r="L101" s="422"/>
    </row>
    <row r="102" spans="1:12" ht="20.25" customHeight="1" x14ac:dyDescent="0.25">
      <c r="A102" s="75"/>
      <c r="B102" s="70" t="s">
        <v>437</v>
      </c>
      <c r="C102" s="101">
        <f>C100+C101</f>
        <v>0</v>
      </c>
      <c r="D102" s="101">
        <f>D100+D101</f>
        <v>0</v>
      </c>
      <c r="E102" s="101">
        <f t="shared" ref="E102:F102" si="39">E100+E101</f>
        <v>0</v>
      </c>
      <c r="F102" s="422">
        <f t="shared" si="39"/>
        <v>0</v>
      </c>
      <c r="G102" s="75"/>
      <c r="H102" s="94" t="s">
        <v>398</v>
      </c>
      <c r="I102" s="101">
        <f>I100+I101</f>
        <v>0</v>
      </c>
      <c r="J102" s="101">
        <f>J100+J101</f>
        <v>0</v>
      </c>
      <c r="K102" s="101">
        <f t="shared" ref="K102:L102" si="40">K100+K101</f>
        <v>0</v>
      </c>
      <c r="L102" s="422">
        <f t="shared" si="40"/>
        <v>0</v>
      </c>
    </row>
    <row r="103" spans="1:12" ht="20.25" customHeight="1" x14ac:dyDescent="0.25">
      <c r="A103" s="75"/>
      <c r="B103" s="70" t="s">
        <v>438</v>
      </c>
      <c r="C103" s="101"/>
      <c r="D103" s="101">
        <v>63238</v>
      </c>
      <c r="E103" s="101">
        <v>63238</v>
      </c>
      <c r="F103" s="422">
        <f>+E103/D103</f>
        <v>1</v>
      </c>
      <c r="G103" s="75"/>
      <c r="H103" s="94" t="s">
        <v>399</v>
      </c>
      <c r="I103" s="101"/>
      <c r="J103" s="101"/>
      <c r="K103" s="101"/>
      <c r="L103" s="422"/>
    </row>
    <row r="104" spans="1:12" ht="20.25" customHeight="1" x14ac:dyDescent="0.25">
      <c r="A104" s="75"/>
      <c r="B104" s="70" t="s">
        <v>439</v>
      </c>
      <c r="C104" s="101">
        <v>28532530</v>
      </c>
      <c r="D104" s="101">
        <v>28469292</v>
      </c>
      <c r="E104" s="101">
        <v>21981545</v>
      </c>
      <c r="F104" s="422">
        <f t="shared" ref="F104:F105" si="41">+E104/D104</f>
        <v>0.7721142134479495</v>
      </c>
      <c r="G104" s="75"/>
      <c r="H104" s="75" t="s">
        <v>400</v>
      </c>
      <c r="I104" s="109">
        <f>I99+I102+I103</f>
        <v>0</v>
      </c>
      <c r="J104" s="109">
        <f>J99+J102+J103</f>
        <v>0</v>
      </c>
      <c r="K104" s="109">
        <f t="shared" ref="K104:L104" si="42">K99+K102+K103</f>
        <v>0</v>
      </c>
      <c r="L104" s="423">
        <f t="shared" si="42"/>
        <v>0</v>
      </c>
    </row>
    <row r="105" spans="1:12" ht="20.25" customHeight="1" x14ac:dyDescent="0.25">
      <c r="A105" s="75"/>
      <c r="B105" s="80" t="s">
        <v>440</v>
      </c>
      <c r="C105" s="109">
        <f>C99+C102+C103+C104</f>
        <v>28532530</v>
      </c>
      <c r="D105" s="109">
        <f>D99+D102+D103+D104</f>
        <v>28532530</v>
      </c>
      <c r="E105" s="109">
        <f t="shared" ref="E105" si="43">E99+E102+E103+E104</f>
        <v>22044783</v>
      </c>
      <c r="F105" s="423">
        <f t="shared" si="41"/>
        <v>0.77261928752900633</v>
      </c>
      <c r="G105" s="75"/>
      <c r="H105" s="94"/>
      <c r="I105" s="101"/>
      <c r="J105" s="101"/>
      <c r="K105" s="101"/>
      <c r="L105" s="422"/>
    </row>
    <row r="106" spans="1:12" ht="20.25" customHeight="1" x14ac:dyDescent="0.25">
      <c r="A106" s="89"/>
      <c r="B106" s="79"/>
      <c r="C106" s="102"/>
      <c r="D106" s="102"/>
      <c r="E106" s="102"/>
      <c r="F106" s="424"/>
      <c r="G106" s="89"/>
      <c r="H106" s="89"/>
      <c r="I106" s="102"/>
      <c r="J106" s="102"/>
      <c r="K106" s="102"/>
      <c r="L106" s="424"/>
    </row>
    <row r="107" spans="1:12" ht="20.25" customHeight="1" x14ac:dyDescent="0.25">
      <c r="A107" s="75"/>
      <c r="B107" s="93" t="s">
        <v>431</v>
      </c>
      <c r="C107" s="101"/>
      <c r="D107" s="101"/>
      <c r="E107" s="101"/>
      <c r="F107" s="422"/>
      <c r="G107" s="75"/>
      <c r="H107" s="93" t="s">
        <v>392</v>
      </c>
      <c r="I107" s="101"/>
      <c r="J107" s="101"/>
      <c r="K107" s="101"/>
      <c r="L107" s="422"/>
    </row>
    <row r="108" spans="1:12" ht="20.25" customHeight="1" x14ac:dyDescent="0.25">
      <c r="A108" s="75"/>
      <c r="B108" s="93" t="s">
        <v>432</v>
      </c>
      <c r="C108" s="101"/>
      <c r="D108" s="101"/>
      <c r="E108" s="101"/>
      <c r="F108" s="422"/>
      <c r="G108" s="75"/>
      <c r="H108" s="93" t="s">
        <v>393</v>
      </c>
      <c r="I108" s="101"/>
      <c r="J108" s="101"/>
      <c r="K108" s="101"/>
      <c r="L108" s="422"/>
    </row>
    <row r="109" spans="1:12" ht="20.25" customHeight="1" x14ac:dyDescent="0.25">
      <c r="A109" s="75"/>
      <c r="B109" s="93" t="s">
        <v>433</v>
      </c>
      <c r="C109" s="101"/>
      <c r="D109" s="101"/>
      <c r="E109" s="101"/>
      <c r="F109" s="422"/>
      <c r="G109" s="75"/>
      <c r="H109" s="93" t="s">
        <v>394</v>
      </c>
      <c r="I109" s="101"/>
      <c r="J109" s="101"/>
      <c r="K109" s="101"/>
      <c r="L109" s="422"/>
    </row>
    <row r="110" spans="1:12" ht="20.25" customHeight="1" x14ac:dyDescent="0.25">
      <c r="A110" s="75"/>
      <c r="B110" s="94" t="s">
        <v>434</v>
      </c>
      <c r="C110" s="101">
        <f>C107+C108+C109</f>
        <v>0</v>
      </c>
      <c r="D110" s="101">
        <f>D107+D108+D109</f>
        <v>0</v>
      </c>
      <c r="E110" s="101">
        <f t="shared" ref="E110:F110" si="44">E107+E108+E109</f>
        <v>0</v>
      </c>
      <c r="F110" s="422">
        <f t="shared" si="44"/>
        <v>0</v>
      </c>
      <c r="G110" s="75"/>
      <c r="H110" s="94" t="s">
        <v>396</v>
      </c>
      <c r="I110" s="101">
        <f>I107+I108+I109</f>
        <v>0</v>
      </c>
      <c r="J110" s="101">
        <f>J107+J108+J109</f>
        <v>0</v>
      </c>
      <c r="K110" s="101">
        <f t="shared" ref="K110:L110" si="45">K107+K108+K109</f>
        <v>0</v>
      </c>
      <c r="L110" s="422">
        <f t="shared" si="45"/>
        <v>0</v>
      </c>
    </row>
    <row r="111" spans="1:12" ht="20.25" customHeight="1" x14ac:dyDescent="0.25">
      <c r="A111" s="75"/>
      <c r="B111" s="69" t="s">
        <v>435</v>
      </c>
      <c r="C111" s="101"/>
      <c r="D111" s="101"/>
      <c r="E111" s="101"/>
      <c r="F111" s="422"/>
      <c r="G111" s="75"/>
      <c r="H111" s="93" t="s">
        <v>397</v>
      </c>
      <c r="I111" s="101"/>
      <c r="J111" s="101"/>
      <c r="K111" s="101"/>
      <c r="L111" s="422"/>
    </row>
    <row r="112" spans="1:12" ht="20.25" customHeight="1" x14ac:dyDescent="0.25">
      <c r="A112" s="75"/>
      <c r="B112" s="69" t="s">
        <v>436</v>
      </c>
      <c r="C112" s="101"/>
      <c r="D112" s="101"/>
      <c r="E112" s="101"/>
      <c r="F112" s="422"/>
      <c r="G112" s="75"/>
      <c r="H112" s="93" t="s">
        <v>1754</v>
      </c>
      <c r="I112" s="101"/>
      <c r="J112" s="101"/>
      <c r="K112" s="101"/>
      <c r="L112" s="422"/>
    </row>
    <row r="113" spans="1:13" ht="20.25" customHeight="1" x14ac:dyDescent="0.25">
      <c r="A113" s="75"/>
      <c r="B113" s="70" t="s">
        <v>437</v>
      </c>
      <c r="C113" s="101">
        <f>C111+C112</f>
        <v>0</v>
      </c>
      <c r="D113" s="101">
        <f>D111+D112</f>
        <v>0</v>
      </c>
      <c r="E113" s="101">
        <f t="shared" ref="E113:F113" si="46">E111+E112</f>
        <v>0</v>
      </c>
      <c r="F113" s="422">
        <f t="shared" si="46"/>
        <v>0</v>
      </c>
      <c r="G113" s="75"/>
      <c r="H113" s="94" t="s">
        <v>398</v>
      </c>
      <c r="I113" s="101">
        <f>I111+I112</f>
        <v>0</v>
      </c>
      <c r="J113" s="101">
        <f>J111+J112</f>
        <v>0</v>
      </c>
      <c r="K113" s="101">
        <f t="shared" ref="K113:L113" si="47">K111+K112</f>
        <v>0</v>
      </c>
      <c r="L113" s="422">
        <f t="shared" si="47"/>
        <v>0</v>
      </c>
    </row>
    <row r="114" spans="1:13" ht="20.25" customHeight="1" x14ac:dyDescent="0.25">
      <c r="A114" s="75"/>
      <c r="B114" s="70" t="s">
        <v>441</v>
      </c>
      <c r="C114" s="101"/>
      <c r="D114" s="101"/>
      <c r="E114" s="101"/>
      <c r="F114" s="422"/>
      <c r="G114" s="75"/>
      <c r="H114" s="94" t="s">
        <v>399</v>
      </c>
      <c r="I114" s="101"/>
      <c r="J114" s="101"/>
      <c r="K114" s="101"/>
      <c r="L114" s="422"/>
    </row>
    <row r="115" spans="1:13" ht="20.25" customHeight="1" x14ac:dyDescent="0.25">
      <c r="A115" s="75"/>
      <c r="B115" s="70" t="s">
        <v>439</v>
      </c>
      <c r="C115" s="101"/>
      <c r="D115" s="101"/>
      <c r="E115" s="101"/>
      <c r="F115" s="422"/>
      <c r="G115" s="75"/>
      <c r="H115" s="75" t="s">
        <v>401</v>
      </c>
      <c r="I115" s="109">
        <f>I110+I113+I114</f>
        <v>0</v>
      </c>
      <c r="J115" s="109">
        <f>J110+J113+J114</f>
        <v>0</v>
      </c>
      <c r="K115" s="109">
        <f t="shared" ref="K115:L115" si="48">K110+K113+K114</f>
        <v>0</v>
      </c>
      <c r="L115" s="423">
        <f t="shared" si="48"/>
        <v>0</v>
      </c>
    </row>
    <row r="116" spans="1:13" ht="20.25" customHeight="1" x14ac:dyDescent="0.25">
      <c r="A116" s="107"/>
      <c r="B116" s="80" t="s">
        <v>442</v>
      </c>
      <c r="C116" s="109">
        <f>C110+C113+C114+C115</f>
        <v>0</v>
      </c>
      <c r="D116" s="109">
        <f>D110+D113+D114+D115</f>
        <v>0</v>
      </c>
      <c r="E116" s="109">
        <f t="shared" ref="E116:F116" si="49">E110+E113+E114+E115</f>
        <v>0</v>
      </c>
      <c r="F116" s="423">
        <f t="shared" si="49"/>
        <v>0</v>
      </c>
      <c r="G116" s="107"/>
      <c r="H116" s="94"/>
      <c r="I116" s="101"/>
      <c r="J116" s="101"/>
      <c r="K116" s="101"/>
      <c r="L116" s="422"/>
    </row>
    <row r="117" spans="1:13" ht="20.25" customHeight="1" x14ac:dyDescent="0.25">
      <c r="A117" s="851" t="s">
        <v>143</v>
      </c>
      <c r="B117" s="852"/>
      <c r="C117" s="238">
        <f>C2+C78+C95</f>
        <v>31929030</v>
      </c>
      <c r="D117" s="238">
        <f>D2+D78+D95</f>
        <v>31929030</v>
      </c>
      <c r="E117" s="238">
        <f>E2+E78+E95</f>
        <v>25195170</v>
      </c>
      <c r="F117" s="425">
        <f>+E117/D117</f>
        <v>0.78909913642851037</v>
      </c>
      <c r="G117" s="851" t="s">
        <v>144</v>
      </c>
      <c r="H117" s="852"/>
      <c r="I117" s="238">
        <f>I2+I78+I95</f>
        <v>31929030.326400001</v>
      </c>
      <c r="J117" s="238">
        <f>J2+J78+J95</f>
        <v>31929030.326400001</v>
      </c>
      <c r="K117" s="238">
        <f t="shared" ref="K117" si="50">K2+K78+K95</f>
        <v>25148217</v>
      </c>
      <c r="L117" s="425">
        <f>+K117/J117</f>
        <v>0.78762858573899763</v>
      </c>
    </row>
    <row r="119" spans="1:13" x14ac:dyDescent="0.25">
      <c r="C119" s="113"/>
      <c r="D119" s="113"/>
      <c r="E119" s="113"/>
      <c r="I119" s="113">
        <f>+C117-I117</f>
        <v>-0.32640000060200691</v>
      </c>
      <c r="J119" s="113">
        <f>+D117-J117</f>
        <v>-0.32640000060200691</v>
      </c>
      <c r="K119" s="113">
        <f>+E117-K117</f>
        <v>46953</v>
      </c>
      <c r="M119" s="113"/>
    </row>
    <row r="121" spans="1:13" x14ac:dyDescent="0.25">
      <c r="C121" s="113"/>
      <c r="D121" s="113"/>
      <c r="E121" s="113"/>
      <c r="I121" s="239"/>
      <c r="J121" s="239"/>
      <c r="K121" s="239"/>
    </row>
    <row r="122" spans="1:13" x14ac:dyDescent="0.25">
      <c r="I122" s="239"/>
      <c r="J122" s="239"/>
      <c r="K122" s="239"/>
    </row>
    <row r="123" spans="1:13" x14ac:dyDescent="0.25">
      <c r="I123" s="239"/>
      <c r="J123" s="239"/>
      <c r="K123" s="239"/>
    </row>
    <row r="124" spans="1:13" x14ac:dyDescent="0.25">
      <c r="I124" s="239"/>
      <c r="J124" s="239"/>
      <c r="K124" s="239"/>
    </row>
    <row r="125" spans="1:13" x14ac:dyDescent="0.25">
      <c r="I125" s="239"/>
      <c r="J125" s="239"/>
      <c r="K125" s="239"/>
    </row>
  </sheetData>
  <mergeCells count="2">
    <mergeCell ref="A117:B117"/>
    <mergeCell ref="G117:H1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&amp;CTaksony Nagyközség Önkormányzat 2018. évi zárszámadás&amp;R7.a.sz. melléklet</oddHeader>
    <oddFooter xml:space="preserve">&amp;LKészült: &amp;D
&amp;C&amp;P&amp;R/:Kreisz László://:Dr.Micheller Anita:/
/:Szelecki N.Andrea:/       </oddFooter>
  </headerFooter>
  <rowBreaks count="1" manualBreakCount="1">
    <brk id="63" max="11" man="1"/>
  </rowBreaks>
  <colBreaks count="1" manualBreakCount="1">
    <brk id="6" max="11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"/>
  <sheetViews>
    <sheetView view="pageBreakPreview" zoomScale="80" zoomScaleNormal="100" zoomScaleSheetLayoutView="80" workbookViewId="0">
      <pane ySplit="1" topLeftCell="A2" activePane="bottomLeft" state="frozen"/>
      <selection activeCell="L86" sqref="L86"/>
      <selection pane="bottomLeft" activeCell="B37" sqref="B37"/>
    </sheetView>
  </sheetViews>
  <sheetFormatPr defaultRowHeight="15" x14ac:dyDescent="0.25"/>
  <cols>
    <col min="1" max="1" width="17" style="21" bestFit="1" customWidth="1"/>
    <col min="2" max="2" width="78.28515625" style="367" customWidth="1"/>
    <col min="3" max="3" width="16.140625" style="216" customWidth="1"/>
    <col min="4" max="4" width="12" style="327" bestFit="1" customWidth="1"/>
    <col min="5" max="5" width="12.5703125" style="21" customWidth="1"/>
    <col min="6" max="6" width="12.28515625" style="327" customWidth="1"/>
    <col min="7" max="7" width="16.42578125" style="321" bestFit="1" customWidth="1"/>
    <col min="8" max="253" width="9.140625" style="321"/>
    <col min="254" max="254" width="26.85546875" style="321" customWidth="1"/>
    <col min="255" max="255" width="15.5703125" style="321" customWidth="1"/>
    <col min="256" max="256" width="45.42578125" style="321" customWidth="1"/>
    <col min="257" max="257" width="22" style="321" customWidth="1"/>
    <col min="258" max="258" width="15.85546875" style="321" customWidth="1"/>
    <col min="259" max="259" width="9.28515625" style="321" customWidth="1"/>
    <col min="260" max="260" width="12.28515625" style="321" customWidth="1"/>
    <col min="261" max="509" width="9.140625" style="321"/>
    <col min="510" max="510" width="26.85546875" style="321" customWidth="1"/>
    <col min="511" max="511" width="15.5703125" style="321" customWidth="1"/>
    <col min="512" max="512" width="45.42578125" style="321" customWidth="1"/>
    <col min="513" max="513" width="22" style="321" customWidth="1"/>
    <col min="514" max="514" width="15.85546875" style="321" customWidth="1"/>
    <col min="515" max="515" width="9.28515625" style="321" customWidth="1"/>
    <col min="516" max="516" width="12.28515625" style="321" customWidth="1"/>
    <col min="517" max="765" width="9.140625" style="321"/>
    <col min="766" max="766" width="26.85546875" style="321" customWidth="1"/>
    <col min="767" max="767" width="15.5703125" style="321" customWidth="1"/>
    <col min="768" max="768" width="45.42578125" style="321" customWidth="1"/>
    <col min="769" max="769" width="22" style="321" customWidth="1"/>
    <col min="770" max="770" width="15.85546875" style="321" customWidth="1"/>
    <col min="771" max="771" width="9.28515625" style="321" customWidth="1"/>
    <col min="772" max="772" width="12.28515625" style="321" customWidth="1"/>
    <col min="773" max="1021" width="9.140625" style="321"/>
    <col min="1022" max="1022" width="26.85546875" style="321" customWidth="1"/>
    <col min="1023" max="1023" width="15.5703125" style="321" customWidth="1"/>
    <col min="1024" max="1024" width="45.42578125" style="321" customWidth="1"/>
    <col min="1025" max="1025" width="22" style="321" customWidth="1"/>
    <col min="1026" max="1026" width="15.85546875" style="321" customWidth="1"/>
    <col min="1027" max="1027" width="9.28515625" style="321" customWidth="1"/>
    <col min="1028" max="1028" width="12.28515625" style="321" customWidth="1"/>
    <col min="1029" max="1277" width="9.140625" style="321"/>
    <col min="1278" max="1278" width="26.85546875" style="321" customWidth="1"/>
    <col min="1279" max="1279" width="15.5703125" style="321" customWidth="1"/>
    <col min="1280" max="1280" width="45.42578125" style="321" customWidth="1"/>
    <col min="1281" max="1281" width="22" style="321" customWidth="1"/>
    <col min="1282" max="1282" width="15.85546875" style="321" customWidth="1"/>
    <col min="1283" max="1283" width="9.28515625" style="321" customWidth="1"/>
    <col min="1284" max="1284" width="12.28515625" style="321" customWidth="1"/>
    <col min="1285" max="1533" width="9.140625" style="321"/>
    <col min="1534" max="1534" width="26.85546875" style="321" customWidth="1"/>
    <col min="1535" max="1535" width="15.5703125" style="321" customWidth="1"/>
    <col min="1536" max="1536" width="45.42578125" style="321" customWidth="1"/>
    <col min="1537" max="1537" width="22" style="321" customWidth="1"/>
    <col min="1538" max="1538" width="15.85546875" style="321" customWidth="1"/>
    <col min="1539" max="1539" width="9.28515625" style="321" customWidth="1"/>
    <col min="1540" max="1540" width="12.28515625" style="321" customWidth="1"/>
    <col min="1541" max="1789" width="9.140625" style="321"/>
    <col min="1790" max="1790" width="26.85546875" style="321" customWidth="1"/>
    <col min="1791" max="1791" width="15.5703125" style="321" customWidth="1"/>
    <col min="1792" max="1792" width="45.42578125" style="321" customWidth="1"/>
    <col min="1793" max="1793" width="22" style="321" customWidth="1"/>
    <col min="1794" max="1794" width="15.85546875" style="321" customWidth="1"/>
    <col min="1795" max="1795" width="9.28515625" style="321" customWidth="1"/>
    <col min="1796" max="1796" width="12.28515625" style="321" customWidth="1"/>
    <col min="1797" max="2045" width="9.140625" style="321"/>
    <col min="2046" max="2046" width="26.85546875" style="321" customWidth="1"/>
    <col min="2047" max="2047" width="15.5703125" style="321" customWidth="1"/>
    <col min="2048" max="2048" width="45.42578125" style="321" customWidth="1"/>
    <col min="2049" max="2049" width="22" style="321" customWidth="1"/>
    <col min="2050" max="2050" width="15.85546875" style="321" customWidth="1"/>
    <col min="2051" max="2051" width="9.28515625" style="321" customWidth="1"/>
    <col min="2052" max="2052" width="12.28515625" style="321" customWidth="1"/>
    <col min="2053" max="2301" width="9.140625" style="321"/>
    <col min="2302" max="2302" width="26.85546875" style="321" customWidth="1"/>
    <col min="2303" max="2303" width="15.5703125" style="321" customWidth="1"/>
    <col min="2304" max="2304" width="45.42578125" style="321" customWidth="1"/>
    <col min="2305" max="2305" width="22" style="321" customWidth="1"/>
    <col min="2306" max="2306" width="15.85546875" style="321" customWidth="1"/>
    <col min="2307" max="2307" width="9.28515625" style="321" customWidth="1"/>
    <col min="2308" max="2308" width="12.28515625" style="321" customWidth="1"/>
    <col min="2309" max="2557" width="9.140625" style="321"/>
    <col min="2558" max="2558" width="26.85546875" style="321" customWidth="1"/>
    <col min="2559" max="2559" width="15.5703125" style="321" customWidth="1"/>
    <col min="2560" max="2560" width="45.42578125" style="321" customWidth="1"/>
    <col min="2561" max="2561" width="22" style="321" customWidth="1"/>
    <col min="2562" max="2562" width="15.85546875" style="321" customWidth="1"/>
    <col min="2563" max="2563" width="9.28515625" style="321" customWidth="1"/>
    <col min="2564" max="2564" width="12.28515625" style="321" customWidth="1"/>
    <col min="2565" max="2813" width="9.140625" style="321"/>
    <col min="2814" max="2814" width="26.85546875" style="321" customWidth="1"/>
    <col min="2815" max="2815" width="15.5703125" style="321" customWidth="1"/>
    <col min="2816" max="2816" width="45.42578125" style="321" customWidth="1"/>
    <col min="2817" max="2817" width="22" style="321" customWidth="1"/>
    <col min="2818" max="2818" width="15.85546875" style="321" customWidth="1"/>
    <col min="2819" max="2819" width="9.28515625" style="321" customWidth="1"/>
    <col min="2820" max="2820" width="12.28515625" style="321" customWidth="1"/>
    <col min="2821" max="3069" width="9.140625" style="321"/>
    <col min="3070" max="3070" width="26.85546875" style="321" customWidth="1"/>
    <col min="3071" max="3071" width="15.5703125" style="321" customWidth="1"/>
    <col min="3072" max="3072" width="45.42578125" style="321" customWidth="1"/>
    <col min="3073" max="3073" width="22" style="321" customWidth="1"/>
    <col min="3074" max="3074" width="15.85546875" style="321" customWidth="1"/>
    <col min="3075" max="3075" width="9.28515625" style="321" customWidth="1"/>
    <col min="3076" max="3076" width="12.28515625" style="321" customWidth="1"/>
    <col min="3077" max="3325" width="9.140625" style="321"/>
    <col min="3326" max="3326" width="26.85546875" style="321" customWidth="1"/>
    <col min="3327" max="3327" width="15.5703125" style="321" customWidth="1"/>
    <col min="3328" max="3328" width="45.42578125" style="321" customWidth="1"/>
    <col min="3329" max="3329" width="22" style="321" customWidth="1"/>
    <col min="3330" max="3330" width="15.85546875" style="321" customWidth="1"/>
    <col min="3331" max="3331" width="9.28515625" style="321" customWidth="1"/>
    <col min="3332" max="3332" width="12.28515625" style="321" customWidth="1"/>
    <col min="3333" max="3581" width="9.140625" style="321"/>
    <col min="3582" max="3582" width="26.85546875" style="321" customWidth="1"/>
    <col min="3583" max="3583" width="15.5703125" style="321" customWidth="1"/>
    <col min="3584" max="3584" width="45.42578125" style="321" customWidth="1"/>
    <col min="3585" max="3585" width="22" style="321" customWidth="1"/>
    <col min="3586" max="3586" width="15.85546875" style="321" customWidth="1"/>
    <col min="3587" max="3587" width="9.28515625" style="321" customWidth="1"/>
    <col min="3588" max="3588" width="12.28515625" style="321" customWidth="1"/>
    <col min="3589" max="3837" width="9.140625" style="321"/>
    <col min="3838" max="3838" width="26.85546875" style="321" customWidth="1"/>
    <col min="3839" max="3839" width="15.5703125" style="321" customWidth="1"/>
    <col min="3840" max="3840" width="45.42578125" style="321" customWidth="1"/>
    <col min="3841" max="3841" width="22" style="321" customWidth="1"/>
    <col min="3842" max="3842" width="15.85546875" style="321" customWidth="1"/>
    <col min="3843" max="3843" width="9.28515625" style="321" customWidth="1"/>
    <col min="3844" max="3844" width="12.28515625" style="321" customWidth="1"/>
    <col min="3845" max="4093" width="9.140625" style="321"/>
    <col min="4094" max="4094" width="26.85546875" style="321" customWidth="1"/>
    <col min="4095" max="4095" width="15.5703125" style="321" customWidth="1"/>
    <col min="4096" max="4096" width="45.42578125" style="321" customWidth="1"/>
    <col min="4097" max="4097" width="22" style="321" customWidth="1"/>
    <col min="4098" max="4098" width="15.85546875" style="321" customWidth="1"/>
    <col min="4099" max="4099" width="9.28515625" style="321" customWidth="1"/>
    <col min="4100" max="4100" width="12.28515625" style="321" customWidth="1"/>
    <col min="4101" max="4349" width="9.140625" style="321"/>
    <col min="4350" max="4350" width="26.85546875" style="321" customWidth="1"/>
    <col min="4351" max="4351" width="15.5703125" style="321" customWidth="1"/>
    <col min="4352" max="4352" width="45.42578125" style="321" customWidth="1"/>
    <col min="4353" max="4353" width="22" style="321" customWidth="1"/>
    <col min="4354" max="4354" width="15.85546875" style="321" customWidth="1"/>
    <col min="4355" max="4355" width="9.28515625" style="321" customWidth="1"/>
    <col min="4356" max="4356" width="12.28515625" style="321" customWidth="1"/>
    <col min="4357" max="4605" width="9.140625" style="321"/>
    <col min="4606" max="4606" width="26.85546875" style="321" customWidth="1"/>
    <col min="4607" max="4607" width="15.5703125" style="321" customWidth="1"/>
    <col min="4608" max="4608" width="45.42578125" style="321" customWidth="1"/>
    <col min="4609" max="4609" width="22" style="321" customWidth="1"/>
    <col min="4610" max="4610" width="15.85546875" style="321" customWidth="1"/>
    <col min="4611" max="4611" width="9.28515625" style="321" customWidth="1"/>
    <col min="4612" max="4612" width="12.28515625" style="321" customWidth="1"/>
    <col min="4613" max="4861" width="9.140625" style="321"/>
    <col min="4862" max="4862" width="26.85546875" style="321" customWidth="1"/>
    <col min="4863" max="4863" width="15.5703125" style="321" customWidth="1"/>
    <col min="4864" max="4864" width="45.42578125" style="321" customWidth="1"/>
    <col min="4865" max="4865" width="22" style="321" customWidth="1"/>
    <col min="4866" max="4866" width="15.85546875" style="321" customWidth="1"/>
    <col min="4867" max="4867" width="9.28515625" style="321" customWidth="1"/>
    <col min="4868" max="4868" width="12.28515625" style="321" customWidth="1"/>
    <col min="4869" max="5117" width="9.140625" style="321"/>
    <col min="5118" max="5118" width="26.85546875" style="321" customWidth="1"/>
    <col min="5119" max="5119" width="15.5703125" style="321" customWidth="1"/>
    <col min="5120" max="5120" width="45.42578125" style="321" customWidth="1"/>
    <col min="5121" max="5121" width="22" style="321" customWidth="1"/>
    <col min="5122" max="5122" width="15.85546875" style="321" customWidth="1"/>
    <col min="5123" max="5123" width="9.28515625" style="321" customWidth="1"/>
    <col min="5124" max="5124" width="12.28515625" style="321" customWidth="1"/>
    <col min="5125" max="5373" width="9.140625" style="321"/>
    <col min="5374" max="5374" width="26.85546875" style="321" customWidth="1"/>
    <col min="5375" max="5375" width="15.5703125" style="321" customWidth="1"/>
    <col min="5376" max="5376" width="45.42578125" style="321" customWidth="1"/>
    <col min="5377" max="5377" width="22" style="321" customWidth="1"/>
    <col min="5378" max="5378" width="15.85546875" style="321" customWidth="1"/>
    <col min="5379" max="5379" width="9.28515625" style="321" customWidth="1"/>
    <col min="5380" max="5380" width="12.28515625" style="321" customWidth="1"/>
    <col min="5381" max="5629" width="9.140625" style="321"/>
    <col min="5630" max="5630" width="26.85546875" style="321" customWidth="1"/>
    <col min="5631" max="5631" width="15.5703125" style="321" customWidth="1"/>
    <col min="5632" max="5632" width="45.42578125" style="321" customWidth="1"/>
    <col min="5633" max="5633" width="22" style="321" customWidth="1"/>
    <col min="5634" max="5634" width="15.85546875" style="321" customWidth="1"/>
    <col min="5635" max="5635" width="9.28515625" style="321" customWidth="1"/>
    <col min="5636" max="5636" width="12.28515625" style="321" customWidth="1"/>
    <col min="5637" max="5885" width="9.140625" style="321"/>
    <col min="5886" max="5886" width="26.85546875" style="321" customWidth="1"/>
    <col min="5887" max="5887" width="15.5703125" style="321" customWidth="1"/>
    <col min="5888" max="5888" width="45.42578125" style="321" customWidth="1"/>
    <col min="5889" max="5889" width="22" style="321" customWidth="1"/>
    <col min="5890" max="5890" width="15.85546875" style="321" customWidth="1"/>
    <col min="5891" max="5891" width="9.28515625" style="321" customWidth="1"/>
    <col min="5892" max="5892" width="12.28515625" style="321" customWidth="1"/>
    <col min="5893" max="6141" width="9.140625" style="321"/>
    <col min="6142" max="6142" width="26.85546875" style="321" customWidth="1"/>
    <col min="6143" max="6143" width="15.5703125" style="321" customWidth="1"/>
    <col min="6144" max="6144" width="45.42578125" style="321" customWidth="1"/>
    <col min="6145" max="6145" width="22" style="321" customWidth="1"/>
    <col min="6146" max="6146" width="15.85546875" style="321" customWidth="1"/>
    <col min="6147" max="6147" width="9.28515625" style="321" customWidth="1"/>
    <col min="6148" max="6148" width="12.28515625" style="321" customWidth="1"/>
    <col min="6149" max="6397" width="9.140625" style="321"/>
    <col min="6398" max="6398" width="26.85546875" style="321" customWidth="1"/>
    <col min="6399" max="6399" width="15.5703125" style="321" customWidth="1"/>
    <col min="6400" max="6400" width="45.42578125" style="321" customWidth="1"/>
    <col min="6401" max="6401" width="22" style="321" customWidth="1"/>
    <col min="6402" max="6402" width="15.85546875" style="321" customWidth="1"/>
    <col min="6403" max="6403" width="9.28515625" style="321" customWidth="1"/>
    <col min="6404" max="6404" width="12.28515625" style="321" customWidth="1"/>
    <col min="6405" max="6653" width="9.140625" style="321"/>
    <col min="6654" max="6654" width="26.85546875" style="321" customWidth="1"/>
    <col min="6655" max="6655" width="15.5703125" style="321" customWidth="1"/>
    <col min="6656" max="6656" width="45.42578125" style="321" customWidth="1"/>
    <col min="6657" max="6657" width="22" style="321" customWidth="1"/>
    <col min="6658" max="6658" width="15.85546875" style="321" customWidth="1"/>
    <col min="6659" max="6659" width="9.28515625" style="321" customWidth="1"/>
    <col min="6660" max="6660" width="12.28515625" style="321" customWidth="1"/>
    <col min="6661" max="6909" width="9.140625" style="321"/>
    <col min="6910" max="6910" width="26.85546875" style="321" customWidth="1"/>
    <col min="6911" max="6911" width="15.5703125" style="321" customWidth="1"/>
    <col min="6912" max="6912" width="45.42578125" style="321" customWidth="1"/>
    <col min="6913" max="6913" width="22" style="321" customWidth="1"/>
    <col min="6914" max="6914" width="15.85546875" style="321" customWidth="1"/>
    <col min="6915" max="6915" width="9.28515625" style="321" customWidth="1"/>
    <col min="6916" max="6916" width="12.28515625" style="321" customWidth="1"/>
    <col min="6917" max="7165" width="9.140625" style="321"/>
    <col min="7166" max="7166" width="26.85546875" style="321" customWidth="1"/>
    <col min="7167" max="7167" width="15.5703125" style="321" customWidth="1"/>
    <col min="7168" max="7168" width="45.42578125" style="321" customWidth="1"/>
    <col min="7169" max="7169" width="22" style="321" customWidth="1"/>
    <col min="7170" max="7170" width="15.85546875" style="321" customWidth="1"/>
    <col min="7171" max="7171" width="9.28515625" style="321" customWidth="1"/>
    <col min="7172" max="7172" width="12.28515625" style="321" customWidth="1"/>
    <col min="7173" max="7421" width="9.140625" style="321"/>
    <col min="7422" max="7422" width="26.85546875" style="321" customWidth="1"/>
    <col min="7423" max="7423" width="15.5703125" style="321" customWidth="1"/>
    <col min="7424" max="7424" width="45.42578125" style="321" customWidth="1"/>
    <col min="7425" max="7425" width="22" style="321" customWidth="1"/>
    <col min="7426" max="7426" width="15.85546875" style="321" customWidth="1"/>
    <col min="7427" max="7427" width="9.28515625" style="321" customWidth="1"/>
    <col min="7428" max="7428" width="12.28515625" style="321" customWidth="1"/>
    <col min="7429" max="7677" width="9.140625" style="321"/>
    <col min="7678" max="7678" width="26.85546875" style="321" customWidth="1"/>
    <col min="7679" max="7679" width="15.5703125" style="321" customWidth="1"/>
    <col min="7680" max="7680" width="45.42578125" style="321" customWidth="1"/>
    <col min="7681" max="7681" width="22" style="321" customWidth="1"/>
    <col min="7682" max="7682" width="15.85546875" style="321" customWidth="1"/>
    <col min="7683" max="7683" width="9.28515625" style="321" customWidth="1"/>
    <col min="7684" max="7684" width="12.28515625" style="321" customWidth="1"/>
    <col min="7685" max="7933" width="9.140625" style="321"/>
    <col min="7934" max="7934" width="26.85546875" style="321" customWidth="1"/>
    <col min="7935" max="7935" width="15.5703125" style="321" customWidth="1"/>
    <col min="7936" max="7936" width="45.42578125" style="321" customWidth="1"/>
    <col min="7937" max="7937" width="22" style="321" customWidth="1"/>
    <col min="7938" max="7938" width="15.85546875" style="321" customWidth="1"/>
    <col min="7939" max="7939" width="9.28515625" style="321" customWidth="1"/>
    <col min="7940" max="7940" width="12.28515625" style="321" customWidth="1"/>
    <col min="7941" max="8189" width="9.140625" style="321"/>
    <col min="8190" max="8190" width="26.85546875" style="321" customWidth="1"/>
    <col min="8191" max="8191" width="15.5703125" style="321" customWidth="1"/>
    <col min="8192" max="8192" width="45.42578125" style="321" customWidth="1"/>
    <col min="8193" max="8193" width="22" style="321" customWidth="1"/>
    <col min="8194" max="8194" width="15.85546875" style="321" customWidth="1"/>
    <col min="8195" max="8195" width="9.28515625" style="321" customWidth="1"/>
    <col min="8196" max="8196" width="12.28515625" style="321" customWidth="1"/>
    <col min="8197" max="8445" width="9.140625" style="321"/>
    <col min="8446" max="8446" width="26.85546875" style="321" customWidth="1"/>
    <col min="8447" max="8447" width="15.5703125" style="321" customWidth="1"/>
    <col min="8448" max="8448" width="45.42578125" style="321" customWidth="1"/>
    <col min="8449" max="8449" width="22" style="321" customWidth="1"/>
    <col min="8450" max="8450" width="15.85546875" style="321" customWidth="1"/>
    <col min="8451" max="8451" width="9.28515625" style="321" customWidth="1"/>
    <col min="8452" max="8452" width="12.28515625" style="321" customWidth="1"/>
    <col min="8453" max="8701" width="9.140625" style="321"/>
    <col min="8702" max="8702" width="26.85546875" style="321" customWidth="1"/>
    <col min="8703" max="8703" width="15.5703125" style="321" customWidth="1"/>
    <col min="8704" max="8704" width="45.42578125" style="321" customWidth="1"/>
    <col min="8705" max="8705" width="22" style="321" customWidth="1"/>
    <col min="8706" max="8706" width="15.85546875" style="321" customWidth="1"/>
    <col min="8707" max="8707" width="9.28515625" style="321" customWidth="1"/>
    <col min="8708" max="8708" width="12.28515625" style="321" customWidth="1"/>
    <col min="8709" max="8957" width="9.140625" style="321"/>
    <col min="8958" max="8958" width="26.85546875" style="321" customWidth="1"/>
    <col min="8959" max="8959" width="15.5703125" style="321" customWidth="1"/>
    <col min="8960" max="8960" width="45.42578125" style="321" customWidth="1"/>
    <col min="8961" max="8961" width="22" style="321" customWidth="1"/>
    <col min="8962" max="8962" width="15.85546875" style="321" customWidth="1"/>
    <col min="8963" max="8963" width="9.28515625" style="321" customWidth="1"/>
    <col min="8964" max="8964" width="12.28515625" style="321" customWidth="1"/>
    <col min="8965" max="9213" width="9.140625" style="321"/>
    <col min="9214" max="9214" width="26.85546875" style="321" customWidth="1"/>
    <col min="9215" max="9215" width="15.5703125" style="321" customWidth="1"/>
    <col min="9216" max="9216" width="45.42578125" style="321" customWidth="1"/>
    <col min="9217" max="9217" width="22" style="321" customWidth="1"/>
    <col min="9218" max="9218" width="15.85546875" style="321" customWidth="1"/>
    <col min="9219" max="9219" width="9.28515625" style="321" customWidth="1"/>
    <col min="9220" max="9220" width="12.28515625" style="321" customWidth="1"/>
    <col min="9221" max="9469" width="9.140625" style="321"/>
    <col min="9470" max="9470" width="26.85546875" style="321" customWidth="1"/>
    <col min="9471" max="9471" width="15.5703125" style="321" customWidth="1"/>
    <col min="9472" max="9472" width="45.42578125" style="321" customWidth="1"/>
    <col min="9473" max="9473" width="22" style="321" customWidth="1"/>
    <col min="9474" max="9474" width="15.85546875" style="321" customWidth="1"/>
    <col min="9475" max="9475" width="9.28515625" style="321" customWidth="1"/>
    <col min="9476" max="9476" width="12.28515625" style="321" customWidth="1"/>
    <col min="9477" max="9725" width="9.140625" style="321"/>
    <col min="9726" max="9726" width="26.85546875" style="321" customWidth="1"/>
    <col min="9727" max="9727" width="15.5703125" style="321" customWidth="1"/>
    <col min="9728" max="9728" width="45.42578125" style="321" customWidth="1"/>
    <col min="9729" max="9729" width="22" style="321" customWidth="1"/>
    <col min="9730" max="9730" width="15.85546875" style="321" customWidth="1"/>
    <col min="9731" max="9731" width="9.28515625" style="321" customWidth="1"/>
    <col min="9732" max="9732" width="12.28515625" style="321" customWidth="1"/>
    <col min="9733" max="9981" width="9.140625" style="321"/>
    <col min="9982" max="9982" width="26.85546875" style="321" customWidth="1"/>
    <col min="9983" max="9983" width="15.5703125" style="321" customWidth="1"/>
    <col min="9984" max="9984" width="45.42578125" style="321" customWidth="1"/>
    <col min="9985" max="9985" width="22" style="321" customWidth="1"/>
    <col min="9986" max="9986" width="15.85546875" style="321" customWidth="1"/>
    <col min="9987" max="9987" width="9.28515625" style="321" customWidth="1"/>
    <col min="9988" max="9988" width="12.28515625" style="321" customWidth="1"/>
    <col min="9989" max="10237" width="9.140625" style="321"/>
    <col min="10238" max="10238" width="26.85546875" style="321" customWidth="1"/>
    <col min="10239" max="10239" width="15.5703125" style="321" customWidth="1"/>
    <col min="10240" max="10240" width="45.42578125" style="321" customWidth="1"/>
    <col min="10241" max="10241" width="22" style="321" customWidth="1"/>
    <col min="10242" max="10242" width="15.85546875" style="321" customWidth="1"/>
    <col min="10243" max="10243" width="9.28515625" style="321" customWidth="1"/>
    <col min="10244" max="10244" width="12.28515625" style="321" customWidth="1"/>
    <col min="10245" max="10493" width="9.140625" style="321"/>
    <col min="10494" max="10494" width="26.85546875" style="321" customWidth="1"/>
    <col min="10495" max="10495" width="15.5703125" style="321" customWidth="1"/>
    <col min="10496" max="10496" width="45.42578125" style="321" customWidth="1"/>
    <col min="10497" max="10497" width="22" style="321" customWidth="1"/>
    <col min="10498" max="10498" width="15.85546875" style="321" customWidth="1"/>
    <col min="10499" max="10499" width="9.28515625" style="321" customWidth="1"/>
    <col min="10500" max="10500" width="12.28515625" style="321" customWidth="1"/>
    <col min="10501" max="10749" width="9.140625" style="321"/>
    <col min="10750" max="10750" width="26.85546875" style="321" customWidth="1"/>
    <col min="10751" max="10751" width="15.5703125" style="321" customWidth="1"/>
    <col min="10752" max="10752" width="45.42578125" style="321" customWidth="1"/>
    <col min="10753" max="10753" width="22" style="321" customWidth="1"/>
    <col min="10754" max="10754" width="15.85546875" style="321" customWidth="1"/>
    <col min="10755" max="10755" width="9.28515625" style="321" customWidth="1"/>
    <col min="10756" max="10756" width="12.28515625" style="321" customWidth="1"/>
    <col min="10757" max="11005" width="9.140625" style="321"/>
    <col min="11006" max="11006" width="26.85546875" style="321" customWidth="1"/>
    <col min="11007" max="11007" width="15.5703125" style="321" customWidth="1"/>
    <col min="11008" max="11008" width="45.42578125" style="321" customWidth="1"/>
    <col min="11009" max="11009" width="22" style="321" customWidth="1"/>
    <col min="11010" max="11010" width="15.85546875" style="321" customWidth="1"/>
    <col min="11011" max="11011" width="9.28515625" style="321" customWidth="1"/>
    <col min="11012" max="11012" width="12.28515625" style="321" customWidth="1"/>
    <col min="11013" max="11261" width="9.140625" style="321"/>
    <col min="11262" max="11262" width="26.85546875" style="321" customWidth="1"/>
    <col min="11263" max="11263" width="15.5703125" style="321" customWidth="1"/>
    <col min="11264" max="11264" width="45.42578125" style="321" customWidth="1"/>
    <col min="11265" max="11265" width="22" style="321" customWidth="1"/>
    <col min="11266" max="11266" width="15.85546875" style="321" customWidth="1"/>
    <col min="11267" max="11267" width="9.28515625" style="321" customWidth="1"/>
    <col min="11268" max="11268" width="12.28515625" style="321" customWidth="1"/>
    <col min="11269" max="11517" width="9.140625" style="321"/>
    <col min="11518" max="11518" width="26.85546875" style="321" customWidth="1"/>
    <col min="11519" max="11519" width="15.5703125" style="321" customWidth="1"/>
    <col min="11520" max="11520" width="45.42578125" style="321" customWidth="1"/>
    <col min="11521" max="11521" width="22" style="321" customWidth="1"/>
    <col min="11522" max="11522" width="15.85546875" style="321" customWidth="1"/>
    <col min="11523" max="11523" width="9.28515625" style="321" customWidth="1"/>
    <col min="11524" max="11524" width="12.28515625" style="321" customWidth="1"/>
    <col min="11525" max="11773" width="9.140625" style="321"/>
    <col min="11774" max="11774" width="26.85546875" style="321" customWidth="1"/>
    <col min="11775" max="11775" width="15.5703125" style="321" customWidth="1"/>
    <col min="11776" max="11776" width="45.42578125" style="321" customWidth="1"/>
    <col min="11777" max="11777" width="22" style="321" customWidth="1"/>
    <col min="11778" max="11778" width="15.85546875" style="321" customWidth="1"/>
    <col min="11779" max="11779" width="9.28515625" style="321" customWidth="1"/>
    <col min="11780" max="11780" width="12.28515625" style="321" customWidth="1"/>
    <col min="11781" max="12029" width="9.140625" style="321"/>
    <col min="12030" max="12030" width="26.85546875" style="321" customWidth="1"/>
    <col min="12031" max="12031" width="15.5703125" style="321" customWidth="1"/>
    <col min="12032" max="12032" width="45.42578125" style="321" customWidth="1"/>
    <col min="12033" max="12033" width="22" style="321" customWidth="1"/>
    <col min="12034" max="12034" width="15.85546875" style="321" customWidth="1"/>
    <col min="12035" max="12035" width="9.28515625" style="321" customWidth="1"/>
    <col min="12036" max="12036" width="12.28515625" style="321" customWidth="1"/>
    <col min="12037" max="12285" width="9.140625" style="321"/>
    <col min="12286" max="12286" width="26.85546875" style="321" customWidth="1"/>
    <col min="12287" max="12287" width="15.5703125" style="321" customWidth="1"/>
    <col min="12288" max="12288" width="45.42578125" style="321" customWidth="1"/>
    <col min="12289" max="12289" width="22" style="321" customWidth="1"/>
    <col min="12290" max="12290" width="15.85546875" style="321" customWidth="1"/>
    <col min="12291" max="12291" width="9.28515625" style="321" customWidth="1"/>
    <col min="12292" max="12292" width="12.28515625" style="321" customWidth="1"/>
    <col min="12293" max="12541" width="9.140625" style="321"/>
    <col min="12542" max="12542" width="26.85546875" style="321" customWidth="1"/>
    <col min="12543" max="12543" width="15.5703125" style="321" customWidth="1"/>
    <col min="12544" max="12544" width="45.42578125" style="321" customWidth="1"/>
    <col min="12545" max="12545" width="22" style="321" customWidth="1"/>
    <col min="12546" max="12546" width="15.85546875" style="321" customWidth="1"/>
    <col min="12547" max="12547" width="9.28515625" style="321" customWidth="1"/>
    <col min="12548" max="12548" width="12.28515625" style="321" customWidth="1"/>
    <col min="12549" max="12797" width="9.140625" style="321"/>
    <col min="12798" max="12798" width="26.85546875" style="321" customWidth="1"/>
    <col min="12799" max="12799" width="15.5703125" style="321" customWidth="1"/>
    <col min="12800" max="12800" width="45.42578125" style="321" customWidth="1"/>
    <col min="12801" max="12801" width="22" style="321" customWidth="1"/>
    <col min="12802" max="12802" width="15.85546875" style="321" customWidth="1"/>
    <col min="12803" max="12803" width="9.28515625" style="321" customWidth="1"/>
    <col min="12804" max="12804" width="12.28515625" style="321" customWidth="1"/>
    <col min="12805" max="13053" width="9.140625" style="321"/>
    <col min="13054" max="13054" width="26.85546875" style="321" customWidth="1"/>
    <col min="13055" max="13055" width="15.5703125" style="321" customWidth="1"/>
    <col min="13056" max="13056" width="45.42578125" style="321" customWidth="1"/>
    <col min="13057" max="13057" width="22" style="321" customWidth="1"/>
    <col min="13058" max="13058" width="15.85546875" style="321" customWidth="1"/>
    <col min="13059" max="13059" width="9.28515625" style="321" customWidth="1"/>
    <col min="13060" max="13060" width="12.28515625" style="321" customWidth="1"/>
    <col min="13061" max="13309" width="9.140625" style="321"/>
    <col min="13310" max="13310" width="26.85546875" style="321" customWidth="1"/>
    <col min="13311" max="13311" width="15.5703125" style="321" customWidth="1"/>
    <col min="13312" max="13312" width="45.42578125" style="321" customWidth="1"/>
    <col min="13313" max="13313" width="22" style="321" customWidth="1"/>
    <col min="13314" max="13314" width="15.85546875" style="321" customWidth="1"/>
    <col min="13315" max="13315" width="9.28515625" style="321" customWidth="1"/>
    <col min="13316" max="13316" width="12.28515625" style="321" customWidth="1"/>
    <col min="13317" max="13565" width="9.140625" style="321"/>
    <col min="13566" max="13566" width="26.85546875" style="321" customWidth="1"/>
    <col min="13567" max="13567" width="15.5703125" style="321" customWidth="1"/>
    <col min="13568" max="13568" width="45.42578125" style="321" customWidth="1"/>
    <col min="13569" max="13569" width="22" style="321" customWidth="1"/>
    <col min="13570" max="13570" width="15.85546875" style="321" customWidth="1"/>
    <col min="13571" max="13571" width="9.28515625" style="321" customWidth="1"/>
    <col min="13572" max="13572" width="12.28515625" style="321" customWidth="1"/>
    <col min="13573" max="13821" width="9.140625" style="321"/>
    <col min="13822" max="13822" width="26.85546875" style="321" customWidth="1"/>
    <col min="13823" max="13823" width="15.5703125" style="321" customWidth="1"/>
    <col min="13824" max="13824" width="45.42578125" style="321" customWidth="1"/>
    <col min="13825" max="13825" width="22" style="321" customWidth="1"/>
    <col min="13826" max="13826" width="15.85546875" style="321" customWidth="1"/>
    <col min="13827" max="13827" width="9.28515625" style="321" customWidth="1"/>
    <col min="13828" max="13828" width="12.28515625" style="321" customWidth="1"/>
    <col min="13829" max="14077" width="9.140625" style="321"/>
    <col min="14078" max="14078" width="26.85546875" style="321" customWidth="1"/>
    <col min="14079" max="14079" width="15.5703125" style="321" customWidth="1"/>
    <col min="14080" max="14080" width="45.42578125" style="321" customWidth="1"/>
    <col min="14081" max="14081" width="22" style="321" customWidth="1"/>
    <col min="14082" max="14082" width="15.85546875" style="321" customWidth="1"/>
    <col min="14083" max="14083" width="9.28515625" style="321" customWidth="1"/>
    <col min="14084" max="14084" width="12.28515625" style="321" customWidth="1"/>
    <col min="14085" max="14333" width="9.140625" style="321"/>
    <col min="14334" max="14334" width="26.85546875" style="321" customWidth="1"/>
    <col min="14335" max="14335" width="15.5703125" style="321" customWidth="1"/>
    <col min="14336" max="14336" width="45.42578125" style="321" customWidth="1"/>
    <col min="14337" max="14337" width="22" style="321" customWidth="1"/>
    <col min="14338" max="14338" width="15.85546875" style="321" customWidth="1"/>
    <col min="14339" max="14339" width="9.28515625" style="321" customWidth="1"/>
    <col min="14340" max="14340" width="12.28515625" style="321" customWidth="1"/>
    <col min="14341" max="14589" width="9.140625" style="321"/>
    <col min="14590" max="14590" width="26.85546875" style="321" customWidth="1"/>
    <col min="14591" max="14591" width="15.5703125" style="321" customWidth="1"/>
    <col min="14592" max="14592" width="45.42578125" style="321" customWidth="1"/>
    <col min="14593" max="14593" width="22" style="321" customWidth="1"/>
    <col min="14594" max="14594" width="15.85546875" style="321" customWidth="1"/>
    <col min="14595" max="14595" width="9.28515625" style="321" customWidth="1"/>
    <col min="14596" max="14596" width="12.28515625" style="321" customWidth="1"/>
    <col min="14597" max="14845" width="9.140625" style="321"/>
    <col min="14846" max="14846" width="26.85546875" style="321" customWidth="1"/>
    <col min="14847" max="14847" width="15.5703125" style="321" customWidth="1"/>
    <col min="14848" max="14848" width="45.42578125" style="321" customWidth="1"/>
    <col min="14849" max="14849" width="22" style="321" customWidth="1"/>
    <col min="14850" max="14850" width="15.85546875" style="321" customWidth="1"/>
    <col min="14851" max="14851" width="9.28515625" style="321" customWidth="1"/>
    <col min="14852" max="14852" width="12.28515625" style="321" customWidth="1"/>
    <col min="14853" max="15101" width="9.140625" style="321"/>
    <col min="15102" max="15102" width="26.85546875" style="321" customWidth="1"/>
    <col min="15103" max="15103" width="15.5703125" style="321" customWidth="1"/>
    <col min="15104" max="15104" width="45.42578125" style="321" customWidth="1"/>
    <col min="15105" max="15105" width="22" style="321" customWidth="1"/>
    <col min="15106" max="15106" width="15.85546875" style="321" customWidth="1"/>
    <col min="15107" max="15107" width="9.28515625" style="321" customWidth="1"/>
    <col min="15108" max="15108" width="12.28515625" style="321" customWidth="1"/>
    <col min="15109" max="15357" width="9.140625" style="321"/>
    <col min="15358" max="15358" width="26.85546875" style="321" customWidth="1"/>
    <col min="15359" max="15359" width="15.5703125" style="321" customWidth="1"/>
    <col min="15360" max="15360" width="45.42578125" style="321" customWidth="1"/>
    <col min="15361" max="15361" width="22" style="321" customWidth="1"/>
    <col min="15362" max="15362" width="15.85546875" style="321" customWidth="1"/>
    <col min="15363" max="15363" width="9.28515625" style="321" customWidth="1"/>
    <col min="15364" max="15364" width="12.28515625" style="321" customWidth="1"/>
    <col min="15365" max="15613" width="9.140625" style="321"/>
    <col min="15614" max="15614" width="26.85546875" style="321" customWidth="1"/>
    <col min="15615" max="15615" width="15.5703125" style="321" customWidth="1"/>
    <col min="15616" max="15616" width="45.42578125" style="321" customWidth="1"/>
    <col min="15617" max="15617" width="22" style="321" customWidth="1"/>
    <col min="15618" max="15618" width="15.85546875" style="321" customWidth="1"/>
    <col min="15619" max="15619" width="9.28515625" style="321" customWidth="1"/>
    <col min="15620" max="15620" width="12.28515625" style="321" customWidth="1"/>
    <col min="15621" max="15869" width="9.140625" style="321"/>
    <col min="15870" max="15870" width="26.85546875" style="321" customWidth="1"/>
    <col min="15871" max="15871" width="15.5703125" style="321" customWidth="1"/>
    <col min="15872" max="15872" width="45.42578125" style="321" customWidth="1"/>
    <col min="15873" max="15873" width="22" style="321" customWidth="1"/>
    <col min="15874" max="15874" width="15.85546875" style="321" customWidth="1"/>
    <col min="15875" max="15875" width="9.28515625" style="321" customWidth="1"/>
    <col min="15876" max="15876" width="12.28515625" style="321" customWidth="1"/>
    <col min="15877" max="16125" width="9.140625" style="321"/>
    <col min="16126" max="16126" width="26.85546875" style="321" customWidth="1"/>
    <col min="16127" max="16127" width="15.5703125" style="321" customWidth="1"/>
    <col min="16128" max="16128" width="45.42578125" style="321" customWidth="1"/>
    <col min="16129" max="16129" width="22" style="321" customWidth="1"/>
    <col min="16130" max="16130" width="15.85546875" style="321" customWidth="1"/>
    <col min="16131" max="16131" width="9.28515625" style="321" customWidth="1"/>
    <col min="16132" max="16132" width="12.28515625" style="321" customWidth="1"/>
    <col min="16133" max="16384" width="9.140625" style="321"/>
  </cols>
  <sheetData>
    <row r="1" spans="1:6" s="320" customFormat="1" ht="43.5" customHeight="1" thickBot="1" x14ac:dyDescent="0.3">
      <c r="A1" s="328" t="s">
        <v>818</v>
      </c>
      <c r="B1" s="368" t="s">
        <v>819</v>
      </c>
      <c r="C1" s="329" t="s">
        <v>820</v>
      </c>
      <c r="D1" s="330" t="s">
        <v>595</v>
      </c>
      <c r="E1" s="329" t="s">
        <v>821</v>
      </c>
      <c r="F1" s="331" t="s">
        <v>1756</v>
      </c>
    </row>
    <row r="2" spans="1:6" s="320" customFormat="1" ht="7.5" customHeight="1" thickBot="1" x14ac:dyDescent="0.3">
      <c r="A2" s="855"/>
      <c r="B2" s="855"/>
      <c r="C2" s="855"/>
      <c r="D2" s="855"/>
      <c r="E2" s="855"/>
      <c r="F2" s="855"/>
    </row>
    <row r="3" spans="1:6" s="326" customFormat="1" ht="29.25" thickTop="1" x14ac:dyDescent="0.25">
      <c r="A3" s="332" t="s">
        <v>822</v>
      </c>
      <c r="B3" s="369" t="s">
        <v>823</v>
      </c>
      <c r="C3" s="332" t="s">
        <v>824</v>
      </c>
      <c r="D3" s="333">
        <v>4580000</v>
      </c>
      <c r="E3" s="334">
        <v>18.03</v>
      </c>
      <c r="F3" s="333">
        <v>82577400</v>
      </c>
    </row>
    <row r="4" spans="1:6" ht="18.75" customHeight="1" x14ac:dyDescent="0.25">
      <c r="A4" s="335" t="s">
        <v>825</v>
      </c>
      <c r="B4" s="370" t="s">
        <v>826</v>
      </c>
      <c r="C4" s="336" t="s">
        <v>827</v>
      </c>
      <c r="D4" s="337" t="s">
        <v>817</v>
      </c>
      <c r="E4" s="335" t="s">
        <v>817</v>
      </c>
      <c r="F4" s="337">
        <v>65254911</v>
      </c>
    </row>
    <row r="5" spans="1:6" s="325" customFormat="1" x14ac:dyDescent="0.25">
      <c r="A5" s="338" t="s">
        <v>828</v>
      </c>
      <c r="B5" s="371"/>
      <c r="C5" s="339"/>
      <c r="D5" s="340"/>
      <c r="E5" s="338"/>
      <c r="F5" s="340"/>
    </row>
    <row r="6" spans="1:6" s="1" customFormat="1" x14ac:dyDescent="0.25">
      <c r="A6" s="341" t="s">
        <v>829</v>
      </c>
      <c r="B6" s="372" t="s">
        <v>830</v>
      </c>
      <c r="C6" s="342" t="s">
        <v>827</v>
      </c>
      <c r="D6" s="343" t="s">
        <v>817</v>
      </c>
      <c r="E6" s="341" t="s">
        <v>817</v>
      </c>
      <c r="F6" s="343">
        <f>SUM(F7:F15)</f>
        <v>30017550</v>
      </c>
    </row>
    <row r="7" spans="1:6" x14ac:dyDescent="0.25">
      <c r="A7" s="345" t="s">
        <v>831</v>
      </c>
      <c r="B7" s="373" t="s">
        <v>832</v>
      </c>
      <c r="C7" s="346" t="s">
        <v>833</v>
      </c>
      <c r="D7" s="347">
        <v>22300</v>
      </c>
      <c r="E7" s="345" t="s">
        <v>817</v>
      </c>
      <c r="F7" s="347">
        <v>6721220</v>
      </c>
    </row>
    <row r="8" spans="1:6" x14ac:dyDescent="0.25">
      <c r="A8" s="345" t="s">
        <v>834</v>
      </c>
      <c r="B8" s="373" t="s">
        <v>835</v>
      </c>
      <c r="C8" s="346" t="s">
        <v>596</v>
      </c>
      <c r="D8" s="347" t="s">
        <v>817</v>
      </c>
      <c r="E8" s="345" t="s">
        <v>817</v>
      </c>
      <c r="F8" s="347">
        <v>15072000</v>
      </c>
    </row>
    <row r="9" spans="1:6" x14ac:dyDescent="0.25">
      <c r="A9" s="345" t="s">
        <v>836</v>
      </c>
      <c r="B9" s="373" t="s">
        <v>837</v>
      </c>
      <c r="C9" s="346" t="s">
        <v>838</v>
      </c>
      <c r="D9" s="347" t="s">
        <v>817</v>
      </c>
      <c r="E9" s="345" t="s">
        <v>817</v>
      </c>
      <c r="F9" s="347">
        <v>100000</v>
      </c>
    </row>
    <row r="10" spans="1:6" x14ac:dyDescent="0.25">
      <c r="A10" s="345" t="s">
        <v>839</v>
      </c>
      <c r="B10" s="373" t="s">
        <v>840</v>
      </c>
      <c r="C10" s="346" t="s">
        <v>596</v>
      </c>
      <c r="D10" s="347" t="s">
        <v>817</v>
      </c>
      <c r="E10" s="345" t="s">
        <v>817</v>
      </c>
      <c r="F10" s="347">
        <v>8124330</v>
      </c>
    </row>
    <row r="11" spans="1:6" x14ac:dyDescent="0.25">
      <c r="A11" s="345" t="s">
        <v>841</v>
      </c>
      <c r="B11" s="373" t="s">
        <v>842</v>
      </c>
      <c r="C11" s="346" t="s">
        <v>827</v>
      </c>
      <c r="D11" s="347" t="s">
        <v>817</v>
      </c>
      <c r="E11" s="345" t="s">
        <v>817</v>
      </c>
      <c r="F11" s="347">
        <v>0</v>
      </c>
    </row>
    <row r="12" spans="1:6" x14ac:dyDescent="0.25">
      <c r="A12" s="345" t="s">
        <v>843</v>
      </c>
      <c r="B12" s="373" t="s">
        <v>844</v>
      </c>
      <c r="C12" s="346" t="s">
        <v>827</v>
      </c>
      <c r="D12" s="347">
        <v>22300</v>
      </c>
      <c r="E12" s="345" t="s">
        <v>817</v>
      </c>
      <c r="F12" s="347">
        <v>0</v>
      </c>
    </row>
    <row r="13" spans="1:6" x14ac:dyDescent="0.25">
      <c r="A13" s="345" t="s">
        <v>845</v>
      </c>
      <c r="B13" s="373" t="s">
        <v>846</v>
      </c>
      <c r="C13" s="346" t="s">
        <v>827</v>
      </c>
      <c r="D13" s="347" t="s">
        <v>817</v>
      </c>
      <c r="E13" s="345" t="s">
        <v>817</v>
      </c>
      <c r="F13" s="347">
        <v>0</v>
      </c>
    </row>
    <row r="14" spans="1:6" x14ac:dyDescent="0.25">
      <c r="A14" s="345" t="s">
        <v>847</v>
      </c>
      <c r="B14" s="373" t="s">
        <v>848</v>
      </c>
      <c r="C14" s="346" t="s">
        <v>827</v>
      </c>
      <c r="D14" s="347" t="s">
        <v>817</v>
      </c>
      <c r="E14" s="345" t="s">
        <v>817</v>
      </c>
      <c r="F14" s="347">
        <v>0</v>
      </c>
    </row>
    <row r="15" spans="1:6" x14ac:dyDescent="0.25">
      <c r="A15" s="345" t="s">
        <v>849</v>
      </c>
      <c r="B15" s="373" t="s">
        <v>850</v>
      </c>
      <c r="C15" s="346" t="s">
        <v>827</v>
      </c>
      <c r="D15" s="347" t="s">
        <v>817</v>
      </c>
      <c r="E15" s="345" t="s">
        <v>817</v>
      </c>
      <c r="F15" s="347">
        <v>0</v>
      </c>
    </row>
    <row r="16" spans="1:6" x14ac:dyDescent="0.25">
      <c r="A16" s="341" t="s">
        <v>851</v>
      </c>
      <c r="B16" s="372" t="s">
        <v>852</v>
      </c>
      <c r="C16" s="342" t="s">
        <v>559</v>
      </c>
      <c r="D16" s="343">
        <v>2700</v>
      </c>
      <c r="E16" s="341" t="s">
        <v>817</v>
      </c>
      <c r="F16" s="343">
        <v>17161200</v>
      </c>
    </row>
    <row r="17" spans="1:6" ht="19.5" customHeight="1" x14ac:dyDescent="0.25">
      <c r="A17" s="335" t="s">
        <v>853</v>
      </c>
      <c r="B17" s="370" t="s">
        <v>854</v>
      </c>
      <c r="C17" s="336" t="s">
        <v>827</v>
      </c>
      <c r="D17" s="337">
        <v>2700</v>
      </c>
      <c r="E17" s="335" t="s">
        <v>817</v>
      </c>
      <c r="F17" s="337">
        <v>0</v>
      </c>
    </row>
    <row r="18" spans="1:6" ht="28.5" x14ac:dyDescent="0.25">
      <c r="A18" s="341" t="s">
        <v>855</v>
      </c>
      <c r="B18" s="372" t="s">
        <v>856</v>
      </c>
      <c r="C18" s="342" t="s">
        <v>857</v>
      </c>
      <c r="D18" s="343">
        <v>2550</v>
      </c>
      <c r="E18" s="341" t="s">
        <v>817</v>
      </c>
      <c r="F18" s="343">
        <v>0</v>
      </c>
    </row>
    <row r="19" spans="1:6" x14ac:dyDescent="0.25">
      <c r="A19" s="345" t="s">
        <v>858</v>
      </c>
      <c r="B19" s="373" t="s">
        <v>859</v>
      </c>
      <c r="C19" s="346" t="s">
        <v>827</v>
      </c>
      <c r="D19" s="347">
        <v>2550</v>
      </c>
      <c r="E19" s="345" t="s">
        <v>817</v>
      </c>
      <c r="F19" s="347">
        <v>0</v>
      </c>
    </row>
    <row r="20" spans="1:6" ht="28.5" x14ac:dyDescent="0.25">
      <c r="A20" s="341" t="s">
        <v>860</v>
      </c>
      <c r="B20" s="372" t="s">
        <v>861</v>
      </c>
      <c r="C20" s="342" t="s">
        <v>862</v>
      </c>
      <c r="D20" s="343">
        <v>1</v>
      </c>
      <c r="E20" s="341" t="s">
        <v>817</v>
      </c>
      <c r="F20" s="343">
        <v>95100</v>
      </c>
    </row>
    <row r="21" spans="1:6" x14ac:dyDescent="0.25">
      <c r="A21" s="345" t="s">
        <v>863</v>
      </c>
      <c r="B21" s="373" t="s">
        <v>864</v>
      </c>
      <c r="C21" s="346" t="s">
        <v>827</v>
      </c>
      <c r="D21" s="347">
        <v>1</v>
      </c>
      <c r="E21" s="345" t="s">
        <v>817</v>
      </c>
      <c r="F21" s="347">
        <v>0</v>
      </c>
    </row>
    <row r="22" spans="1:6" s="322" customFormat="1" x14ac:dyDescent="0.25">
      <c r="A22" s="348" t="s">
        <v>865</v>
      </c>
      <c r="B22" s="374" t="s">
        <v>1060</v>
      </c>
      <c r="C22" s="349" t="s">
        <v>827</v>
      </c>
      <c r="D22" s="350" t="s">
        <v>817</v>
      </c>
      <c r="E22" s="348" t="s">
        <v>817</v>
      </c>
      <c r="F22" s="350">
        <v>64596339</v>
      </c>
    </row>
    <row r="23" spans="1:6" ht="18.75" customHeight="1" x14ac:dyDescent="0.25">
      <c r="A23" s="345" t="s">
        <v>866</v>
      </c>
      <c r="B23" s="373" t="s">
        <v>867</v>
      </c>
      <c r="C23" s="346" t="s">
        <v>827</v>
      </c>
      <c r="D23" s="347" t="s">
        <v>817</v>
      </c>
      <c r="E23" s="345" t="s">
        <v>817</v>
      </c>
      <c r="F23" s="347">
        <v>0</v>
      </c>
    </row>
    <row r="24" spans="1:6" s="324" customFormat="1" ht="27.75" customHeight="1" x14ac:dyDescent="0.25">
      <c r="A24" s="351" t="s">
        <v>868</v>
      </c>
      <c r="B24" s="375" t="s">
        <v>869</v>
      </c>
      <c r="C24" s="351" t="s">
        <v>827</v>
      </c>
      <c r="D24" s="352" t="s">
        <v>817</v>
      </c>
      <c r="E24" s="351" t="s">
        <v>817</v>
      </c>
      <c r="F24" s="352">
        <f>+F3+F6+F16+F20-F22</f>
        <v>65254911</v>
      </c>
    </row>
    <row r="25" spans="1:6" x14ac:dyDescent="0.25">
      <c r="A25" s="345" t="s">
        <v>870</v>
      </c>
      <c r="B25" s="373" t="s">
        <v>871</v>
      </c>
      <c r="C25" s="346" t="s">
        <v>827</v>
      </c>
      <c r="D25" s="347" t="s">
        <v>817</v>
      </c>
      <c r="E25" s="345" t="s">
        <v>817</v>
      </c>
      <c r="F25" s="347">
        <v>0</v>
      </c>
    </row>
    <row r="26" spans="1:6" x14ac:dyDescent="0.25">
      <c r="A26" s="345" t="s">
        <v>872</v>
      </c>
      <c r="B26" s="373" t="s">
        <v>873</v>
      </c>
      <c r="C26" s="346" t="s">
        <v>827</v>
      </c>
      <c r="D26" s="347" t="s">
        <v>817</v>
      </c>
      <c r="E26" s="345" t="s">
        <v>817</v>
      </c>
      <c r="F26" s="347">
        <v>0</v>
      </c>
    </row>
    <row r="27" spans="1:6" x14ac:dyDescent="0.25">
      <c r="A27" s="345" t="s">
        <v>874</v>
      </c>
      <c r="B27" s="373" t="s">
        <v>875</v>
      </c>
      <c r="C27" s="346" t="s">
        <v>876</v>
      </c>
      <c r="D27" s="347">
        <v>100</v>
      </c>
      <c r="E27" s="353">
        <v>0</v>
      </c>
      <c r="F27" s="347">
        <v>0</v>
      </c>
    </row>
    <row r="28" spans="1:6" ht="30" x14ac:dyDescent="0.25">
      <c r="A28" s="345" t="s">
        <v>877</v>
      </c>
      <c r="B28" s="373" t="s">
        <v>878</v>
      </c>
      <c r="C28" s="346" t="s">
        <v>879</v>
      </c>
      <c r="D28" s="347">
        <v>2</v>
      </c>
      <c r="E28" s="353">
        <v>0</v>
      </c>
      <c r="F28" s="347">
        <v>0</v>
      </c>
    </row>
    <row r="29" spans="1:6" x14ac:dyDescent="0.25">
      <c r="A29" s="355" t="s">
        <v>880</v>
      </c>
      <c r="B29" s="375" t="s">
        <v>1061</v>
      </c>
      <c r="C29" s="351" t="s">
        <v>827</v>
      </c>
      <c r="D29" s="356" t="s">
        <v>817</v>
      </c>
      <c r="E29" s="357">
        <v>0</v>
      </c>
      <c r="F29" s="356">
        <v>50386</v>
      </c>
    </row>
    <row r="30" spans="1:6" x14ac:dyDescent="0.25">
      <c r="A30" s="355" t="s">
        <v>881</v>
      </c>
      <c r="B30" s="375" t="s">
        <v>882</v>
      </c>
      <c r="C30" s="351" t="s">
        <v>827</v>
      </c>
      <c r="D30" s="356" t="s">
        <v>817</v>
      </c>
      <c r="E30" s="357">
        <v>0</v>
      </c>
      <c r="F30" s="356">
        <v>439100</v>
      </c>
    </row>
    <row r="31" spans="1:6" s="405" customFormat="1" ht="27.75" customHeight="1" x14ac:dyDescent="0.25">
      <c r="A31" s="358" t="s">
        <v>883</v>
      </c>
      <c r="B31" s="376" t="s">
        <v>1141</v>
      </c>
      <c r="C31" s="359" t="s">
        <v>827</v>
      </c>
      <c r="D31" s="360" t="s">
        <v>817</v>
      </c>
      <c r="E31" s="358" t="s">
        <v>817</v>
      </c>
      <c r="F31" s="360">
        <f>+F24+F29+F30</f>
        <v>65744397</v>
      </c>
    </row>
    <row r="32" spans="1:6" ht="20.25" customHeight="1" x14ac:dyDescent="0.25">
      <c r="A32" s="355" t="s">
        <v>1142</v>
      </c>
      <c r="B32" s="375" t="s">
        <v>1143</v>
      </c>
      <c r="C32" s="351" t="s">
        <v>827</v>
      </c>
      <c r="D32" s="356" t="s">
        <v>817</v>
      </c>
      <c r="E32" s="355"/>
      <c r="F32" s="356">
        <v>3524880</v>
      </c>
    </row>
    <row r="33" spans="1:6" ht="20.25" customHeight="1" x14ac:dyDescent="0.25">
      <c r="A33" s="355" t="s">
        <v>884</v>
      </c>
      <c r="B33" s="375" t="s">
        <v>885</v>
      </c>
      <c r="C33" s="351" t="s">
        <v>827</v>
      </c>
      <c r="D33" s="356" t="s">
        <v>817</v>
      </c>
      <c r="E33" s="355" t="s">
        <v>817</v>
      </c>
      <c r="F33" s="356">
        <v>9401000</v>
      </c>
    </row>
    <row r="34" spans="1:6" ht="15.75" customHeight="1" x14ac:dyDescent="0.25">
      <c r="A34" s="355" t="s">
        <v>1144</v>
      </c>
      <c r="B34" s="375" t="s">
        <v>1145</v>
      </c>
      <c r="C34" s="351"/>
      <c r="D34" s="356"/>
      <c r="E34" s="355"/>
      <c r="F34" s="356">
        <f>SUM(F35:F40)</f>
        <v>8852200</v>
      </c>
    </row>
    <row r="35" spans="1:6" x14ac:dyDescent="0.25">
      <c r="A35" s="345" t="s">
        <v>886</v>
      </c>
      <c r="B35" s="373" t="s">
        <v>887</v>
      </c>
      <c r="C35" s="346" t="s">
        <v>888</v>
      </c>
      <c r="D35" s="347">
        <v>3400000</v>
      </c>
      <c r="E35" s="347">
        <v>4420000</v>
      </c>
      <c r="F35" s="347">
        <v>4420000</v>
      </c>
    </row>
    <row r="36" spans="1:6" x14ac:dyDescent="0.25">
      <c r="A36" s="345" t="s">
        <v>889</v>
      </c>
      <c r="B36" s="373" t="s">
        <v>890</v>
      </c>
      <c r="C36" s="346" t="s">
        <v>888</v>
      </c>
      <c r="D36" s="347">
        <v>3300000</v>
      </c>
      <c r="E36" s="345">
        <v>0</v>
      </c>
      <c r="F36" s="347">
        <v>0</v>
      </c>
    </row>
    <row r="37" spans="1:6" x14ac:dyDescent="0.25">
      <c r="A37" s="345" t="s">
        <v>891</v>
      </c>
      <c r="B37" s="373" t="s">
        <v>593</v>
      </c>
      <c r="C37" s="346" t="s">
        <v>559</v>
      </c>
      <c r="D37" s="347">
        <v>55360</v>
      </c>
      <c r="E37" s="345">
        <v>20</v>
      </c>
      <c r="F37" s="347">
        <f>+D37*E37</f>
        <v>1107200</v>
      </c>
    </row>
    <row r="38" spans="1:6" x14ac:dyDescent="0.25">
      <c r="A38" s="345" t="s">
        <v>892</v>
      </c>
      <c r="B38" s="373" t="s">
        <v>893</v>
      </c>
      <c r="C38" s="346" t="s">
        <v>559</v>
      </c>
      <c r="D38" s="347">
        <v>60896</v>
      </c>
      <c r="E38" s="345">
        <v>0</v>
      </c>
      <c r="F38" s="347">
        <f t="shared" ref="F38:F39" si="0">+D38*E38</f>
        <v>0</v>
      </c>
    </row>
    <row r="39" spans="1:6" x14ac:dyDescent="0.25">
      <c r="A39" s="345" t="s">
        <v>894</v>
      </c>
      <c r="B39" s="373" t="s">
        <v>895</v>
      </c>
      <c r="C39" s="346" t="s">
        <v>559</v>
      </c>
      <c r="D39" s="347">
        <v>25000</v>
      </c>
      <c r="E39" s="345">
        <v>1</v>
      </c>
      <c r="F39" s="347">
        <f t="shared" si="0"/>
        <v>25000</v>
      </c>
    </row>
    <row r="40" spans="1:6" x14ac:dyDescent="0.25">
      <c r="A40" s="345" t="s">
        <v>896</v>
      </c>
      <c r="B40" s="373" t="s">
        <v>897</v>
      </c>
      <c r="C40" s="346" t="s">
        <v>559</v>
      </c>
      <c r="D40" s="347">
        <v>330000</v>
      </c>
      <c r="E40" s="345">
        <v>10</v>
      </c>
      <c r="F40" s="347">
        <f>+D40*E40</f>
        <v>3300000</v>
      </c>
    </row>
    <row r="41" spans="1:6" x14ac:dyDescent="0.25">
      <c r="A41" s="345" t="s">
        <v>898</v>
      </c>
      <c r="B41" s="373" t="s">
        <v>899</v>
      </c>
      <c r="C41" s="346" t="s">
        <v>559</v>
      </c>
      <c r="D41" s="347">
        <v>429000</v>
      </c>
      <c r="E41" s="345">
        <v>0</v>
      </c>
      <c r="F41" s="347">
        <v>0</v>
      </c>
    </row>
    <row r="42" spans="1:6" x14ac:dyDescent="0.25">
      <c r="A42" s="345" t="s">
        <v>900</v>
      </c>
      <c r="B42" s="373" t="s">
        <v>901</v>
      </c>
      <c r="C42" s="346" t="s">
        <v>902</v>
      </c>
      <c r="D42" s="347">
        <v>3100000</v>
      </c>
      <c r="E42" s="345">
        <v>0</v>
      </c>
      <c r="F42" s="347">
        <v>0</v>
      </c>
    </row>
    <row r="43" spans="1:6" hidden="1" x14ac:dyDescent="0.25">
      <c r="A43" s="344" t="s">
        <v>560</v>
      </c>
      <c r="B43" s="373"/>
      <c r="C43" s="346"/>
      <c r="D43" s="347"/>
      <c r="E43" s="345"/>
      <c r="F43" s="347"/>
    </row>
    <row r="44" spans="1:6" hidden="1" x14ac:dyDescent="0.25">
      <c r="A44" s="345" t="s">
        <v>903</v>
      </c>
      <c r="B44" s="373" t="s">
        <v>904</v>
      </c>
      <c r="C44" s="346" t="s">
        <v>559</v>
      </c>
      <c r="D44" s="347">
        <v>109000</v>
      </c>
      <c r="E44" s="345">
        <v>0</v>
      </c>
      <c r="F44" s="347">
        <v>0</v>
      </c>
    </row>
    <row r="45" spans="1:6" hidden="1" x14ac:dyDescent="0.25">
      <c r="A45" s="345" t="s">
        <v>905</v>
      </c>
      <c r="B45" s="373" t="s">
        <v>906</v>
      </c>
      <c r="C45" s="346" t="s">
        <v>559</v>
      </c>
      <c r="D45" s="347">
        <v>163500</v>
      </c>
      <c r="E45" s="345">
        <v>0</v>
      </c>
      <c r="F45" s="347">
        <v>0</v>
      </c>
    </row>
    <row r="46" spans="1:6" hidden="1" x14ac:dyDescent="0.25">
      <c r="A46" s="345" t="s">
        <v>907</v>
      </c>
      <c r="B46" s="373" t="s">
        <v>908</v>
      </c>
      <c r="C46" s="346" t="s">
        <v>559</v>
      </c>
      <c r="D46" s="347">
        <v>43600</v>
      </c>
      <c r="E46" s="345">
        <v>0</v>
      </c>
      <c r="F46" s="347">
        <v>0</v>
      </c>
    </row>
    <row r="47" spans="1:6" ht="25.5" hidden="1" x14ac:dyDescent="0.25">
      <c r="A47" s="345" t="s">
        <v>909</v>
      </c>
      <c r="B47" s="373" t="s">
        <v>910</v>
      </c>
      <c r="C47" s="346" t="s">
        <v>559</v>
      </c>
      <c r="D47" s="347">
        <v>65400</v>
      </c>
      <c r="E47" s="345">
        <v>0</v>
      </c>
      <c r="F47" s="347">
        <v>0</v>
      </c>
    </row>
    <row r="48" spans="1:6" hidden="1" x14ac:dyDescent="0.25">
      <c r="A48" s="344" t="s">
        <v>911</v>
      </c>
      <c r="B48" s="373"/>
      <c r="C48" s="346"/>
      <c r="D48" s="347"/>
      <c r="E48" s="345"/>
      <c r="F48" s="347"/>
    </row>
    <row r="49" spans="1:6" hidden="1" x14ac:dyDescent="0.25">
      <c r="A49" s="345" t="s">
        <v>912</v>
      </c>
      <c r="B49" s="373" t="s">
        <v>913</v>
      </c>
      <c r="C49" s="346" t="s">
        <v>559</v>
      </c>
      <c r="D49" s="347">
        <v>500000</v>
      </c>
      <c r="E49" s="345">
        <v>0</v>
      </c>
      <c r="F49" s="347">
        <v>0</v>
      </c>
    </row>
    <row r="50" spans="1:6" hidden="1" x14ac:dyDescent="0.25">
      <c r="A50" s="345" t="s">
        <v>914</v>
      </c>
      <c r="B50" s="373" t="s">
        <v>915</v>
      </c>
      <c r="C50" s="346" t="s">
        <v>559</v>
      </c>
      <c r="D50" s="347">
        <v>550000</v>
      </c>
      <c r="E50" s="345">
        <v>0</v>
      </c>
      <c r="F50" s="347">
        <v>0</v>
      </c>
    </row>
    <row r="51" spans="1:6" hidden="1" x14ac:dyDescent="0.25">
      <c r="A51" s="345" t="s">
        <v>916</v>
      </c>
      <c r="B51" s="373" t="s">
        <v>917</v>
      </c>
      <c r="C51" s="346" t="s">
        <v>559</v>
      </c>
      <c r="D51" s="347">
        <v>200000</v>
      </c>
      <c r="E51" s="345">
        <v>0</v>
      </c>
      <c r="F51" s="347">
        <v>0</v>
      </c>
    </row>
    <row r="52" spans="1:6" ht="25.5" hidden="1" x14ac:dyDescent="0.25">
      <c r="A52" s="345" t="s">
        <v>918</v>
      </c>
      <c r="B52" s="373" t="s">
        <v>919</v>
      </c>
      <c r="C52" s="346" t="s">
        <v>559</v>
      </c>
      <c r="D52" s="347">
        <v>220000</v>
      </c>
      <c r="E52" s="345">
        <v>0</v>
      </c>
      <c r="F52" s="347">
        <v>0</v>
      </c>
    </row>
    <row r="53" spans="1:6" hidden="1" x14ac:dyDescent="0.25">
      <c r="A53" s="345" t="s">
        <v>920</v>
      </c>
      <c r="B53" s="373" t="s">
        <v>921</v>
      </c>
      <c r="C53" s="346" t="s">
        <v>559</v>
      </c>
      <c r="D53" s="347">
        <v>500000</v>
      </c>
      <c r="E53" s="345">
        <v>0</v>
      </c>
      <c r="F53" s="347">
        <v>0</v>
      </c>
    </row>
    <row r="54" spans="1:6" hidden="1" x14ac:dyDescent="0.25">
      <c r="A54" s="345" t="s">
        <v>922</v>
      </c>
      <c r="B54" s="373" t="s">
        <v>923</v>
      </c>
      <c r="C54" s="346" t="s">
        <v>559</v>
      </c>
      <c r="D54" s="347">
        <v>550000</v>
      </c>
      <c r="E54" s="345">
        <v>0</v>
      </c>
      <c r="F54" s="347">
        <v>0</v>
      </c>
    </row>
    <row r="55" spans="1:6" hidden="1" x14ac:dyDescent="0.25">
      <c r="A55" s="345" t="s">
        <v>924</v>
      </c>
      <c r="B55" s="373" t="s">
        <v>925</v>
      </c>
      <c r="C55" s="346" t="s">
        <v>559</v>
      </c>
      <c r="D55" s="347">
        <v>200000</v>
      </c>
      <c r="E55" s="345">
        <v>0</v>
      </c>
      <c r="F55" s="347">
        <v>0</v>
      </c>
    </row>
    <row r="56" spans="1:6" ht="25.5" hidden="1" x14ac:dyDescent="0.25">
      <c r="A56" s="345" t="s">
        <v>926</v>
      </c>
      <c r="B56" s="373" t="s">
        <v>927</v>
      </c>
      <c r="C56" s="346" t="s">
        <v>559</v>
      </c>
      <c r="D56" s="347">
        <v>220000</v>
      </c>
      <c r="E56" s="345">
        <v>0</v>
      </c>
      <c r="F56" s="347">
        <v>0</v>
      </c>
    </row>
    <row r="57" spans="1:6" hidden="1" x14ac:dyDescent="0.25">
      <c r="A57" s="344" t="s">
        <v>928</v>
      </c>
      <c r="B57" s="373"/>
      <c r="C57" s="346"/>
      <c r="D57" s="347"/>
      <c r="E57" s="345"/>
      <c r="F57" s="347"/>
    </row>
    <row r="58" spans="1:6" hidden="1" x14ac:dyDescent="0.25">
      <c r="A58" s="345" t="s">
        <v>929</v>
      </c>
      <c r="B58" s="373" t="s">
        <v>930</v>
      </c>
      <c r="C58" s="346" t="s">
        <v>559</v>
      </c>
      <c r="D58" s="347">
        <v>310000</v>
      </c>
      <c r="E58" s="345">
        <v>0</v>
      </c>
      <c r="F58" s="347">
        <v>0</v>
      </c>
    </row>
    <row r="59" spans="1:6" hidden="1" x14ac:dyDescent="0.25">
      <c r="A59" s="345" t="s">
        <v>931</v>
      </c>
      <c r="B59" s="373" t="s">
        <v>932</v>
      </c>
      <c r="C59" s="346" t="s">
        <v>559</v>
      </c>
      <c r="D59" s="347">
        <v>372000</v>
      </c>
      <c r="E59" s="345">
        <v>0</v>
      </c>
      <c r="F59" s="347">
        <v>0</v>
      </c>
    </row>
    <row r="60" spans="1:6" ht="24.75" hidden="1" customHeight="1" x14ac:dyDescent="0.25">
      <c r="A60" s="345" t="s">
        <v>933</v>
      </c>
      <c r="B60" s="373" t="s">
        <v>934</v>
      </c>
      <c r="C60" s="346" t="s">
        <v>559</v>
      </c>
      <c r="D60" s="347">
        <v>124000</v>
      </c>
      <c r="E60" s="345">
        <v>0</v>
      </c>
      <c r="F60" s="347">
        <v>0</v>
      </c>
    </row>
    <row r="61" spans="1:6" ht="25.5" hidden="1" x14ac:dyDescent="0.25">
      <c r="A61" s="345" t="s">
        <v>935</v>
      </c>
      <c r="B61" s="373" t="s">
        <v>936</v>
      </c>
      <c r="C61" s="346" t="s">
        <v>559</v>
      </c>
      <c r="D61" s="347">
        <v>148800</v>
      </c>
      <c r="E61" s="345">
        <v>0</v>
      </c>
      <c r="F61" s="347">
        <v>0</v>
      </c>
    </row>
    <row r="62" spans="1:6" hidden="1" x14ac:dyDescent="0.25">
      <c r="A62" s="345" t="s">
        <v>937</v>
      </c>
      <c r="B62" s="373" t="s">
        <v>938</v>
      </c>
      <c r="C62" s="346" t="s">
        <v>559</v>
      </c>
      <c r="D62" s="347">
        <v>310000</v>
      </c>
      <c r="E62" s="345">
        <v>0</v>
      </c>
      <c r="F62" s="347">
        <v>0</v>
      </c>
    </row>
    <row r="63" spans="1:6" hidden="1" x14ac:dyDescent="0.25">
      <c r="A63" s="345" t="s">
        <v>939</v>
      </c>
      <c r="B63" s="373" t="s">
        <v>940</v>
      </c>
      <c r="C63" s="346" t="s">
        <v>559</v>
      </c>
      <c r="D63" s="347">
        <v>372000</v>
      </c>
      <c r="E63" s="345">
        <v>0</v>
      </c>
      <c r="F63" s="347">
        <v>0</v>
      </c>
    </row>
    <row r="64" spans="1:6" hidden="1" x14ac:dyDescent="0.25">
      <c r="A64" s="345" t="s">
        <v>941</v>
      </c>
      <c r="B64" s="373" t="s">
        <v>942</v>
      </c>
      <c r="C64" s="346" t="s">
        <v>559</v>
      </c>
      <c r="D64" s="347">
        <v>124000</v>
      </c>
      <c r="E64" s="345">
        <v>0</v>
      </c>
      <c r="F64" s="347">
        <v>0</v>
      </c>
    </row>
    <row r="65" spans="1:6" ht="25.5" hidden="1" x14ac:dyDescent="0.25">
      <c r="A65" s="345" t="s">
        <v>943</v>
      </c>
      <c r="B65" s="373" t="s">
        <v>944</v>
      </c>
      <c r="C65" s="346" t="s">
        <v>559</v>
      </c>
      <c r="D65" s="347">
        <v>148800</v>
      </c>
      <c r="E65" s="345">
        <v>0</v>
      </c>
      <c r="F65" s="347">
        <v>0</v>
      </c>
    </row>
    <row r="66" spans="1:6" hidden="1" x14ac:dyDescent="0.25">
      <c r="A66" s="344" t="s">
        <v>561</v>
      </c>
      <c r="B66" s="373"/>
      <c r="C66" s="346"/>
      <c r="D66" s="347"/>
      <c r="E66" s="345"/>
      <c r="F66" s="347"/>
    </row>
    <row r="67" spans="1:6" hidden="1" x14ac:dyDescent="0.25">
      <c r="A67" s="345" t="s">
        <v>945</v>
      </c>
      <c r="B67" s="373" t="s">
        <v>946</v>
      </c>
      <c r="C67" s="346" t="s">
        <v>559</v>
      </c>
      <c r="D67" s="347">
        <v>206100</v>
      </c>
      <c r="E67" s="345">
        <v>0</v>
      </c>
      <c r="F67" s="347">
        <v>0</v>
      </c>
    </row>
    <row r="68" spans="1:6" hidden="1" x14ac:dyDescent="0.25">
      <c r="A68" s="345" t="s">
        <v>947</v>
      </c>
      <c r="B68" s="373" t="s">
        <v>948</v>
      </c>
      <c r="C68" s="346" t="s">
        <v>559</v>
      </c>
      <c r="D68" s="347">
        <v>247320</v>
      </c>
      <c r="E68" s="345">
        <v>0</v>
      </c>
      <c r="F68" s="347">
        <v>0</v>
      </c>
    </row>
    <row r="69" spans="1:6" hidden="1" x14ac:dyDescent="0.25">
      <c r="A69" s="344" t="s">
        <v>949</v>
      </c>
      <c r="B69" s="373"/>
      <c r="C69" s="346"/>
      <c r="D69" s="347"/>
      <c r="E69" s="345"/>
      <c r="F69" s="347"/>
    </row>
    <row r="70" spans="1:6" hidden="1" x14ac:dyDescent="0.25">
      <c r="A70" s="345" t="s">
        <v>950</v>
      </c>
      <c r="B70" s="373" t="s">
        <v>951</v>
      </c>
      <c r="C70" s="346" t="s">
        <v>559</v>
      </c>
      <c r="D70" s="347">
        <v>360000</v>
      </c>
      <c r="E70" s="345">
        <v>0</v>
      </c>
      <c r="F70" s="347">
        <v>0</v>
      </c>
    </row>
    <row r="71" spans="1:6" hidden="1" x14ac:dyDescent="0.25">
      <c r="A71" s="345" t="s">
        <v>952</v>
      </c>
      <c r="B71" s="373" t="s">
        <v>953</v>
      </c>
      <c r="C71" s="346" t="s">
        <v>559</v>
      </c>
      <c r="D71" s="347">
        <v>468000</v>
      </c>
      <c r="E71" s="345">
        <v>0</v>
      </c>
      <c r="F71" s="347">
        <v>0</v>
      </c>
    </row>
    <row r="72" spans="1:6" hidden="1" x14ac:dyDescent="0.25">
      <c r="A72" s="345" t="s">
        <v>954</v>
      </c>
      <c r="B72" s="373" t="s">
        <v>955</v>
      </c>
      <c r="C72" s="346" t="s">
        <v>559</v>
      </c>
      <c r="D72" s="347">
        <v>279000</v>
      </c>
      <c r="E72" s="345">
        <v>0</v>
      </c>
      <c r="F72" s="347">
        <v>0</v>
      </c>
    </row>
    <row r="73" spans="1:6" hidden="1" x14ac:dyDescent="0.25">
      <c r="A73" s="344" t="s">
        <v>562</v>
      </c>
      <c r="B73" s="373"/>
      <c r="C73" s="346"/>
      <c r="D73" s="347"/>
      <c r="E73" s="345"/>
      <c r="F73" s="347"/>
    </row>
    <row r="74" spans="1:6" hidden="1" x14ac:dyDescent="0.25">
      <c r="A74" s="345" t="s">
        <v>956</v>
      </c>
      <c r="B74" s="373" t="s">
        <v>957</v>
      </c>
      <c r="C74" s="346" t="s">
        <v>958</v>
      </c>
      <c r="D74" s="347">
        <v>490000</v>
      </c>
      <c r="E74" s="345">
        <v>0</v>
      </c>
      <c r="F74" s="347">
        <v>0</v>
      </c>
    </row>
    <row r="75" spans="1:6" hidden="1" x14ac:dyDescent="0.25">
      <c r="A75" s="345" t="s">
        <v>959</v>
      </c>
      <c r="B75" s="373" t="s">
        <v>960</v>
      </c>
      <c r="C75" s="346" t="s">
        <v>958</v>
      </c>
      <c r="D75" s="347">
        <v>539000</v>
      </c>
      <c r="E75" s="345">
        <v>0</v>
      </c>
      <c r="F75" s="347">
        <v>0</v>
      </c>
    </row>
    <row r="76" spans="1:6" hidden="1" x14ac:dyDescent="0.25">
      <c r="A76" s="345" t="s">
        <v>961</v>
      </c>
      <c r="B76" s="373" t="s">
        <v>962</v>
      </c>
      <c r="C76" s="346" t="s">
        <v>958</v>
      </c>
      <c r="D76" s="347">
        <v>245000</v>
      </c>
      <c r="E76" s="345">
        <v>0</v>
      </c>
      <c r="F76" s="347">
        <v>0</v>
      </c>
    </row>
    <row r="77" spans="1:6" hidden="1" x14ac:dyDescent="0.25">
      <c r="A77" s="344" t="s">
        <v>963</v>
      </c>
      <c r="B77" s="373"/>
      <c r="C77" s="346"/>
      <c r="D77" s="347"/>
      <c r="E77" s="345"/>
      <c r="F77" s="347"/>
    </row>
    <row r="78" spans="1:6" hidden="1" x14ac:dyDescent="0.25">
      <c r="A78" s="345" t="s">
        <v>964</v>
      </c>
      <c r="B78" s="373" t="s">
        <v>965</v>
      </c>
      <c r="C78" s="346" t="s">
        <v>902</v>
      </c>
      <c r="D78" s="347">
        <v>4100000</v>
      </c>
      <c r="E78" s="345">
        <v>0</v>
      </c>
      <c r="F78" s="347">
        <v>0</v>
      </c>
    </row>
    <row r="79" spans="1:6" hidden="1" x14ac:dyDescent="0.25">
      <c r="A79" s="345" t="s">
        <v>966</v>
      </c>
      <c r="B79" s="373" t="s">
        <v>967</v>
      </c>
      <c r="C79" s="346" t="s">
        <v>968</v>
      </c>
      <c r="D79" s="347">
        <v>1800</v>
      </c>
      <c r="E79" s="345">
        <v>0</v>
      </c>
      <c r="F79" s="347">
        <v>0</v>
      </c>
    </row>
    <row r="80" spans="1:6" hidden="1" x14ac:dyDescent="0.25">
      <c r="A80" s="344" t="s">
        <v>969</v>
      </c>
      <c r="B80" s="373"/>
      <c r="C80" s="346"/>
      <c r="D80" s="347"/>
      <c r="E80" s="345"/>
      <c r="F80" s="347"/>
    </row>
    <row r="81" spans="1:6" hidden="1" x14ac:dyDescent="0.25">
      <c r="A81" s="345" t="s">
        <v>970</v>
      </c>
      <c r="B81" s="373" t="s">
        <v>971</v>
      </c>
      <c r="C81" s="346" t="s">
        <v>902</v>
      </c>
      <c r="D81" s="347">
        <v>3400000</v>
      </c>
      <c r="E81" s="345">
        <v>0</v>
      </c>
      <c r="F81" s="347">
        <v>0</v>
      </c>
    </row>
    <row r="82" spans="1:6" hidden="1" x14ac:dyDescent="0.25">
      <c r="A82" s="345" t="s">
        <v>972</v>
      </c>
      <c r="B82" s="373" t="s">
        <v>973</v>
      </c>
      <c r="C82" s="346" t="s">
        <v>968</v>
      </c>
      <c r="D82" s="347">
        <v>150000</v>
      </c>
      <c r="E82" s="345">
        <v>0</v>
      </c>
      <c r="F82" s="347">
        <v>0</v>
      </c>
    </row>
    <row r="83" spans="1:6" hidden="1" x14ac:dyDescent="0.25">
      <c r="A83" s="345" t="s">
        <v>974</v>
      </c>
      <c r="B83" s="373" t="s">
        <v>975</v>
      </c>
      <c r="C83" s="346" t="s">
        <v>902</v>
      </c>
      <c r="D83" s="347">
        <v>3400000</v>
      </c>
      <c r="E83" s="345">
        <v>0</v>
      </c>
      <c r="F83" s="347">
        <v>0</v>
      </c>
    </row>
    <row r="84" spans="1:6" hidden="1" x14ac:dyDescent="0.25">
      <c r="A84" s="345" t="s">
        <v>976</v>
      </c>
      <c r="B84" s="373" t="s">
        <v>977</v>
      </c>
      <c r="C84" s="346" t="s">
        <v>968</v>
      </c>
      <c r="D84" s="347">
        <v>150000</v>
      </c>
      <c r="E84" s="345">
        <v>0</v>
      </c>
      <c r="F84" s="347">
        <v>0</v>
      </c>
    </row>
    <row r="85" spans="1:6" hidden="1" x14ac:dyDescent="0.25">
      <c r="A85" s="344" t="s">
        <v>978</v>
      </c>
      <c r="B85" s="373"/>
      <c r="C85" s="346"/>
      <c r="D85" s="347"/>
      <c r="E85" s="345"/>
      <c r="F85" s="347"/>
    </row>
    <row r="86" spans="1:6" hidden="1" x14ac:dyDescent="0.25">
      <c r="A86" s="345" t="s">
        <v>979</v>
      </c>
      <c r="B86" s="373" t="s">
        <v>980</v>
      </c>
      <c r="C86" s="346" t="s">
        <v>817</v>
      </c>
      <c r="D86" s="347" t="s">
        <v>817</v>
      </c>
      <c r="E86" s="345" t="s">
        <v>817</v>
      </c>
      <c r="F86" s="347">
        <v>0</v>
      </c>
    </row>
    <row r="87" spans="1:6" x14ac:dyDescent="0.25">
      <c r="A87" s="344" t="s">
        <v>981</v>
      </c>
      <c r="B87" s="373"/>
      <c r="C87" s="346"/>
      <c r="D87" s="347"/>
      <c r="E87" s="345"/>
      <c r="F87" s="347"/>
    </row>
    <row r="88" spans="1:6" x14ac:dyDescent="0.25">
      <c r="A88" s="345" t="s">
        <v>982</v>
      </c>
      <c r="B88" s="373" t="s">
        <v>983</v>
      </c>
      <c r="C88" s="346" t="s">
        <v>559</v>
      </c>
      <c r="D88" s="347">
        <v>2848000</v>
      </c>
      <c r="E88" s="345">
        <v>0</v>
      </c>
      <c r="F88" s="347">
        <v>0</v>
      </c>
    </row>
    <row r="89" spans="1:6" x14ac:dyDescent="0.25">
      <c r="A89" s="345" t="s">
        <v>984</v>
      </c>
      <c r="B89" s="373" t="s">
        <v>985</v>
      </c>
      <c r="C89" s="346" t="s">
        <v>827</v>
      </c>
      <c r="D89" s="347" t="s">
        <v>817</v>
      </c>
      <c r="E89" s="345" t="s">
        <v>817</v>
      </c>
      <c r="F89" s="347">
        <v>0</v>
      </c>
    </row>
    <row r="90" spans="1:6" x14ac:dyDescent="0.25">
      <c r="A90" s="354" t="s">
        <v>563</v>
      </c>
      <c r="B90" s="375"/>
      <c r="C90" s="351"/>
      <c r="D90" s="356"/>
      <c r="E90" s="355"/>
      <c r="F90" s="356">
        <f>SUM(F91:F92)</f>
        <v>4702902</v>
      </c>
    </row>
    <row r="91" spans="1:6" ht="21.75" customHeight="1" x14ac:dyDescent="0.25">
      <c r="A91" s="345" t="s">
        <v>986</v>
      </c>
      <c r="B91" s="373" t="s">
        <v>987</v>
      </c>
      <c r="C91" s="346" t="s">
        <v>559</v>
      </c>
      <c r="D91" s="347">
        <v>1900000</v>
      </c>
      <c r="E91" s="345">
        <v>0.72</v>
      </c>
      <c r="F91" s="347">
        <f>+D91*E91</f>
        <v>1368000</v>
      </c>
    </row>
    <row r="92" spans="1:6" x14ac:dyDescent="0.25">
      <c r="A92" s="345" t="s">
        <v>988</v>
      </c>
      <c r="B92" s="373" t="s">
        <v>989</v>
      </c>
      <c r="C92" s="346" t="s">
        <v>827</v>
      </c>
      <c r="D92" s="347" t="s">
        <v>817</v>
      </c>
      <c r="E92" s="345" t="s">
        <v>817</v>
      </c>
      <c r="F92" s="347">
        <v>3334902</v>
      </c>
    </row>
    <row r="93" spans="1:6" x14ac:dyDescent="0.25">
      <c r="A93" s="354" t="s">
        <v>990</v>
      </c>
      <c r="B93" s="375"/>
      <c r="C93" s="351"/>
      <c r="D93" s="356"/>
      <c r="E93" s="355"/>
      <c r="F93" s="356">
        <f>SUM(F94)</f>
        <v>96672</v>
      </c>
    </row>
    <row r="94" spans="1:6" x14ac:dyDescent="0.25">
      <c r="A94" s="345" t="s">
        <v>991</v>
      </c>
      <c r="B94" s="373" t="s">
        <v>992</v>
      </c>
      <c r="C94" s="346" t="s">
        <v>827</v>
      </c>
      <c r="D94" s="347">
        <v>456</v>
      </c>
      <c r="E94" s="345">
        <v>212</v>
      </c>
      <c r="F94" s="347">
        <v>96672</v>
      </c>
    </row>
    <row r="95" spans="1:6" x14ac:dyDescent="0.25">
      <c r="A95" s="354" t="s">
        <v>993</v>
      </c>
      <c r="B95" s="375"/>
      <c r="C95" s="351"/>
      <c r="D95" s="356"/>
      <c r="E95" s="355"/>
      <c r="F95" s="356">
        <f>SUM(F96:F98)</f>
        <v>12675100</v>
      </c>
    </row>
    <row r="96" spans="1:6" ht="25.5" x14ac:dyDescent="0.25">
      <c r="A96" s="345" t="s">
        <v>994</v>
      </c>
      <c r="B96" s="373" t="s">
        <v>995</v>
      </c>
      <c r="C96" s="346" t="s">
        <v>559</v>
      </c>
      <c r="D96" s="347">
        <v>4419000</v>
      </c>
      <c r="E96" s="345">
        <v>1</v>
      </c>
      <c r="F96" s="347">
        <v>4419000</v>
      </c>
    </row>
    <row r="97" spans="1:7" ht="25.5" x14ac:dyDescent="0.25">
      <c r="A97" s="345" t="s">
        <v>996</v>
      </c>
      <c r="B97" s="373" t="s">
        <v>997</v>
      </c>
      <c r="C97" s="346" t="s">
        <v>559</v>
      </c>
      <c r="D97" s="347">
        <v>2993000</v>
      </c>
      <c r="E97" s="345">
        <v>2.7</v>
      </c>
      <c r="F97" s="347">
        <v>8081100</v>
      </c>
    </row>
    <row r="98" spans="1:7" x14ac:dyDescent="0.25">
      <c r="A98" s="345" t="s">
        <v>998</v>
      </c>
      <c r="B98" s="373" t="s">
        <v>999</v>
      </c>
      <c r="C98" s="346" t="s">
        <v>827</v>
      </c>
      <c r="D98" s="347" t="s">
        <v>817</v>
      </c>
      <c r="E98" s="345" t="s">
        <v>817</v>
      </c>
      <c r="F98" s="347">
        <v>175000</v>
      </c>
      <c r="G98" s="409"/>
    </row>
    <row r="99" spans="1:7" x14ac:dyDescent="0.25">
      <c r="A99" s="345"/>
      <c r="B99" s="373" t="s">
        <v>1762</v>
      </c>
      <c r="C99" s="346"/>
      <c r="D99" s="347"/>
      <c r="E99" s="345"/>
      <c r="F99" s="347">
        <v>1898293</v>
      </c>
      <c r="G99" s="409"/>
    </row>
    <row r="100" spans="1:7" s="405" customFormat="1" ht="30" customHeight="1" x14ac:dyDescent="0.25">
      <c r="A100" s="358" t="s">
        <v>56</v>
      </c>
      <c r="B100" s="376" t="s">
        <v>1146</v>
      </c>
      <c r="C100" s="359" t="s">
        <v>827</v>
      </c>
      <c r="D100" s="360" t="s">
        <v>817</v>
      </c>
      <c r="E100" s="358" t="s">
        <v>817</v>
      </c>
      <c r="F100" s="360">
        <f>+F95+F93+F90+F34+F33+F32+F99</f>
        <v>41151047</v>
      </c>
    </row>
    <row r="101" spans="1:7" x14ac:dyDescent="0.25">
      <c r="A101" s="345"/>
      <c r="B101" s="373"/>
      <c r="C101" s="346"/>
      <c r="D101" s="347"/>
      <c r="E101" s="345"/>
      <c r="F101" s="347"/>
      <c r="G101" s="797"/>
    </row>
    <row r="102" spans="1:7" x14ac:dyDescent="0.25">
      <c r="A102" s="344" t="s">
        <v>1000</v>
      </c>
      <c r="B102" s="373"/>
      <c r="C102" s="346"/>
      <c r="D102" s="347"/>
      <c r="E102" s="345"/>
      <c r="F102" s="347"/>
    </row>
    <row r="103" spans="1:7" x14ac:dyDescent="0.25">
      <c r="A103" s="345" t="s">
        <v>1001</v>
      </c>
      <c r="B103" s="373" t="s">
        <v>1002</v>
      </c>
      <c r="C103" s="346" t="s">
        <v>827</v>
      </c>
      <c r="D103" s="347" t="s">
        <v>817</v>
      </c>
      <c r="E103" s="345" t="s">
        <v>817</v>
      </c>
      <c r="F103" s="347">
        <v>0</v>
      </c>
    </row>
    <row r="104" spans="1:7" x14ac:dyDescent="0.25">
      <c r="A104" s="345" t="s">
        <v>1003</v>
      </c>
      <c r="B104" s="373" t="s">
        <v>1004</v>
      </c>
      <c r="C104" s="346" t="s">
        <v>827</v>
      </c>
      <c r="D104" s="347" t="s">
        <v>817</v>
      </c>
      <c r="E104" s="345" t="s">
        <v>817</v>
      </c>
      <c r="F104" s="347">
        <v>0</v>
      </c>
    </row>
    <row r="105" spans="1:7" ht="25.5" x14ac:dyDescent="0.25">
      <c r="A105" s="345" t="s">
        <v>1005</v>
      </c>
      <c r="B105" s="373" t="s">
        <v>1006</v>
      </c>
      <c r="C105" s="346" t="s">
        <v>827</v>
      </c>
      <c r="D105" s="347">
        <v>454</v>
      </c>
      <c r="E105" s="345">
        <v>0</v>
      </c>
      <c r="F105" s="347">
        <v>0</v>
      </c>
    </row>
    <row r="106" spans="1:7" x14ac:dyDescent="0.25">
      <c r="A106" s="345" t="s">
        <v>1007</v>
      </c>
      <c r="B106" s="373" t="s">
        <v>1008</v>
      </c>
      <c r="C106" s="346" t="s">
        <v>827</v>
      </c>
      <c r="D106" s="347">
        <v>1210</v>
      </c>
      <c r="E106" s="345">
        <v>6356</v>
      </c>
      <c r="F106" s="347">
        <v>7690760</v>
      </c>
    </row>
    <row r="107" spans="1:7" x14ac:dyDescent="0.25">
      <c r="A107" s="345" t="s">
        <v>1009</v>
      </c>
      <c r="B107" s="373" t="s">
        <v>1010</v>
      </c>
      <c r="C107" s="346" t="s">
        <v>827</v>
      </c>
      <c r="D107" s="347" t="s">
        <v>817</v>
      </c>
      <c r="E107" s="345" t="s">
        <v>817</v>
      </c>
      <c r="F107" s="347">
        <v>0</v>
      </c>
    </row>
    <row r="108" spans="1:7" ht="30" customHeight="1" x14ac:dyDescent="0.25">
      <c r="A108" s="345" t="s">
        <v>1011</v>
      </c>
      <c r="B108" s="373" t="s">
        <v>1012</v>
      </c>
      <c r="C108" s="346" t="s">
        <v>827</v>
      </c>
      <c r="D108" s="347">
        <v>692200000</v>
      </c>
      <c r="E108" s="345">
        <v>0</v>
      </c>
      <c r="F108" s="347">
        <v>0</v>
      </c>
    </row>
    <row r="109" spans="1:7" x14ac:dyDescent="0.25">
      <c r="A109" s="345" t="s">
        <v>1013</v>
      </c>
      <c r="B109" s="373" t="s">
        <v>1014</v>
      </c>
      <c r="C109" s="346" t="s">
        <v>827</v>
      </c>
      <c r="D109" s="347">
        <v>407</v>
      </c>
      <c r="E109" s="345">
        <v>0</v>
      </c>
      <c r="F109" s="347">
        <v>0</v>
      </c>
    </row>
    <row r="110" spans="1:7" x14ac:dyDescent="0.25">
      <c r="A110" s="345" t="s">
        <v>1015</v>
      </c>
      <c r="B110" s="373" t="s">
        <v>1016</v>
      </c>
      <c r="C110" s="346" t="s">
        <v>827</v>
      </c>
      <c r="D110" s="347" t="s">
        <v>817</v>
      </c>
      <c r="E110" s="345" t="s">
        <v>817</v>
      </c>
      <c r="F110" s="347">
        <v>0</v>
      </c>
    </row>
    <row r="111" spans="1:7" x14ac:dyDescent="0.25">
      <c r="A111" s="345" t="s">
        <v>1017</v>
      </c>
      <c r="B111" s="373" t="s">
        <v>1018</v>
      </c>
      <c r="C111" s="346" t="s">
        <v>827</v>
      </c>
      <c r="D111" s="347" t="s">
        <v>817</v>
      </c>
      <c r="E111" s="345" t="s">
        <v>817</v>
      </c>
      <c r="F111" s="347">
        <v>70874</v>
      </c>
    </row>
    <row r="112" spans="1:7" x14ac:dyDescent="0.25">
      <c r="A112" s="355" t="s">
        <v>1019</v>
      </c>
      <c r="B112" s="375" t="s">
        <v>1020</v>
      </c>
      <c r="C112" s="351" t="s">
        <v>827</v>
      </c>
      <c r="D112" s="356" t="s">
        <v>817</v>
      </c>
      <c r="E112" s="355" t="s">
        <v>817</v>
      </c>
      <c r="F112" s="356">
        <f>SUM(F103:F111)</f>
        <v>7761634</v>
      </c>
    </row>
    <row r="113" spans="1:6" hidden="1" x14ac:dyDescent="0.25">
      <c r="A113" s="344" t="s">
        <v>1021</v>
      </c>
      <c r="B113" s="373"/>
      <c r="C113" s="346"/>
      <c r="D113" s="347"/>
      <c r="E113" s="345"/>
      <c r="F113" s="347"/>
    </row>
    <row r="114" spans="1:6" hidden="1" x14ac:dyDescent="0.25">
      <c r="A114" s="345" t="s">
        <v>1022</v>
      </c>
      <c r="B114" s="373" t="s">
        <v>1023</v>
      </c>
      <c r="C114" s="346" t="s">
        <v>827</v>
      </c>
      <c r="D114" s="347" t="s">
        <v>817</v>
      </c>
      <c r="E114" s="345" t="s">
        <v>817</v>
      </c>
      <c r="F114" s="347">
        <v>0</v>
      </c>
    </row>
    <row r="115" spans="1:6" hidden="1" x14ac:dyDescent="0.25">
      <c r="A115" s="344" t="s">
        <v>1024</v>
      </c>
      <c r="B115" s="373"/>
      <c r="C115" s="346"/>
      <c r="D115" s="347"/>
      <c r="E115" s="345"/>
      <c r="F115" s="347"/>
    </row>
    <row r="116" spans="1:6" hidden="1" x14ac:dyDescent="0.25">
      <c r="A116" s="345" t="s">
        <v>1025</v>
      </c>
      <c r="B116" s="373" t="s">
        <v>1026</v>
      </c>
      <c r="C116" s="346" t="s">
        <v>827</v>
      </c>
      <c r="D116" s="347" t="s">
        <v>817</v>
      </c>
      <c r="E116" s="345" t="s">
        <v>817</v>
      </c>
      <c r="F116" s="347">
        <v>0</v>
      </c>
    </row>
    <row r="117" spans="1:6" hidden="1" x14ac:dyDescent="0.25">
      <c r="A117" s="345" t="s">
        <v>1027</v>
      </c>
      <c r="B117" s="373" t="s">
        <v>1028</v>
      </c>
      <c r="C117" s="346" t="s">
        <v>827</v>
      </c>
      <c r="D117" s="347" t="s">
        <v>817</v>
      </c>
      <c r="E117" s="345" t="s">
        <v>817</v>
      </c>
      <c r="F117" s="347">
        <v>0</v>
      </c>
    </row>
    <row r="118" spans="1:6" hidden="1" x14ac:dyDescent="0.25">
      <c r="A118" s="345" t="s">
        <v>1029</v>
      </c>
      <c r="B118" s="373" t="s">
        <v>1030</v>
      </c>
      <c r="C118" s="346" t="s">
        <v>827</v>
      </c>
      <c r="D118" s="347" t="s">
        <v>817</v>
      </c>
      <c r="E118" s="345" t="s">
        <v>817</v>
      </c>
      <c r="F118" s="347">
        <v>0</v>
      </c>
    </row>
    <row r="119" spans="1:6" hidden="1" x14ac:dyDescent="0.25">
      <c r="A119" s="344" t="s">
        <v>1031</v>
      </c>
      <c r="B119" s="373"/>
      <c r="C119" s="346"/>
      <c r="D119" s="347"/>
      <c r="E119" s="345"/>
      <c r="F119" s="347"/>
    </row>
    <row r="120" spans="1:6" hidden="1" x14ac:dyDescent="0.25">
      <c r="A120" s="345" t="s">
        <v>1032</v>
      </c>
      <c r="B120" s="373" t="s">
        <v>1026</v>
      </c>
      <c r="C120" s="346" t="s">
        <v>827</v>
      </c>
      <c r="D120" s="347" t="s">
        <v>817</v>
      </c>
      <c r="E120" s="345" t="s">
        <v>817</v>
      </c>
      <c r="F120" s="347">
        <v>0</v>
      </c>
    </row>
    <row r="121" spans="1:6" hidden="1" x14ac:dyDescent="0.25">
      <c r="A121" s="345" t="s">
        <v>1033</v>
      </c>
      <c r="B121" s="373" t="s">
        <v>1034</v>
      </c>
      <c r="C121" s="346" t="s">
        <v>827</v>
      </c>
      <c r="D121" s="347" t="s">
        <v>817</v>
      </c>
      <c r="E121" s="345" t="s">
        <v>817</v>
      </c>
      <c r="F121" s="347">
        <v>0</v>
      </c>
    </row>
    <row r="122" spans="1:6" hidden="1" x14ac:dyDescent="0.25">
      <c r="A122" s="345" t="s">
        <v>1035</v>
      </c>
      <c r="B122" s="373" t="s">
        <v>1030</v>
      </c>
      <c r="C122" s="346" t="s">
        <v>827</v>
      </c>
      <c r="D122" s="347" t="s">
        <v>817</v>
      </c>
      <c r="E122" s="345" t="s">
        <v>817</v>
      </c>
      <c r="F122" s="347">
        <v>0</v>
      </c>
    </row>
    <row r="123" spans="1:6" hidden="1" x14ac:dyDescent="0.25">
      <c r="A123" s="345" t="s">
        <v>1036</v>
      </c>
      <c r="B123" s="373" t="s">
        <v>1037</v>
      </c>
      <c r="C123" s="346" t="s">
        <v>827</v>
      </c>
      <c r="D123" s="347" t="s">
        <v>817</v>
      </c>
      <c r="E123" s="345" t="s">
        <v>817</v>
      </c>
      <c r="F123" s="347">
        <v>0</v>
      </c>
    </row>
    <row r="124" spans="1:6" hidden="1" x14ac:dyDescent="0.25">
      <c r="A124" s="344" t="s">
        <v>1038</v>
      </c>
      <c r="B124" s="373"/>
      <c r="C124" s="346"/>
      <c r="D124" s="347"/>
      <c r="E124" s="345"/>
      <c r="F124" s="347"/>
    </row>
    <row r="125" spans="1:6" hidden="1" x14ac:dyDescent="0.25">
      <c r="A125" s="345" t="s">
        <v>1039</v>
      </c>
      <c r="B125" s="373" t="s">
        <v>1026</v>
      </c>
      <c r="C125" s="346" t="s">
        <v>827</v>
      </c>
      <c r="D125" s="347" t="s">
        <v>817</v>
      </c>
      <c r="E125" s="345" t="s">
        <v>817</v>
      </c>
      <c r="F125" s="347">
        <v>0</v>
      </c>
    </row>
    <row r="126" spans="1:6" hidden="1" x14ac:dyDescent="0.25">
      <c r="A126" s="345" t="s">
        <v>1040</v>
      </c>
      <c r="B126" s="373" t="s">
        <v>1034</v>
      </c>
      <c r="C126" s="346" t="s">
        <v>827</v>
      </c>
      <c r="D126" s="347" t="s">
        <v>817</v>
      </c>
      <c r="E126" s="345" t="s">
        <v>817</v>
      </c>
      <c r="F126" s="347">
        <v>0</v>
      </c>
    </row>
    <row r="127" spans="1:6" hidden="1" x14ac:dyDescent="0.25">
      <c r="A127" s="345" t="s">
        <v>1041</v>
      </c>
      <c r="B127" s="373" t="s">
        <v>1042</v>
      </c>
      <c r="C127" s="346" t="s">
        <v>827</v>
      </c>
      <c r="D127" s="347" t="s">
        <v>817</v>
      </c>
      <c r="E127" s="345" t="s">
        <v>817</v>
      </c>
      <c r="F127" s="347">
        <v>0</v>
      </c>
    </row>
    <row r="128" spans="1:6" hidden="1" x14ac:dyDescent="0.25">
      <c r="A128" s="344" t="s">
        <v>1043</v>
      </c>
      <c r="B128" s="373"/>
      <c r="C128" s="346"/>
      <c r="D128" s="347"/>
      <c r="E128" s="345"/>
      <c r="F128" s="347"/>
    </row>
    <row r="129" spans="1:23" hidden="1" x14ac:dyDescent="0.25">
      <c r="A129" s="345" t="s">
        <v>1044</v>
      </c>
      <c r="B129" s="373" t="s">
        <v>1026</v>
      </c>
      <c r="C129" s="346" t="s">
        <v>827</v>
      </c>
      <c r="D129" s="347" t="s">
        <v>817</v>
      </c>
      <c r="E129" s="345" t="s">
        <v>817</v>
      </c>
      <c r="F129" s="347">
        <v>0</v>
      </c>
    </row>
    <row r="130" spans="1:23" hidden="1" x14ac:dyDescent="0.25">
      <c r="A130" s="345" t="s">
        <v>1045</v>
      </c>
      <c r="B130" s="373" t="s">
        <v>1034</v>
      </c>
      <c r="C130" s="346" t="s">
        <v>827</v>
      </c>
      <c r="D130" s="347" t="s">
        <v>817</v>
      </c>
      <c r="E130" s="345" t="s">
        <v>817</v>
      </c>
      <c r="F130" s="347">
        <v>0</v>
      </c>
    </row>
    <row r="131" spans="1:23" hidden="1" x14ac:dyDescent="0.25">
      <c r="A131" s="345" t="s">
        <v>1046</v>
      </c>
      <c r="B131" s="373" t="s">
        <v>1042</v>
      </c>
      <c r="C131" s="346" t="s">
        <v>827</v>
      </c>
      <c r="D131" s="347" t="s">
        <v>817</v>
      </c>
      <c r="E131" s="345" t="s">
        <v>817</v>
      </c>
      <c r="F131" s="347">
        <v>0</v>
      </c>
    </row>
    <row r="132" spans="1:23" hidden="1" x14ac:dyDescent="0.25">
      <c r="A132" s="345" t="s">
        <v>1047</v>
      </c>
      <c r="B132" s="373" t="s">
        <v>1048</v>
      </c>
      <c r="C132" s="346" t="s">
        <v>827</v>
      </c>
      <c r="D132" s="347" t="s">
        <v>817</v>
      </c>
      <c r="E132" s="345" t="s">
        <v>817</v>
      </c>
      <c r="F132" s="347">
        <v>0</v>
      </c>
    </row>
    <row r="133" spans="1:23" hidden="1" x14ac:dyDescent="0.25">
      <c r="A133" s="345" t="s">
        <v>1049</v>
      </c>
      <c r="B133" s="373" t="s">
        <v>1050</v>
      </c>
      <c r="C133" s="346" t="s">
        <v>827</v>
      </c>
      <c r="D133" s="347" t="s">
        <v>817</v>
      </c>
      <c r="E133" s="345" t="s">
        <v>817</v>
      </c>
      <c r="F133" s="347">
        <v>0</v>
      </c>
    </row>
    <row r="134" spans="1:23" hidden="1" x14ac:dyDescent="0.25">
      <c r="A134" s="345" t="s">
        <v>1051</v>
      </c>
      <c r="B134" s="373" t="s">
        <v>1052</v>
      </c>
      <c r="C134" s="346" t="s">
        <v>827</v>
      </c>
      <c r="D134" s="347" t="s">
        <v>817</v>
      </c>
      <c r="E134" s="345" t="s">
        <v>817</v>
      </c>
      <c r="F134" s="347">
        <v>0</v>
      </c>
    </row>
    <row r="135" spans="1:23" ht="25.5" hidden="1" x14ac:dyDescent="0.25">
      <c r="A135" s="345" t="s">
        <v>1053</v>
      </c>
      <c r="B135" s="373" t="s">
        <v>1054</v>
      </c>
      <c r="C135" s="346" t="s">
        <v>827</v>
      </c>
      <c r="D135" s="347" t="s">
        <v>817</v>
      </c>
      <c r="E135" s="345" t="s">
        <v>817</v>
      </c>
      <c r="F135" s="347">
        <v>0</v>
      </c>
    </row>
    <row r="136" spans="1:23" x14ac:dyDescent="0.25">
      <c r="A136" s="355" t="s">
        <v>1147</v>
      </c>
      <c r="B136" s="375" t="s">
        <v>1148</v>
      </c>
      <c r="C136" s="351"/>
      <c r="D136" s="356"/>
      <c r="E136" s="355"/>
      <c r="F136" s="356">
        <v>716743</v>
      </c>
      <c r="G136" s="807"/>
    </row>
    <row r="137" spans="1:23" s="405" customFormat="1" ht="21" customHeight="1" x14ac:dyDescent="0.25">
      <c r="A137" s="358" t="s">
        <v>64</v>
      </c>
      <c r="B137" s="376" t="s">
        <v>1149</v>
      </c>
      <c r="C137" s="359" t="s">
        <v>827</v>
      </c>
      <c r="D137" s="360" t="s">
        <v>817</v>
      </c>
      <c r="E137" s="358" t="s">
        <v>817</v>
      </c>
      <c r="F137" s="360">
        <f>+F112+F136</f>
        <v>8478377</v>
      </c>
    </row>
    <row r="138" spans="1:23" customFormat="1" x14ac:dyDescent="0.25">
      <c r="A138" s="345" t="s">
        <v>1150</v>
      </c>
      <c r="B138" s="373" t="s">
        <v>1151</v>
      </c>
      <c r="C138" s="406"/>
      <c r="D138" s="407"/>
      <c r="E138" s="408"/>
      <c r="F138" s="347">
        <v>550897</v>
      </c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</row>
    <row r="139" spans="1:23" customFormat="1" x14ac:dyDescent="0.25">
      <c r="A139" s="345" t="s">
        <v>1152</v>
      </c>
      <c r="B139" s="373" t="s">
        <v>1153</v>
      </c>
      <c r="C139" s="406"/>
      <c r="D139" s="407"/>
      <c r="E139" s="408"/>
      <c r="F139" s="347">
        <v>721200</v>
      </c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</row>
    <row r="140" spans="1:23" customFormat="1" x14ac:dyDescent="0.25">
      <c r="A140" s="345" t="s">
        <v>1757</v>
      </c>
      <c r="B140" s="373" t="s">
        <v>1160</v>
      </c>
      <c r="C140" s="406"/>
      <c r="D140" s="407"/>
      <c r="E140" s="408"/>
      <c r="F140" s="347">
        <v>4580300</v>
      </c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  <c r="R140" s="409"/>
      <c r="S140" s="409"/>
      <c r="T140" s="409"/>
      <c r="U140" s="409"/>
      <c r="V140" s="409"/>
      <c r="W140" s="409"/>
    </row>
    <row r="141" spans="1:23" customFormat="1" x14ac:dyDescent="0.25">
      <c r="A141" s="345" t="s">
        <v>1758</v>
      </c>
      <c r="B141" s="373" t="s">
        <v>1759</v>
      </c>
      <c r="C141" s="406"/>
      <c r="D141" s="407"/>
      <c r="E141" s="408"/>
      <c r="F141" s="347">
        <v>792000</v>
      </c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  <c r="R141" s="409"/>
      <c r="S141" s="409"/>
      <c r="T141" s="409"/>
      <c r="U141" s="409"/>
      <c r="V141" s="409"/>
      <c r="W141" s="409"/>
    </row>
    <row r="142" spans="1:23" s="405" customFormat="1" ht="21" customHeight="1" x14ac:dyDescent="0.25">
      <c r="A142" s="358"/>
      <c r="B142" s="376" t="s">
        <v>1787</v>
      </c>
      <c r="C142" s="359"/>
      <c r="D142" s="360">
        <v>0</v>
      </c>
      <c r="E142" s="358"/>
      <c r="F142" s="360">
        <f>SUM(F138:F141)</f>
        <v>6644397</v>
      </c>
    </row>
    <row r="143" spans="1:23" customFormat="1" ht="14.25" customHeight="1" x14ac:dyDescent="0.25">
      <c r="A143" s="345" t="s">
        <v>1761</v>
      </c>
      <c r="B143" s="373" t="s">
        <v>1161</v>
      </c>
      <c r="C143" s="406"/>
      <c r="D143" s="407"/>
      <c r="E143" s="408"/>
      <c r="F143" s="347">
        <v>494100</v>
      </c>
      <c r="G143" s="409"/>
      <c r="H143" s="409"/>
      <c r="I143" s="409"/>
      <c r="J143" s="409"/>
      <c r="K143" s="409"/>
      <c r="L143" s="409"/>
      <c r="M143" s="409"/>
      <c r="N143" s="409"/>
      <c r="O143" s="409"/>
      <c r="P143" s="409"/>
      <c r="Q143" s="409"/>
      <c r="R143" s="409"/>
      <c r="S143" s="409"/>
      <c r="T143" s="409"/>
      <c r="U143" s="409"/>
      <c r="V143" s="409"/>
      <c r="W143" s="409"/>
    </row>
    <row r="144" spans="1:23" x14ac:dyDescent="0.25">
      <c r="A144" s="345" t="s">
        <v>1760</v>
      </c>
      <c r="B144" s="373" t="s">
        <v>1162</v>
      </c>
      <c r="C144" s="346"/>
      <c r="D144" s="347"/>
      <c r="E144" s="345"/>
      <c r="F144" s="347">
        <v>431470</v>
      </c>
    </row>
    <row r="145" spans="1:6" s="405" customFormat="1" ht="21" customHeight="1" x14ac:dyDescent="0.25">
      <c r="A145" s="358"/>
      <c r="B145" s="376" t="s">
        <v>1163</v>
      </c>
      <c r="C145" s="359"/>
      <c r="D145" s="360">
        <v>0</v>
      </c>
      <c r="E145" s="358"/>
      <c r="F145" s="360">
        <f>+F143+F144</f>
        <v>925570</v>
      </c>
    </row>
    <row r="146" spans="1:6" ht="15.75" thickBot="1" x14ac:dyDescent="0.3">
      <c r="A146" s="462"/>
      <c r="B146" s="463"/>
      <c r="C146" s="464"/>
      <c r="D146" s="465"/>
      <c r="E146" s="462"/>
      <c r="F146" s="465"/>
    </row>
    <row r="147" spans="1:6" s="323" customFormat="1" ht="16.5" thickTop="1" thickBot="1" x14ac:dyDescent="0.3">
      <c r="A147" s="361"/>
      <c r="B147" s="377" t="s">
        <v>1055</v>
      </c>
      <c r="C147" s="362"/>
      <c r="D147" s="363"/>
      <c r="E147" s="361"/>
      <c r="F147" s="363">
        <f>+F142+F137+F100+F31+F145+F146</f>
        <v>122943788</v>
      </c>
    </row>
    <row r="148" spans="1:6" ht="15.75" thickTop="1" x14ac:dyDescent="0.25"/>
    <row r="152" spans="1:6" x14ac:dyDescent="0.25">
      <c r="B152" s="367" t="s">
        <v>519</v>
      </c>
      <c r="F152" s="327">
        <f>+F31</f>
        <v>65744397</v>
      </c>
    </row>
    <row r="153" spans="1:6" x14ac:dyDescent="0.25">
      <c r="B153" s="367" t="s">
        <v>532</v>
      </c>
      <c r="F153" s="327">
        <f>+F139</f>
        <v>721200</v>
      </c>
    </row>
    <row r="154" spans="1:6" x14ac:dyDescent="0.25">
      <c r="B154" s="367" t="s">
        <v>1056</v>
      </c>
      <c r="F154" s="327">
        <f>+F33+F34+F94+F32</f>
        <v>21874752</v>
      </c>
    </row>
    <row r="155" spans="1:6" x14ac:dyDescent="0.25">
      <c r="B155" s="367" t="s">
        <v>1057</v>
      </c>
      <c r="F155" s="327">
        <f>+F95</f>
        <v>12675100</v>
      </c>
    </row>
    <row r="156" spans="1:6" x14ac:dyDescent="0.25">
      <c r="B156" s="367" t="s">
        <v>1058</v>
      </c>
      <c r="F156" s="327">
        <f>+F90</f>
        <v>4702902</v>
      </c>
    </row>
    <row r="157" spans="1:6" x14ac:dyDescent="0.25">
      <c r="B157" s="378" t="s">
        <v>1059</v>
      </c>
      <c r="C157" s="364"/>
      <c r="D157" s="365"/>
      <c r="E157" s="366"/>
      <c r="F157" s="365">
        <f>+F137</f>
        <v>8478377</v>
      </c>
    </row>
    <row r="158" spans="1:6" x14ac:dyDescent="0.25">
      <c r="F158" s="327">
        <f>SUM(F152:F157)</f>
        <v>114196728</v>
      </c>
    </row>
    <row r="159" spans="1:6" x14ac:dyDescent="0.25">
      <c r="F159" s="327">
        <f>+F158-F147</f>
        <v>-8747060</v>
      </c>
    </row>
    <row r="160" spans="1:6" x14ac:dyDescent="0.25">
      <c r="F160" s="327">
        <f>+F140+F141+F143+F144+F146+F138</f>
        <v>6848767</v>
      </c>
    </row>
  </sheetData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&amp;CTaksony Nagyközség Önkormányzat 2018. évi zárszámadás&amp;R8.sz. melléklet</oddHeader>
    <oddFooter xml:space="preserve">&amp;LKészült: &amp;D
&amp;C&amp;P&amp;R/:Kreisz László://:Dr.Micheller Anita:/
/:Szelecki N.Andrea:/       </oddFooter>
  </headerFooter>
  <rowBreaks count="1" manualBreakCount="1">
    <brk id="5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view="pageBreakPreview" zoomScaleNormal="100" zoomScaleSheetLayoutView="100" workbookViewId="0">
      <pane ySplit="1" topLeftCell="A2" activePane="bottomLeft" state="frozen"/>
      <selection activeCell="L86" sqref="L86"/>
      <selection pane="bottomLeft" activeCell="A2" sqref="A2:F2"/>
    </sheetView>
  </sheetViews>
  <sheetFormatPr defaultRowHeight="12.75" x14ac:dyDescent="0.2"/>
  <cols>
    <col min="1" max="1" width="4.28515625" style="210" customWidth="1"/>
    <col min="2" max="2" width="5.28515625" style="210" customWidth="1"/>
    <col min="3" max="3" width="46.42578125" style="210" customWidth="1"/>
    <col min="4" max="4" width="12" style="210" bestFit="1" customWidth="1"/>
    <col min="5" max="5" width="10.85546875" style="210" bestFit="1" customWidth="1"/>
    <col min="6" max="6" width="13.5703125" style="210" customWidth="1"/>
    <col min="7" max="16384" width="9.140625" style="210"/>
  </cols>
  <sheetData>
    <row r="2" spans="1:6" ht="14.25" x14ac:dyDescent="0.2">
      <c r="A2" s="864" t="s">
        <v>743</v>
      </c>
      <c r="B2" s="864"/>
      <c r="C2" s="864"/>
      <c r="D2" s="864"/>
      <c r="E2" s="864"/>
      <c r="F2" s="864"/>
    </row>
    <row r="3" spans="1:6" ht="13.5" thickBot="1" x14ac:dyDescent="0.25"/>
    <row r="4" spans="1:6" ht="15.75" customHeight="1" thickBot="1" x14ac:dyDescent="0.25">
      <c r="A4" s="858" t="s">
        <v>746</v>
      </c>
      <c r="B4" s="859"/>
      <c r="C4" s="862" t="s">
        <v>515</v>
      </c>
      <c r="D4" s="856" t="s">
        <v>1771</v>
      </c>
      <c r="E4" s="856"/>
      <c r="F4" s="857"/>
    </row>
    <row r="5" spans="1:6" ht="15.75" customHeight="1" thickBot="1" x14ac:dyDescent="0.25">
      <c r="A5" s="860"/>
      <c r="B5" s="861"/>
      <c r="C5" s="863"/>
      <c r="D5" s="475" t="s">
        <v>516</v>
      </c>
      <c r="E5" s="475" t="s">
        <v>517</v>
      </c>
      <c r="F5" s="476" t="s">
        <v>518</v>
      </c>
    </row>
    <row r="6" spans="1:6" ht="13.5" customHeight="1" thickTop="1" x14ac:dyDescent="0.2">
      <c r="A6" s="410" t="s">
        <v>105</v>
      </c>
      <c r="B6" s="411"/>
      <c r="C6" s="803" t="s">
        <v>519</v>
      </c>
      <c r="D6" s="413">
        <f>SUM(D7:D20)</f>
        <v>49855855</v>
      </c>
      <c r="E6" s="413">
        <f>SUM(E7:E20)</f>
        <v>2583410.2199999997</v>
      </c>
      <c r="F6" s="808">
        <f>SUM(F7:F20)</f>
        <v>52439265.219999999</v>
      </c>
    </row>
    <row r="7" spans="1:6" x14ac:dyDescent="0.2">
      <c r="A7" s="118"/>
      <c r="B7" s="125" t="s">
        <v>520</v>
      </c>
      <c r="C7" s="126" t="s">
        <v>643</v>
      </c>
      <c r="D7" s="130">
        <v>800000</v>
      </c>
      <c r="E7" s="119">
        <f>D7*27%</f>
        <v>216000</v>
      </c>
      <c r="F7" s="120">
        <f>D7+E7</f>
        <v>1016000</v>
      </c>
    </row>
    <row r="8" spans="1:6" x14ac:dyDescent="0.2">
      <c r="A8" s="118"/>
      <c r="B8" s="125" t="s">
        <v>521</v>
      </c>
      <c r="C8" s="126" t="s">
        <v>1090</v>
      </c>
      <c r="D8" s="119">
        <v>500000</v>
      </c>
      <c r="E8" s="119">
        <f t="shared" ref="E8:E9" si="0">D8*27%</f>
        <v>135000</v>
      </c>
      <c r="F8" s="120">
        <f t="shared" ref="F8:F9" si="1">D8+E8</f>
        <v>635000</v>
      </c>
    </row>
    <row r="9" spans="1:6" x14ac:dyDescent="0.2">
      <c r="A9" s="118"/>
      <c r="B9" s="125" t="s">
        <v>588</v>
      </c>
      <c r="C9" s="126" t="s">
        <v>1089</v>
      </c>
      <c r="D9" s="130">
        <v>4900000</v>
      </c>
      <c r="E9" s="119">
        <f t="shared" si="0"/>
        <v>1323000</v>
      </c>
      <c r="F9" s="120">
        <f t="shared" si="1"/>
        <v>6223000</v>
      </c>
    </row>
    <row r="10" spans="1:6" x14ac:dyDescent="0.2">
      <c r="A10" s="118"/>
      <c r="B10" s="125" t="s">
        <v>589</v>
      </c>
      <c r="C10" s="126" t="s">
        <v>644</v>
      </c>
      <c r="D10" s="130">
        <v>6436383</v>
      </c>
      <c r="E10" s="119"/>
      <c r="F10" s="120">
        <f t="shared" ref="F10:F13" si="2">D10+E10</f>
        <v>6436383</v>
      </c>
    </row>
    <row r="11" spans="1:6" x14ac:dyDescent="0.2">
      <c r="A11" s="118"/>
      <c r="B11" s="125" t="s">
        <v>590</v>
      </c>
      <c r="C11" s="126" t="s">
        <v>1164</v>
      </c>
      <c r="D11" s="119">
        <v>33851286</v>
      </c>
      <c r="E11" s="119"/>
      <c r="F11" s="120">
        <f t="shared" si="2"/>
        <v>33851286</v>
      </c>
    </row>
    <row r="12" spans="1:6" x14ac:dyDescent="0.2">
      <c r="A12" s="118"/>
      <c r="B12" s="125" t="s">
        <v>591</v>
      </c>
      <c r="C12" s="126" t="s">
        <v>1091</v>
      </c>
      <c r="D12" s="119">
        <v>1000000</v>
      </c>
      <c r="E12" s="119">
        <f t="shared" ref="E12:E13" si="3">D12*27%</f>
        <v>270000</v>
      </c>
      <c r="F12" s="120">
        <f t="shared" si="2"/>
        <v>1270000</v>
      </c>
    </row>
    <row r="13" spans="1:6" x14ac:dyDescent="0.2">
      <c r="A13" s="118"/>
      <c r="B13" s="125" t="s">
        <v>592</v>
      </c>
      <c r="C13" s="126" t="s">
        <v>645</v>
      </c>
      <c r="D13" s="119">
        <v>336530</v>
      </c>
      <c r="E13" s="119">
        <f t="shared" si="3"/>
        <v>90863.1</v>
      </c>
      <c r="F13" s="120">
        <f t="shared" si="2"/>
        <v>427393.1</v>
      </c>
    </row>
    <row r="14" spans="1:6" s="467" customFormat="1" x14ac:dyDescent="0.2">
      <c r="A14" s="466"/>
      <c r="B14" s="125" t="s">
        <v>1092</v>
      </c>
      <c r="C14" s="126" t="s">
        <v>1177</v>
      </c>
      <c r="D14" s="119">
        <v>1434570</v>
      </c>
      <c r="E14" s="119">
        <f>+D14*27%</f>
        <v>387333.9</v>
      </c>
      <c r="F14" s="120">
        <f>+E14+D14</f>
        <v>1821903.9</v>
      </c>
    </row>
    <row r="15" spans="1:6" s="467" customFormat="1" x14ac:dyDescent="0.2">
      <c r="A15" s="466"/>
      <c r="B15" s="125" t="s">
        <v>1093</v>
      </c>
      <c r="C15" s="126" t="s">
        <v>1178</v>
      </c>
      <c r="D15" s="119">
        <v>222063</v>
      </c>
      <c r="E15" s="119">
        <f t="shared" ref="E15:E20" si="4">+D15*27%</f>
        <v>59957.01</v>
      </c>
      <c r="F15" s="120">
        <f t="shared" ref="F15" si="5">+E15+D15</f>
        <v>282020.01</v>
      </c>
    </row>
    <row r="16" spans="1:6" s="467" customFormat="1" x14ac:dyDescent="0.2">
      <c r="A16" s="466"/>
      <c r="B16" s="125" t="s">
        <v>1094</v>
      </c>
      <c r="C16" s="126" t="s">
        <v>1182</v>
      </c>
      <c r="D16" s="119">
        <v>122689</v>
      </c>
      <c r="E16" s="119">
        <f t="shared" si="4"/>
        <v>33126.03</v>
      </c>
      <c r="F16" s="120">
        <f>+E16+D16</f>
        <v>155815.03</v>
      </c>
    </row>
    <row r="17" spans="1:6" s="467" customFormat="1" x14ac:dyDescent="0.2">
      <c r="A17" s="466"/>
      <c r="B17" s="125" t="s">
        <v>1095</v>
      </c>
      <c r="C17" s="126" t="s">
        <v>1181</v>
      </c>
      <c r="D17" s="119">
        <v>76134</v>
      </c>
      <c r="E17" s="119">
        <f t="shared" si="4"/>
        <v>20556.18</v>
      </c>
      <c r="F17" s="120">
        <f>+E17+D17</f>
        <v>96690.18</v>
      </c>
    </row>
    <row r="18" spans="1:6" s="467" customFormat="1" x14ac:dyDescent="0.2">
      <c r="A18" s="466"/>
      <c r="B18" s="125" t="s">
        <v>1126</v>
      </c>
      <c r="C18" s="126" t="s">
        <v>1179</v>
      </c>
      <c r="D18" s="119">
        <v>36200</v>
      </c>
      <c r="E18" s="119">
        <f t="shared" si="4"/>
        <v>9774</v>
      </c>
      <c r="F18" s="120">
        <f>+E18+D18</f>
        <v>45974</v>
      </c>
    </row>
    <row r="19" spans="1:6" s="467" customFormat="1" x14ac:dyDescent="0.2">
      <c r="A19" s="466"/>
      <c r="B19" s="125" t="s">
        <v>1165</v>
      </c>
      <c r="C19" s="126" t="s">
        <v>1180</v>
      </c>
      <c r="D19" s="119">
        <v>20000</v>
      </c>
      <c r="E19" s="119">
        <f t="shared" si="4"/>
        <v>5400</v>
      </c>
      <c r="F19" s="120">
        <f>+E19+D19</f>
        <v>25400</v>
      </c>
    </row>
    <row r="20" spans="1:6" s="467" customFormat="1" x14ac:dyDescent="0.2">
      <c r="A20" s="466"/>
      <c r="B20" s="125" t="s">
        <v>1176</v>
      </c>
      <c r="C20" s="126" t="s">
        <v>1772</v>
      </c>
      <c r="D20" s="119">
        <v>120000</v>
      </c>
      <c r="E20" s="119">
        <f t="shared" si="4"/>
        <v>32400.000000000004</v>
      </c>
      <c r="F20" s="120">
        <f>+E20+D20</f>
        <v>152400</v>
      </c>
    </row>
    <row r="21" spans="1:6" s="467" customFormat="1" x14ac:dyDescent="0.2">
      <c r="A21" s="466"/>
      <c r="B21" s="125"/>
      <c r="C21" s="126"/>
      <c r="D21" s="119"/>
      <c r="E21" s="119"/>
      <c r="F21" s="120"/>
    </row>
    <row r="22" spans="1:6" x14ac:dyDescent="0.2">
      <c r="A22" s="256"/>
      <c r="B22" s="250"/>
      <c r="C22" s="251"/>
      <c r="D22" s="252"/>
      <c r="E22" s="252"/>
      <c r="F22" s="253"/>
    </row>
    <row r="23" spans="1:6" x14ac:dyDescent="0.2">
      <c r="A23" s="118"/>
      <c r="B23" s="127"/>
      <c r="C23" s="225"/>
      <c r="D23" s="119"/>
      <c r="E23" s="119"/>
      <c r="F23" s="120"/>
    </row>
    <row r="24" spans="1:6" x14ac:dyDescent="0.2">
      <c r="A24" s="410" t="s">
        <v>106</v>
      </c>
      <c r="B24" s="128"/>
      <c r="C24" s="796" t="s">
        <v>532</v>
      </c>
      <c r="D24" s="116">
        <f>SUM(D25:D29)</f>
        <v>975090</v>
      </c>
      <c r="E24" s="116">
        <f t="shared" ref="E24" si="6">SUM(E25:E29)</f>
        <v>263274.3</v>
      </c>
      <c r="F24" s="117">
        <f>SUM(F25:F29)</f>
        <v>1238364.3</v>
      </c>
    </row>
    <row r="25" spans="1:6" x14ac:dyDescent="0.2">
      <c r="A25" s="121"/>
      <c r="B25" s="129" t="s">
        <v>522</v>
      </c>
      <c r="C25" s="213" t="s">
        <v>1097</v>
      </c>
      <c r="D25" s="130"/>
      <c r="E25" s="119">
        <f>F25-D25</f>
        <v>0</v>
      </c>
      <c r="F25" s="120">
        <f>D25*1.27</f>
        <v>0</v>
      </c>
    </row>
    <row r="26" spans="1:6" x14ac:dyDescent="0.2">
      <c r="A26" s="121"/>
      <c r="B26" s="129" t="s">
        <v>523</v>
      </c>
      <c r="C26" s="213" t="s">
        <v>1746</v>
      </c>
      <c r="D26" s="130">
        <v>749000</v>
      </c>
      <c r="E26" s="119">
        <f>+D26*0.27</f>
        <v>202230</v>
      </c>
      <c r="F26" s="120">
        <f>+D26+E26</f>
        <v>951230</v>
      </c>
    </row>
    <row r="27" spans="1:6" x14ac:dyDescent="0.2">
      <c r="A27" s="121"/>
      <c r="B27" s="129" t="s">
        <v>646</v>
      </c>
      <c r="C27" s="213" t="s">
        <v>745</v>
      </c>
      <c r="D27" s="130"/>
      <c r="E27" s="119">
        <f>F27-D27</f>
        <v>0</v>
      </c>
      <c r="F27" s="120">
        <f>D27*1.27</f>
        <v>0</v>
      </c>
    </row>
    <row r="28" spans="1:6" x14ac:dyDescent="0.2">
      <c r="A28" s="121"/>
      <c r="B28" s="129" t="s">
        <v>1183</v>
      </c>
      <c r="C28" s="213" t="s">
        <v>1096</v>
      </c>
      <c r="D28" s="119">
        <v>207200</v>
      </c>
      <c r="E28" s="119">
        <f>F28-D28</f>
        <v>55944</v>
      </c>
      <c r="F28" s="120">
        <f>D28*1.27</f>
        <v>263144</v>
      </c>
    </row>
    <row r="29" spans="1:6" x14ac:dyDescent="0.2">
      <c r="A29" s="121"/>
      <c r="B29" s="129" t="s">
        <v>1747</v>
      </c>
      <c r="C29" s="213" t="s">
        <v>1184</v>
      </c>
      <c r="D29" s="119">
        <v>18890</v>
      </c>
      <c r="E29" s="119">
        <f>F29-D29</f>
        <v>5100.2999999999993</v>
      </c>
      <c r="F29" s="120">
        <f>D29*1.27</f>
        <v>23990.3</v>
      </c>
    </row>
    <row r="30" spans="1:6" x14ac:dyDescent="0.2">
      <c r="A30" s="257"/>
      <c r="B30" s="254"/>
      <c r="C30" s="255"/>
      <c r="D30" s="252"/>
      <c r="E30" s="252"/>
      <c r="F30" s="253"/>
    </row>
    <row r="31" spans="1:6" x14ac:dyDescent="0.2">
      <c r="A31" s="121"/>
      <c r="B31" s="129"/>
      <c r="C31" s="213"/>
      <c r="D31" s="119"/>
      <c r="E31" s="119"/>
      <c r="F31" s="120"/>
    </row>
    <row r="32" spans="1:6" x14ac:dyDescent="0.2">
      <c r="A32" s="410" t="s">
        <v>107</v>
      </c>
      <c r="B32" s="132"/>
      <c r="C32" s="796" t="s">
        <v>529</v>
      </c>
      <c r="D32" s="116">
        <f t="shared" ref="D32:F32" si="7">SUM(D33:D35)</f>
        <v>725715</v>
      </c>
      <c r="E32" s="116">
        <f t="shared" si="7"/>
        <v>152744</v>
      </c>
      <c r="F32" s="117">
        <f t="shared" si="7"/>
        <v>878459</v>
      </c>
    </row>
    <row r="33" spans="1:6" x14ac:dyDescent="0.2">
      <c r="A33" s="121"/>
      <c r="B33" s="129" t="s">
        <v>524</v>
      </c>
      <c r="C33" s="213" t="s">
        <v>1098</v>
      </c>
      <c r="D33" s="119">
        <v>139000</v>
      </c>
      <c r="E33" s="119">
        <f>+D33*0.27</f>
        <v>37530</v>
      </c>
      <c r="F33" s="120">
        <f>+E33+D33</f>
        <v>176530</v>
      </c>
    </row>
    <row r="34" spans="1:6" x14ac:dyDescent="0.2">
      <c r="A34" s="121"/>
      <c r="B34" s="129" t="s">
        <v>525</v>
      </c>
      <c r="C34" s="213" t="s">
        <v>1099</v>
      </c>
      <c r="D34" s="119"/>
      <c r="E34" s="119"/>
      <c r="F34" s="120"/>
    </row>
    <row r="35" spans="1:6" x14ac:dyDescent="0.2">
      <c r="A35" s="121"/>
      <c r="B35" s="129" t="s">
        <v>1185</v>
      </c>
      <c r="C35" s="213" t="s">
        <v>1744</v>
      </c>
      <c r="D35" s="119">
        <v>586715</v>
      </c>
      <c r="E35" s="119">
        <v>115214</v>
      </c>
      <c r="F35" s="120">
        <f>D35+E35</f>
        <v>701929</v>
      </c>
    </row>
    <row r="36" spans="1:6" x14ac:dyDescent="0.2">
      <c r="A36" s="257"/>
      <c r="B36" s="254"/>
      <c r="C36" s="255"/>
      <c r="D36" s="252"/>
      <c r="E36" s="252"/>
      <c r="F36" s="253"/>
    </row>
    <row r="37" spans="1:6" x14ac:dyDescent="0.2">
      <c r="A37" s="121"/>
      <c r="B37" s="129"/>
      <c r="C37" s="213"/>
      <c r="D37" s="119"/>
      <c r="E37" s="119"/>
      <c r="F37" s="120"/>
    </row>
    <row r="38" spans="1:6" x14ac:dyDescent="0.2">
      <c r="A38" s="122" t="s">
        <v>108</v>
      </c>
      <c r="B38" s="132"/>
      <c r="C38" s="796" t="s">
        <v>526</v>
      </c>
      <c r="D38" s="116">
        <f>SUM(D39:D46)</f>
        <v>2304936</v>
      </c>
      <c r="E38" s="116">
        <f t="shared" ref="E38:F38" si="8">SUM(E39:E46)</f>
        <v>622332.72</v>
      </c>
      <c r="F38" s="117">
        <f t="shared" si="8"/>
        <v>2927268.7199999997</v>
      </c>
    </row>
    <row r="39" spans="1:6" x14ac:dyDescent="0.2">
      <c r="A39" s="121"/>
      <c r="B39" s="129" t="s">
        <v>527</v>
      </c>
      <c r="C39" s="213" t="s">
        <v>1740</v>
      </c>
      <c r="D39" s="119">
        <v>68500</v>
      </c>
      <c r="E39" s="119">
        <f t="shared" ref="E39:E41" si="9">D39*0.27</f>
        <v>18495</v>
      </c>
      <c r="F39" s="120">
        <f t="shared" ref="F39:F46" si="10">D39+E39</f>
        <v>86995</v>
      </c>
    </row>
    <row r="40" spans="1:6" x14ac:dyDescent="0.2">
      <c r="A40" s="121"/>
      <c r="B40" s="129" t="s">
        <v>528</v>
      </c>
      <c r="C40" s="213" t="s">
        <v>1741</v>
      </c>
      <c r="D40" s="119">
        <v>710595</v>
      </c>
      <c r="E40" s="119">
        <f t="shared" si="9"/>
        <v>191860.65000000002</v>
      </c>
      <c r="F40" s="120">
        <f t="shared" si="10"/>
        <v>902455.65</v>
      </c>
    </row>
    <row r="41" spans="1:6" x14ac:dyDescent="0.2">
      <c r="A41" s="121"/>
      <c r="B41" s="129" t="s">
        <v>647</v>
      </c>
      <c r="C41" s="213" t="s">
        <v>1186</v>
      </c>
      <c r="D41" s="119">
        <v>396850</v>
      </c>
      <c r="E41" s="119">
        <f t="shared" si="9"/>
        <v>107149.5</v>
      </c>
      <c r="F41" s="120">
        <f t="shared" si="10"/>
        <v>503999.5</v>
      </c>
    </row>
    <row r="42" spans="1:6" x14ac:dyDescent="0.2">
      <c r="A42" s="121"/>
      <c r="B42" s="129" t="s">
        <v>1102</v>
      </c>
      <c r="C42" s="213" t="s">
        <v>1100</v>
      </c>
      <c r="D42" s="119">
        <v>281794</v>
      </c>
      <c r="E42" s="119">
        <f>D42*0.27</f>
        <v>76084.38</v>
      </c>
      <c r="F42" s="120">
        <f t="shared" si="10"/>
        <v>357878.38</v>
      </c>
    </row>
    <row r="43" spans="1:6" x14ac:dyDescent="0.2">
      <c r="A43" s="121"/>
      <c r="B43" s="129" t="s">
        <v>1103</v>
      </c>
      <c r="C43" s="213" t="s">
        <v>1742</v>
      </c>
      <c r="D43" s="119">
        <v>157772</v>
      </c>
      <c r="E43" s="119">
        <f t="shared" ref="E43:E46" si="11">D43*0.27</f>
        <v>42598.44</v>
      </c>
      <c r="F43" s="120">
        <f t="shared" si="10"/>
        <v>200370.44</v>
      </c>
    </row>
    <row r="44" spans="1:6" x14ac:dyDescent="0.2">
      <c r="A44" s="121"/>
      <c r="B44" s="129" t="s">
        <v>1104</v>
      </c>
      <c r="C44" s="213" t="s">
        <v>1105</v>
      </c>
      <c r="D44" s="119"/>
      <c r="E44" s="119">
        <f t="shared" si="11"/>
        <v>0</v>
      </c>
      <c r="F44" s="120">
        <f t="shared" si="10"/>
        <v>0</v>
      </c>
    </row>
    <row r="45" spans="1:6" x14ac:dyDescent="0.2">
      <c r="A45" s="121"/>
      <c r="B45" s="129" t="s">
        <v>1101</v>
      </c>
      <c r="C45" s="213" t="s">
        <v>1106</v>
      </c>
      <c r="D45" s="119"/>
      <c r="E45" s="119">
        <f t="shared" si="11"/>
        <v>0</v>
      </c>
      <c r="F45" s="120">
        <f t="shared" si="10"/>
        <v>0</v>
      </c>
    </row>
    <row r="46" spans="1:6" x14ac:dyDescent="0.2">
      <c r="A46" s="121"/>
      <c r="B46" s="129" t="s">
        <v>1187</v>
      </c>
      <c r="C46" s="213" t="s">
        <v>1188</v>
      </c>
      <c r="D46" s="119">
        <v>689425</v>
      </c>
      <c r="E46" s="119">
        <f t="shared" si="11"/>
        <v>186144.75</v>
      </c>
      <c r="F46" s="120">
        <f t="shared" si="10"/>
        <v>875569.75</v>
      </c>
    </row>
    <row r="47" spans="1:6" x14ac:dyDescent="0.2">
      <c r="A47" s="257"/>
      <c r="B47" s="254"/>
      <c r="C47" s="255"/>
      <c r="D47" s="252"/>
      <c r="E47" s="252"/>
      <c r="F47" s="253"/>
    </row>
    <row r="48" spans="1:6" ht="13.5" customHeight="1" x14ac:dyDescent="0.2">
      <c r="A48" s="121"/>
      <c r="B48" s="129"/>
      <c r="C48" s="213"/>
      <c r="D48" s="119"/>
      <c r="E48" s="119"/>
      <c r="F48" s="120"/>
    </row>
    <row r="49" spans="1:6" ht="13.5" customHeight="1" x14ac:dyDescent="0.2">
      <c r="A49" s="122" t="s">
        <v>109</v>
      </c>
      <c r="B49" s="129"/>
      <c r="C49" s="796" t="s">
        <v>533</v>
      </c>
      <c r="D49" s="116">
        <f>SUM(D50:D53)</f>
        <v>69276</v>
      </c>
      <c r="E49" s="116">
        <f>SUM(E50:E53)-1</f>
        <v>18703.72</v>
      </c>
      <c r="F49" s="117">
        <f>SUM(F50:F53)-1</f>
        <v>87979.72</v>
      </c>
    </row>
    <row r="50" spans="1:6" x14ac:dyDescent="0.2">
      <c r="A50" s="122"/>
      <c r="B50" s="129" t="s">
        <v>530</v>
      </c>
      <c r="C50" s="213" t="s">
        <v>744</v>
      </c>
      <c r="D50" s="119"/>
      <c r="E50" s="119"/>
      <c r="F50" s="120"/>
    </row>
    <row r="51" spans="1:6" x14ac:dyDescent="0.2">
      <c r="A51" s="121"/>
      <c r="B51" s="129" t="s">
        <v>531</v>
      </c>
      <c r="C51" s="213" t="s">
        <v>1737</v>
      </c>
      <c r="D51" s="119">
        <v>15740</v>
      </c>
      <c r="E51" s="119">
        <v>4250</v>
      </c>
      <c r="F51" s="120">
        <f>+D51+E51</f>
        <v>19990</v>
      </c>
    </row>
    <row r="52" spans="1:6" x14ac:dyDescent="0.2">
      <c r="A52" s="121"/>
      <c r="B52" s="129" t="s">
        <v>1189</v>
      </c>
      <c r="C52" s="213" t="s">
        <v>1191</v>
      </c>
      <c r="D52" s="119">
        <v>46457</v>
      </c>
      <c r="E52" s="119">
        <f t="shared" ref="E52:E53" si="12">D52*27%</f>
        <v>12543.390000000001</v>
      </c>
      <c r="F52" s="120">
        <f t="shared" ref="F52:F53" si="13">D52+E52</f>
        <v>59000.39</v>
      </c>
    </row>
    <row r="53" spans="1:6" x14ac:dyDescent="0.2">
      <c r="A53" s="121"/>
      <c r="B53" s="129" t="s">
        <v>1190</v>
      </c>
      <c r="C53" s="213" t="s">
        <v>1178</v>
      </c>
      <c r="D53" s="119">
        <v>7079</v>
      </c>
      <c r="E53" s="119">
        <f t="shared" si="12"/>
        <v>1911.3300000000002</v>
      </c>
      <c r="F53" s="120">
        <f t="shared" si="13"/>
        <v>8990.33</v>
      </c>
    </row>
    <row r="54" spans="1:6" x14ac:dyDescent="0.2">
      <c r="A54" s="257"/>
      <c r="B54" s="254"/>
      <c r="C54" s="255"/>
      <c r="D54" s="252"/>
      <c r="E54" s="252"/>
      <c r="F54" s="253"/>
    </row>
    <row r="55" spans="1:6" x14ac:dyDescent="0.2">
      <c r="A55" s="121"/>
      <c r="B55" s="129"/>
      <c r="C55" s="211"/>
      <c r="D55" s="116"/>
      <c r="E55" s="116"/>
      <c r="F55" s="117"/>
    </row>
    <row r="56" spans="1:6" x14ac:dyDescent="0.2">
      <c r="A56" s="122" t="s">
        <v>110</v>
      </c>
      <c r="B56" s="129"/>
      <c r="C56" s="796" t="s">
        <v>742</v>
      </c>
      <c r="D56" s="116">
        <f>SUM(D57:D60)</f>
        <v>265063</v>
      </c>
      <c r="E56" s="116">
        <f t="shared" ref="E56:F56" si="14">SUM(E57:E60)</f>
        <v>71567.010000000009</v>
      </c>
      <c r="F56" s="117">
        <f t="shared" si="14"/>
        <v>336630.01</v>
      </c>
    </row>
    <row r="57" spans="1:6" x14ac:dyDescent="0.2">
      <c r="A57" s="121"/>
      <c r="B57" s="129" t="s">
        <v>1166</v>
      </c>
      <c r="C57" s="213" t="s">
        <v>1197</v>
      </c>
      <c r="D57" s="119">
        <v>33846</v>
      </c>
      <c r="E57" s="119">
        <f>D57*27%+1</f>
        <v>9139.42</v>
      </c>
      <c r="F57" s="120">
        <f>SUM(D57:E57)</f>
        <v>42985.42</v>
      </c>
    </row>
    <row r="58" spans="1:6" x14ac:dyDescent="0.2">
      <c r="A58" s="121"/>
      <c r="B58" s="129" t="s">
        <v>1167</v>
      </c>
      <c r="C58" s="213" t="s">
        <v>1168</v>
      </c>
      <c r="D58" s="119">
        <v>34634</v>
      </c>
      <c r="E58" s="119">
        <f t="shared" ref="E58:E59" si="15">D58*27%</f>
        <v>9351.18</v>
      </c>
      <c r="F58" s="120">
        <f t="shared" ref="F58:F59" si="16">SUM(D58:E58)</f>
        <v>43985.18</v>
      </c>
    </row>
    <row r="59" spans="1:6" x14ac:dyDescent="0.2">
      <c r="A59" s="472"/>
      <c r="B59" s="129" t="s">
        <v>1169</v>
      </c>
      <c r="C59" s="473" t="s">
        <v>1170</v>
      </c>
      <c r="D59" s="474">
        <v>65354</v>
      </c>
      <c r="E59" s="119">
        <f t="shared" si="15"/>
        <v>17645.580000000002</v>
      </c>
      <c r="F59" s="120">
        <f t="shared" si="16"/>
        <v>82999.58</v>
      </c>
    </row>
    <row r="60" spans="1:6" x14ac:dyDescent="0.2">
      <c r="A60" s="472"/>
      <c r="B60" s="795" t="s">
        <v>1734</v>
      </c>
      <c r="C60" s="473" t="s">
        <v>1735</v>
      </c>
      <c r="D60" s="474">
        <v>131229</v>
      </c>
      <c r="E60" s="119">
        <f>D60*27%-1</f>
        <v>35430.83</v>
      </c>
      <c r="F60" s="809">
        <f>+D60+E60</f>
        <v>166659.83000000002</v>
      </c>
    </row>
    <row r="61" spans="1:6" ht="13.5" thickBot="1" x14ac:dyDescent="0.25">
      <c r="A61" s="261"/>
      <c r="B61" s="258"/>
      <c r="C61" s="259" t="s">
        <v>541</v>
      </c>
      <c r="D61" s="260">
        <f>D56+D49+D38+D24+D6+D32</f>
        <v>54195935</v>
      </c>
      <c r="E61" s="260">
        <f>E56+E49+E38+E24+E6+E32</f>
        <v>3712031.9699999997</v>
      </c>
      <c r="F61" s="810">
        <f>F56+F49+F38+F24+F6+F32</f>
        <v>57907966.969999999</v>
      </c>
    </row>
  </sheetData>
  <mergeCells count="4">
    <mergeCell ref="D4:F4"/>
    <mergeCell ref="A4:B5"/>
    <mergeCell ref="C4:C5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&amp;CTaksony Nagyközség Önkormányzat 2018. évi zárszámadás&amp;R9.sz. melléklet</oddHeader>
    <oddFooter xml:space="preserve">&amp;LKészült: &amp;D
&amp;C&amp;P&amp;R/:Kreisz László://:Dr.Micheller Anita:/
/:Szelecki N.Andrea:/     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view="pageBreakPreview" zoomScaleNormal="100" zoomScaleSheetLayoutView="100" workbookViewId="0">
      <selection activeCell="G28" sqref="G28"/>
    </sheetView>
  </sheetViews>
  <sheetFormatPr defaultRowHeight="12.75" x14ac:dyDescent="0.2"/>
  <cols>
    <col min="1" max="1" width="3.5703125" style="210" customWidth="1"/>
    <col min="2" max="2" width="3.85546875" style="210" customWidth="1"/>
    <col min="3" max="3" width="38.28515625" style="210" customWidth="1"/>
    <col min="4" max="4" width="11.7109375" style="210" customWidth="1"/>
    <col min="5" max="5" width="11.140625" style="210" customWidth="1"/>
    <col min="6" max="6" width="11" style="210" customWidth="1"/>
    <col min="7" max="7" width="15" style="401" bestFit="1" customWidth="1"/>
    <col min="8" max="8" width="11.5703125" style="210" customWidth="1"/>
    <col min="9" max="16384" width="9.140625" style="210"/>
  </cols>
  <sheetData>
    <row r="2" spans="1:8" ht="14.25" x14ac:dyDescent="0.2">
      <c r="A2" s="864" t="s">
        <v>748</v>
      </c>
      <c r="B2" s="864"/>
      <c r="C2" s="864"/>
      <c r="D2" s="864"/>
      <c r="E2" s="864"/>
      <c r="F2" s="864"/>
    </row>
    <row r="3" spans="1:8" ht="13.5" thickBot="1" x14ac:dyDescent="0.25"/>
    <row r="4" spans="1:8" ht="15.75" customHeight="1" thickBot="1" x14ac:dyDescent="0.25">
      <c r="A4" s="858" t="s">
        <v>514</v>
      </c>
      <c r="B4" s="859"/>
      <c r="C4" s="862" t="s">
        <v>515</v>
      </c>
      <c r="D4" s="856" t="s">
        <v>1771</v>
      </c>
      <c r="E4" s="856"/>
      <c r="F4" s="857"/>
    </row>
    <row r="5" spans="1:8" ht="15.75" customHeight="1" thickBot="1" x14ac:dyDescent="0.25">
      <c r="A5" s="865"/>
      <c r="B5" s="866"/>
      <c r="C5" s="867"/>
      <c r="D5" s="475" t="s">
        <v>516</v>
      </c>
      <c r="E5" s="475" t="s">
        <v>517</v>
      </c>
      <c r="F5" s="476" t="s">
        <v>518</v>
      </c>
    </row>
    <row r="6" spans="1:8" x14ac:dyDescent="0.2">
      <c r="A6" s="410" t="s">
        <v>105</v>
      </c>
      <c r="B6" s="411"/>
      <c r="C6" s="412" t="s">
        <v>519</v>
      </c>
      <c r="D6" s="116">
        <f>SUM(D7:D17)</f>
        <v>488042480</v>
      </c>
      <c r="E6" s="116">
        <f>SUM(E7:E17)+1</f>
        <v>64933964.189999998</v>
      </c>
      <c r="F6" s="116">
        <f>SUM(F7:F17)+1</f>
        <v>552976444.19000006</v>
      </c>
    </row>
    <row r="7" spans="1:8" x14ac:dyDescent="0.2">
      <c r="A7" s="118"/>
      <c r="B7" s="125" t="s">
        <v>520</v>
      </c>
      <c r="C7" s="126" t="s">
        <v>1107</v>
      </c>
      <c r="D7" s="119"/>
      <c r="E7" s="119"/>
      <c r="F7" s="120"/>
    </row>
    <row r="8" spans="1:8" x14ac:dyDescent="0.2">
      <c r="A8" s="118"/>
      <c r="B8" s="125" t="s">
        <v>521</v>
      </c>
      <c r="C8" s="126" t="s">
        <v>1108</v>
      </c>
      <c r="D8" s="119">
        <v>274659</v>
      </c>
      <c r="E8" s="119">
        <f>+D8*27%+1</f>
        <v>74158.930000000008</v>
      </c>
      <c r="F8" s="120">
        <f t="shared" ref="F8" si="0">SUM(D8:E8)</f>
        <v>348817.93</v>
      </c>
      <c r="H8" s="176"/>
    </row>
    <row r="9" spans="1:8" x14ac:dyDescent="0.2">
      <c r="A9" s="118"/>
      <c r="B9" s="125" t="s">
        <v>588</v>
      </c>
      <c r="C9" s="126" t="s">
        <v>1109</v>
      </c>
      <c r="D9" s="119"/>
      <c r="E9" s="119"/>
      <c r="F9" s="120"/>
    </row>
    <row r="10" spans="1:8" x14ac:dyDescent="0.2">
      <c r="A10" s="118"/>
      <c r="B10" s="125" t="s">
        <v>589</v>
      </c>
      <c r="C10" s="126" t="s">
        <v>1110</v>
      </c>
      <c r="D10" s="119"/>
      <c r="E10" s="119"/>
      <c r="F10" s="120"/>
    </row>
    <row r="11" spans="1:8" x14ac:dyDescent="0.2">
      <c r="A11" s="118"/>
      <c r="B11" s="125" t="s">
        <v>590</v>
      </c>
      <c r="C11" s="126" t="s">
        <v>1111</v>
      </c>
      <c r="D11" s="119">
        <v>174130491</v>
      </c>
      <c r="E11" s="119">
        <v>45800231</v>
      </c>
      <c r="F11" s="120">
        <f t="shared" ref="F11:F12" si="1">SUM(D11:E11)</f>
        <v>219930722</v>
      </c>
      <c r="G11" s="401">
        <f>+F11-956693</f>
        <v>218974029</v>
      </c>
      <c r="H11" s="400">
        <f>+F11-G11</f>
        <v>956693</v>
      </c>
    </row>
    <row r="12" spans="1:8" x14ac:dyDescent="0.2">
      <c r="A12" s="118"/>
      <c r="B12" s="125" t="s">
        <v>591</v>
      </c>
      <c r="C12" s="126" t="s">
        <v>1112</v>
      </c>
      <c r="D12" s="119">
        <v>1181102</v>
      </c>
      <c r="E12" s="119">
        <f>+D12*27%</f>
        <v>318897.54000000004</v>
      </c>
      <c r="F12" s="120">
        <f t="shared" si="1"/>
        <v>1499999.54</v>
      </c>
      <c r="G12" s="401">
        <f>+F12-1000000</f>
        <v>499999.54000000004</v>
      </c>
      <c r="H12" s="400">
        <f t="shared" ref="H12:H16" si="2">+F12-G12</f>
        <v>1000000</v>
      </c>
    </row>
    <row r="13" spans="1:8" x14ac:dyDescent="0.2">
      <c r="A13" s="118"/>
      <c r="B13" s="125" t="s">
        <v>592</v>
      </c>
      <c r="C13" s="126" t="s">
        <v>1775</v>
      </c>
      <c r="D13" s="119">
        <v>242498316</v>
      </c>
      <c r="E13" s="119"/>
      <c r="F13" s="120">
        <f>+E13+D13</f>
        <v>242498316</v>
      </c>
      <c r="G13" s="401">
        <f>+F13</f>
        <v>242498316</v>
      </c>
      <c r="H13" s="400">
        <f t="shared" si="2"/>
        <v>0</v>
      </c>
    </row>
    <row r="14" spans="1:8" x14ac:dyDescent="0.2">
      <c r="A14" s="118"/>
      <c r="B14" s="125" t="s">
        <v>1092</v>
      </c>
      <c r="C14" s="126" t="s">
        <v>1171</v>
      </c>
      <c r="D14" s="119">
        <v>9177589</v>
      </c>
      <c r="E14" s="119">
        <f>+D14*27%</f>
        <v>2477949.0300000003</v>
      </c>
      <c r="F14" s="120">
        <f t="shared" ref="F14" si="3">SUM(D14:E14)</f>
        <v>11655538.030000001</v>
      </c>
      <c r="H14" s="400">
        <f t="shared" si="2"/>
        <v>11655538.030000001</v>
      </c>
    </row>
    <row r="15" spans="1:8" x14ac:dyDescent="0.2">
      <c r="A15" s="118"/>
      <c r="B15" s="125" t="s">
        <v>1093</v>
      </c>
      <c r="C15" s="126" t="s">
        <v>1774</v>
      </c>
      <c r="D15" s="119">
        <v>46456176</v>
      </c>
      <c r="E15" s="119">
        <v>12395207</v>
      </c>
      <c r="F15" s="120">
        <f t="shared" ref="F15:F16" si="4">SUM(D15:E15)</f>
        <v>58851383</v>
      </c>
      <c r="G15" s="401">
        <f>+F15-5536716</f>
        <v>53314667</v>
      </c>
      <c r="H15" s="400">
        <f t="shared" si="2"/>
        <v>5536716</v>
      </c>
    </row>
    <row r="16" spans="1:8" x14ac:dyDescent="0.2">
      <c r="A16" s="118"/>
      <c r="B16" s="125" t="s">
        <v>1094</v>
      </c>
      <c r="C16" s="126" t="s">
        <v>1773</v>
      </c>
      <c r="D16" s="119">
        <v>14324147</v>
      </c>
      <c r="E16" s="119">
        <f>+D16*27%</f>
        <v>3867519.6900000004</v>
      </c>
      <c r="F16" s="120">
        <f t="shared" si="4"/>
        <v>18191666.690000001</v>
      </c>
      <c r="G16" s="401">
        <f>13789638-145888</f>
        <v>13643750</v>
      </c>
      <c r="H16" s="400">
        <f t="shared" si="2"/>
        <v>4547916.6900000013</v>
      </c>
    </row>
    <row r="17" spans="1:7" x14ac:dyDescent="0.2">
      <c r="A17" s="466"/>
      <c r="B17" s="468"/>
      <c r="C17" s="469"/>
      <c r="D17" s="470"/>
      <c r="E17" s="470"/>
      <c r="F17" s="471"/>
    </row>
    <row r="18" spans="1:7" x14ac:dyDescent="0.2">
      <c r="A18" s="256"/>
      <c r="B18" s="250"/>
      <c r="C18" s="251"/>
      <c r="D18" s="252"/>
      <c r="E18" s="252"/>
      <c r="F18" s="253"/>
    </row>
    <row r="19" spans="1:7" x14ac:dyDescent="0.2">
      <c r="A19" s="410" t="s">
        <v>106</v>
      </c>
      <c r="B19" s="128"/>
      <c r="C19" s="211" t="s">
        <v>532</v>
      </c>
      <c r="D19" s="116">
        <f t="shared" ref="D19:F19" si="5">SUM(D20:D21)</f>
        <v>0</v>
      </c>
      <c r="E19" s="116">
        <f t="shared" si="5"/>
        <v>0</v>
      </c>
      <c r="F19" s="117">
        <f t="shared" si="5"/>
        <v>0</v>
      </c>
    </row>
    <row r="20" spans="1:7" x14ac:dyDescent="0.2">
      <c r="A20" s="121"/>
      <c r="B20" s="129" t="s">
        <v>522</v>
      </c>
      <c r="C20" s="213"/>
      <c r="D20" s="130"/>
      <c r="E20" s="130"/>
      <c r="F20" s="131"/>
    </row>
    <row r="21" spans="1:7" x14ac:dyDescent="0.2">
      <c r="A21" s="121"/>
      <c r="B21" s="129" t="s">
        <v>523</v>
      </c>
      <c r="C21" s="213"/>
      <c r="D21" s="119"/>
      <c r="E21" s="119"/>
      <c r="F21" s="120"/>
    </row>
    <row r="22" spans="1:7" x14ac:dyDescent="0.2">
      <c r="A22" s="256"/>
      <c r="B22" s="250"/>
      <c r="C22" s="251"/>
      <c r="D22" s="252"/>
      <c r="E22" s="252"/>
      <c r="F22" s="253"/>
    </row>
    <row r="23" spans="1:7" x14ac:dyDescent="0.2">
      <c r="A23" s="122" t="s">
        <v>107</v>
      </c>
      <c r="B23" s="132"/>
      <c r="C23" s="211" t="s">
        <v>529</v>
      </c>
      <c r="D23" s="116">
        <f t="shared" ref="D23:F23" si="6">SUM(D24:D25)</f>
        <v>0</v>
      </c>
      <c r="E23" s="116">
        <f t="shared" si="6"/>
        <v>0</v>
      </c>
      <c r="F23" s="117">
        <f t="shared" si="6"/>
        <v>0</v>
      </c>
    </row>
    <row r="24" spans="1:7" x14ac:dyDescent="0.2">
      <c r="A24" s="121"/>
      <c r="B24" s="129" t="s">
        <v>524</v>
      </c>
      <c r="C24" s="213"/>
      <c r="D24" s="119"/>
      <c r="E24" s="119"/>
      <c r="F24" s="120"/>
    </row>
    <row r="25" spans="1:7" x14ac:dyDescent="0.2">
      <c r="A25" s="121"/>
      <c r="B25" s="129" t="s">
        <v>525</v>
      </c>
      <c r="C25" s="213"/>
      <c r="D25" s="119"/>
      <c r="E25" s="119"/>
      <c r="F25" s="120"/>
    </row>
    <row r="26" spans="1:7" x14ac:dyDescent="0.2">
      <c r="A26" s="256"/>
      <c r="B26" s="250"/>
      <c r="C26" s="251"/>
      <c r="D26" s="252"/>
      <c r="E26" s="252"/>
      <c r="F26" s="253"/>
    </row>
    <row r="27" spans="1:7" x14ac:dyDescent="0.2">
      <c r="A27" s="122" t="s">
        <v>108</v>
      </c>
      <c r="B27" s="132"/>
      <c r="C27" s="211" t="s">
        <v>526</v>
      </c>
      <c r="D27" s="116">
        <f t="shared" ref="D27:F27" si="7">SUM(D28:D29)</f>
        <v>0</v>
      </c>
      <c r="E27" s="116">
        <f t="shared" si="7"/>
        <v>0</v>
      </c>
      <c r="F27" s="117">
        <f t="shared" si="7"/>
        <v>0</v>
      </c>
    </row>
    <row r="28" spans="1:7" x14ac:dyDescent="0.2">
      <c r="A28" s="121"/>
      <c r="B28" s="129" t="s">
        <v>527</v>
      </c>
      <c r="C28" s="213"/>
      <c r="D28" s="119"/>
      <c r="E28" s="119"/>
      <c r="F28" s="120"/>
      <c r="G28" s="814"/>
    </row>
    <row r="29" spans="1:7" x14ac:dyDescent="0.2">
      <c r="A29" s="121"/>
      <c r="B29" s="129" t="s">
        <v>528</v>
      </c>
      <c r="C29" s="213"/>
      <c r="D29" s="119"/>
      <c r="E29" s="119"/>
      <c r="F29" s="120"/>
    </row>
    <row r="30" spans="1:7" x14ac:dyDescent="0.2">
      <c r="A30" s="256"/>
      <c r="B30" s="250"/>
      <c r="C30" s="251"/>
      <c r="D30" s="252"/>
      <c r="E30" s="252"/>
      <c r="F30" s="253"/>
    </row>
    <row r="31" spans="1:7" x14ac:dyDescent="0.2">
      <c r="A31" s="122" t="s">
        <v>109</v>
      </c>
      <c r="B31" s="129"/>
      <c r="C31" s="211" t="s">
        <v>533</v>
      </c>
      <c r="D31" s="116">
        <f>SUM(D32:D33)</f>
        <v>0</v>
      </c>
      <c r="E31" s="116">
        <f t="shared" ref="E31:F31" si="8">SUM(E32:E33)</f>
        <v>0</v>
      </c>
      <c r="F31" s="117">
        <f t="shared" si="8"/>
        <v>0</v>
      </c>
    </row>
    <row r="32" spans="1:7" x14ac:dyDescent="0.2">
      <c r="A32" s="121"/>
      <c r="B32" s="129" t="s">
        <v>530</v>
      </c>
      <c r="C32" s="213"/>
      <c r="D32" s="119"/>
      <c r="E32" s="119"/>
      <c r="F32" s="120"/>
    </row>
    <row r="33" spans="1:6" x14ac:dyDescent="0.2">
      <c r="A33" s="121"/>
      <c r="B33" s="129" t="s">
        <v>531</v>
      </c>
      <c r="C33" s="213"/>
      <c r="D33" s="119"/>
      <c r="E33" s="119"/>
      <c r="F33" s="120"/>
    </row>
    <row r="34" spans="1:6" x14ac:dyDescent="0.2">
      <c r="A34" s="256"/>
      <c r="B34" s="250"/>
      <c r="C34" s="251"/>
      <c r="D34" s="252"/>
      <c r="E34" s="252"/>
      <c r="F34" s="253"/>
    </row>
    <row r="35" spans="1:6" x14ac:dyDescent="0.2">
      <c r="A35" s="122" t="s">
        <v>110</v>
      </c>
      <c r="B35" s="129"/>
      <c r="C35" s="211" t="s">
        <v>742</v>
      </c>
      <c r="D35" s="116">
        <f t="shared" ref="D35:F35" si="9">SUM(D36:D36)</f>
        <v>0</v>
      </c>
      <c r="E35" s="116">
        <f t="shared" si="9"/>
        <v>0</v>
      </c>
      <c r="F35" s="117">
        <f t="shared" si="9"/>
        <v>0</v>
      </c>
    </row>
    <row r="36" spans="1:6" x14ac:dyDescent="0.2">
      <c r="A36" s="121"/>
      <c r="B36" s="129" t="s">
        <v>757</v>
      </c>
      <c r="C36" s="213"/>
      <c r="D36" s="119"/>
      <c r="E36" s="119"/>
      <c r="F36" s="120"/>
    </row>
    <row r="37" spans="1:6" ht="13.5" thickBot="1" x14ac:dyDescent="0.25">
      <c r="A37" s="123"/>
      <c r="B37" s="133"/>
      <c r="C37" s="124" t="s">
        <v>747</v>
      </c>
      <c r="D37" s="134">
        <f>SUM(D6,D19,D23,D27,D31)</f>
        <v>488042480</v>
      </c>
      <c r="E37" s="134">
        <f>SUM(E6,E19,E23,E27,E31)</f>
        <v>64933964.189999998</v>
      </c>
      <c r="F37" s="135">
        <f>SUM(F6,F19,F23,F27,F31)</f>
        <v>552976444.19000006</v>
      </c>
    </row>
  </sheetData>
  <mergeCells count="4">
    <mergeCell ref="D4:F4"/>
    <mergeCell ref="A4:B5"/>
    <mergeCell ref="C4:C5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&amp;CTaksony Nagyközség Önkormányzat 2018. évi zárszámadás&amp;R10.sz. melléklet</oddHeader>
    <oddFooter xml:space="preserve">&amp;LKészült: &amp;D
&amp;C&amp;P&amp;R/:Kreisz László://:Dr.Micheller Anita:/
/:Szelecki N.Andrea:/     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view="pageBreakPreview" zoomScaleNormal="100" zoomScaleSheetLayoutView="100" workbookViewId="0">
      <selection activeCell="D7" sqref="D7"/>
    </sheetView>
  </sheetViews>
  <sheetFormatPr defaultRowHeight="12.75" x14ac:dyDescent="0.2"/>
  <cols>
    <col min="1" max="1" width="56.7109375" style="210" customWidth="1"/>
    <col min="2" max="2" width="23.140625" style="210" bestFit="1" customWidth="1"/>
    <col min="3" max="3" width="19" style="210" customWidth="1"/>
    <col min="4" max="6" width="15.28515625" style="210" customWidth="1"/>
    <col min="7" max="7" width="12.7109375" style="210" bestFit="1" customWidth="1"/>
    <col min="8" max="16384" width="9.140625" style="210"/>
  </cols>
  <sheetData>
    <row r="2" spans="1:8" s="481" customFormat="1" ht="26.25" customHeight="1" x14ac:dyDescent="0.25">
      <c r="A2" s="868" t="s">
        <v>755</v>
      </c>
      <c r="B2" s="868"/>
      <c r="C2" s="868"/>
      <c r="D2" s="868"/>
      <c r="E2" s="868"/>
      <c r="F2" s="868"/>
    </row>
    <row r="3" spans="1:8" ht="28.5" customHeight="1" x14ac:dyDescent="0.2">
      <c r="A3" s="870" t="s">
        <v>535</v>
      </c>
      <c r="B3" s="870" t="s">
        <v>536</v>
      </c>
      <c r="C3" s="869" t="s">
        <v>534</v>
      </c>
      <c r="D3" s="869"/>
      <c r="E3" s="872" t="s">
        <v>1193</v>
      </c>
      <c r="F3" s="873"/>
    </row>
    <row r="4" spans="1:8" ht="38.25" customHeight="1" x14ac:dyDescent="0.2">
      <c r="A4" s="871"/>
      <c r="B4" s="871"/>
      <c r="C4" s="212" t="s">
        <v>537</v>
      </c>
      <c r="D4" s="212" t="s">
        <v>540</v>
      </c>
      <c r="E4" s="212" t="s">
        <v>1192</v>
      </c>
      <c r="F4" s="480" t="s">
        <v>1776</v>
      </c>
    </row>
    <row r="5" spans="1:8" x14ac:dyDescent="0.2">
      <c r="A5" s="479" t="s">
        <v>538</v>
      </c>
      <c r="B5" s="396"/>
      <c r="C5" s="396"/>
      <c r="D5" s="396"/>
      <c r="E5" s="396"/>
      <c r="F5" s="396"/>
    </row>
    <row r="6" spans="1:8" ht="76.5" x14ac:dyDescent="0.2">
      <c r="A6" s="395" t="s">
        <v>1113</v>
      </c>
      <c r="B6" s="396" t="s">
        <v>1114</v>
      </c>
      <c r="C6" s="397" t="s">
        <v>1115</v>
      </c>
      <c r="D6" s="477">
        <v>233856955</v>
      </c>
      <c r="E6" s="477">
        <v>10009058</v>
      </c>
      <c r="F6" s="477">
        <f>+D6-E6-1772883</f>
        <v>222075014</v>
      </c>
      <c r="G6" s="400"/>
      <c r="H6" s="176"/>
    </row>
    <row r="7" spans="1:8" ht="76.5" x14ac:dyDescent="0.2">
      <c r="A7" s="395" t="s">
        <v>1172</v>
      </c>
      <c r="B7" s="398" t="s">
        <v>1173</v>
      </c>
      <c r="C7" s="397" t="s">
        <v>1115</v>
      </c>
      <c r="D7" s="399">
        <v>1084348293</v>
      </c>
      <c r="E7" s="399">
        <v>0</v>
      </c>
      <c r="F7" s="399">
        <f>+'10. felújítások'!F13</f>
        <v>242498316</v>
      </c>
    </row>
    <row r="8" spans="1:8" x14ac:dyDescent="0.2">
      <c r="A8" s="214"/>
      <c r="B8" s="214"/>
      <c r="C8" s="214"/>
      <c r="D8" s="214"/>
      <c r="E8" s="214"/>
      <c r="F8" s="214"/>
    </row>
    <row r="9" spans="1:8" x14ac:dyDescent="0.2">
      <c r="A9" s="213"/>
      <c r="B9" s="213"/>
      <c r="C9" s="213"/>
      <c r="D9" s="213"/>
      <c r="E9" s="213"/>
      <c r="F9" s="213"/>
      <c r="G9" s="176"/>
    </row>
    <row r="13" spans="1:8" x14ac:dyDescent="0.2">
      <c r="F13" s="478"/>
    </row>
  </sheetData>
  <mergeCells count="5">
    <mergeCell ref="A2:F2"/>
    <mergeCell ref="C3:D3"/>
    <mergeCell ref="A3:A4"/>
    <mergeCell ref="B3:B4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&amp;CTaksony Nagyközség Önkormányzat 2018. évi zárszámadás&amp;R11.sz. melléklet</oddHeader>
    <oddFooter xml:space="preserve">&amp;LKészült: &amp;D
&amp;C&amp;P&amp;R/:Kreisz László://:Dr.Micheller Anita:/
/:Szelecki N.Andrea:/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view="pageBreakPreview" topLeftCell="A52" zoomScale="70" zoomScaleNormal="100" zoomScaleSheetLayoutView="70" workbookViewId="0">
      <selection activeCell="C3" sqref="C3:C15"/>
    </sheetView>
  </sheetViews>
  <sheetFormatPr defaultRowHeight="15" x14ac:dyDescent="0.25"/>
  <cols>
    <col min="1" max="1" width="6.7109375" style="21" customWidth="1"/>
    <col min="2" max="2" width="71.7109375" style="21" customWidth="1"/>
    <col min="3" max="3" width="21.85546875" style="21" customWidth="1"/>
    <col min="4" max="4" width="6.7109375" style="21" customWidth="1"/>
    <col min="5" max="5" width="71.7109375" style="21" customWidth="1"/>
    <col min="6" max="6" width="19.85546875" style="21" customWidth="1"/>
    <col min="7" max="16384" width="9.140625" style="21"/>
  </cols>
  <sheetData>
    <row r="1" spans="1:6" ht="40.5" customHeight="1" thickBot="1" x14ac:dyDescent="0.3">
      <c r="A1" s="50"/>
      <c r="B1" s="51" t="s">
        <v>103</v>
      </c>
      <c r="C1" s="52" t="s">
        <v>0</v>
      </c>
      <c r="D1" s="52"/>
      <c r="E1" s="51" t="s">
        <v>104</v>
      </c>
      <c r="F1" s="52" t="s">
        <v>0</v>
      </c>
    </row>
    <row r="2" spans="1:6" ht="20.25" customHeight="1" thickBot="1" x14ac:dyDescent="0.3">
      <c r="A2" s="53"/>
      <c r="B2" s="54" t="s">
        <v>180</v>
      </c>
      <c r="C2" s="55"/>
      <c r="D2" s="53"/>
      <c r="E2" s="54" t="s">
        <v>196</v>
      </c>
      <c r="F2" s="55"/>
    </row>
    <row r="3" spans="1:6" ht="20.25" customHeight="1" x14ac:dyDescent="0.25">
      <c r="A3" s="31" t="s">
        <v>23</v>
      </c>
      <c r="B3" s="38" t="s">
        <v>157</v>
      </c>
      <c r="C3" s="834" t="s">
        <v>151</v>
      </c>
      <c r="D3" s="31" t="s">
        <v>23</v>
      </c>
      <c r="E3" s="46" t="s">
        <v>80</v>
      </c>
      <c r="F3" s="839" t="s">
        <v>134</v>
      </c>
    </row>
    <row r="4" spans="1:6" ht="20.25" customHeight="1" x14ac:dyDescent="0.25">
      <c r="A4" s="32" t="s">
        <v>105</v>
      </c>
      <c r="B4" s="39" t="s">
        <v>201</v>
      </c>
      <c r="C4" s="835"/>
      <c r="D4" s="32" t="s">
        <v>45</v>
      </c>
      <c r="E4" s="47" t="s">
        <v>142</v>
      </c>
      <c r="F4" s="840"/>
    </row>
    <row r="5" spans="1:6" ht="24" customHeight="1" x14ac:dyDescent="0.25">
      <c r="A5" s="32"/>
      <c r="B5" s="59" t="s">
        <v>145</v>
      </c>
      <c r="C5" s="835"/>
      <c r="D5" s="32" t="s">
        <v>56</v>
      </c>
      <c r="E5" s="47" t="s">
        <v>83</v>
      </c>
      <c r="F5" s="840"/>
    </row>
    <row r="6" spans="1:6" ht="22.5" customHeight="1" x14ac:dyDescent="0.25">
      <c r="A6" s="32"/>
      <c r="B6" s="59" t="s">
        <v>146</v>
      </c>
      <c r="C6" s="835"/>
      <c r="D6" s="32" t="s">
        <v>64</v>
      </c>
      <c r="E6" s="47" t="s">
        <v>84</v>
      </c>
      <c r="F6" s="840"/>
    </row>
    <row r="7" spans="1:6" ht="24.75" customHeight="1" x14ac:dyDescent="0.25">
      <c r="A7" s="32"/>
      <c r="B7" s="59" t="s">
        <v>147</v>
      </c>
      <c r="C7" s="835"/>
      <c r="D7" s="32" t="s">
        <v>100</v>
      </c>
      <c r="E7" s="47" t="s">
        <v>195</v>
      </c>
      <c r="F7" s="841"/>
    </row>
    <row r="8" spans="1:6" ht="18" customHeight="1" x14ac:dyDescent="0.25">
      <c r="A8" s="32"/>
      <c r="B8" s="59" t="s">
        <v>148</v>
      </c>
      <c r="C8" s="835"/>
      <c r="D8" s="842"/>
      <c r="E8" s="63"/>
      <c r="F8" s="34"/>
    </row>
    <row r="9" spans="1:6" ht="20.25" customHeight="1" x14ac:dyDescent="0.25">
      <c r="A9" s="32"/>
      <c r="B9" s="59" t="s">
        <v>149</v>
      </c>
      <c r="C9" s="835"/>
      <c r="D9" s="843"/>
      <c r="E9" s="844"/>
      <c r="F9" s="845"/>
    </row>
    <row r="10" spans="1:6" ht="20.25" customHeight="1" x14ac:dyDescent="0.25">
      <c r="A10" s="32"/>
      <c r="B10" s="59" t="s">
        <v>150</v>
      </c>
      <c r="C10" s="835"/>
      <c r="D10" s="843"/>
      <c r="E10" s="844"/>
      <c r="F10" s="845"/>
    </row>
    <row r="11" spans="1:6" ht="20.25" customHeight="1" x14ac:dyDescent="0.25">
      <c r="A11" s="32" t="s">
        <v>106</v>
      </c>
      <c r="B11" s="62" t="s">
        <v>152</v>
      </c>
      <c r="C11" s="835"/>
      <c r="D11" s="843"/>
      <c r="E11" s="844"/>
      <c r="F11" s="845"/>
    </row>
    <row r="12" spans="1:6" ht="29.25" customHeight="1" x14ac:dyDescent="0.25">
      <c r="A12" s="32" t="s">
        <v>107</v>
      </c>
      <c r="B12" s="62" t="s">
        <v>153</v>
      </c>
      <c r="C12" s="835"/>
      <c r="D12" s="843"/>
      <c r="E12" s="844"/>
      <c r="F12" s="845"/>
    </row>
    <row r="13" spans="1:6" ht="29.25" customHeight="1" x14ac:dyDescent="0.25">
      <c r="A13" s="32" t="s">
        <v>108</v>
      </c>
      <c r="B13" s="62" t="s">
        <v>154</v>
      </c>
      <c r="C13" s="835"/>
      <c r="D13" s="843"/>
      <c r="E13" s="844"/>
      <c r="F13" s="845"/>
    </row>
    <row r="14" spans="1:6" ht="29.25" customHeight="1" x14ac:dyDescent="0.25">
      <c r="A14" s="32" t="s">
        <v>109</v>
      </c>
      <c r="B14" s="62" t="s">
        <v>155</v>
      </c>
      <c r="C14" s="835"/>
      <c r="D14" s="843"/>
      <c r="E14" s="844"/>
      <c r="F14" s="845"/>
    </row>
    <row r="15" spans="1:6" ht="18.75" customHeight="1" x14ac:dyDescent="0.25">
      <c r="A15" s="32" t="s">
        <v>110</v>
      </c>
      <c r="B15" s="62" t="s">
        <v>156</v>
      </c>
      <c r="C15" s="836"/>
      <c r="D15" s="843"/>
      <c r="E15" s="844"/>
      <c r="F15" s="845"/>
    </row>
    <row r="16" spans="1:6" ht="40.5" customHeight="1" x14ac:dyDescent="0.25">
      <c r="A16" s="26" t="s">
        <v>45</v>
      </c>
      <c r="B16" s="28" t="s">
        <v>9</v>
      </c>
      <c r="C16" s="833" t="s">
        <v>158</v>
      </c>
      <c r="D16" s="64"/>
      <c r="E16" s="844"/>
      <c r="F16" s="845"/>
    </row>
    <row r="17" spans="1:6" ht="20.25" customHeight="1" x14ac:dyDescent="0.25">
      <c r="A17" s="26"/>
      <c r="B17" s="24" t="s">
        <v>135</v>
      </c>
      <c r="C17" s="833"/>
      <c r="D17" s="64"/>
      <c r="E17" s="844"/>
      <c r="F17" s="845"/>
    </row>
    <row r="18" spans="1:6" ht="20.25" customHeight="1" x14ac:dyDescent="0.25">
      <c r="A18" s="26"/>
      <c r="B18" s="24" t="s">
        <v>136</v>
      </c>
      <c r="C18" s="833"/>
      <c r="D18" s="64"/>
      <c r="E18" s="844"/>
      <c r="F18" s="845"/>
    </row>
    <row r="19" spans="1:6" ht="20.25" customHeight="1" x14ac:dyDescent="0.25">
      <c r="A19" s="26"/>
      <c r="B19" s="24" t="s">
        <v>137</v>
      </c>
      <c r="C19" s="833"/>
      <c r="D19" s="64"/>
      <c r="E19" s="844"/>
      <c r="F19" s="845"/>
    </row>
    <row r="20" spans="1:6" ht="20.25" customHeight="1" x14ac:dyDescent="0.25">
      <c r="A20" s="26"/>
      <c r="B20" s="24" t="s">
        <v>138</v>
      </c>
      <c r="C20" s="833"/>
      <c r="D20" s="64"/>
      <c r="E20" s="844"/>
      <c r="F20" s="845"/>
    </row>
    <row r="21" spans="1:6" ht="20.25" customHeight="1" x14ac:dyDescent="0.25">
      <c r="A21" s="26"/>
      <c r="B21" s="24" t="s">
        <v>139</v>
      </c>
      <c r="C21" s="833"/>
      <c r="D21" s="64"/>
      <c r="E21" s="844"/>
      <c r="F21" s="845"/>
    </row>
    <row r="22" spans="1:6" ht="20.25" customHeight="1" x14ac:dyDescent="0.25">
      <c r="A22" s="26"/>
      <c r="B22" s="24" t="s">
        <v>140</v>
      </c>
      <c r="C22" s="833"/>
      <c r="D22" s="64"/>
      <c r="E22" s="844"/>
      <c r="F22" s="845"/>
    </row>
    <row r="23" spans="1:6" ht="20.25" customHeight="1" x14ac:dyDescent="0.25">
      <c r="A23" s="26"/>
      <c r="B23" s="24" t="s">
        <v>141</v>
      </c>
      <c r="C23" s="833"/>
      <c r="D23" s="64"/>
      <c r="E23" s="844"/>
      <c r="F23" s="845"/>
    </row>
    <row r="24" spans="1:6" ht="20.25" customHeight="1" x14ac:dyDescent="0.25">
      <c r="A24" s="26" t="s">
        <v>56</v>
      </c>
      <c r="B24" s="28" t="s">
        <v>159</v>
      </c>
      <c r="C24" s="837" t="s">
        <v>151</v>
      </c>
      <c r="D24" s="64"/>
      <c r="E24" s="844"/>
      <c r="F24" s="845"/>
    </row>
    <row r="25" spans="1:6" ht="20.25" customHeight="1" x14ac:dyDescent="0.25">
      <c r="A25" s="26"/>
      <c r="B25" s="60" t="s">
        <v>160</v>
      </c>
      <c r="C25" s="837"/>
      <c r="D25" s="64"/>
      <c r="E25" s="844"/>
      <c r="F25" s="845"/>
    </row>
    <row r="26" spans="1:6" ht="20.25" customHeight="1" x14ac:dyDescent="0.25">
      <c r="A26" s="26"/>
      <c r="B26" s="60" t="s">
        <v>161</v>
      </c>
      <c r="C26" s="837"/>
      <c r="D26" s="64"/>
      <c r="E26" s="844"/>
      <c r="F26" s="845"/>
    </row>
    <row r="27" spans="1:6" ht="20.25" customHeight="1" x14ac:dyDescent="0.25">
      <c r="A27" s="26"/>
      <c r="B27" s="60" t="s">
        <v>162</v>
      </c>
      <c r="C27" s="837"/>
      <c r="D27" s="64"/>
      <c r="E27" s="844"/>
      <c r="F27" s="845"/>
    </row>
    <row r="28" spans="1:6" ht="20.25" customHeight="1" x14ac:dyDescent="0.25">
      <c r="A28" s="26"/>
      <c r="B28" s="60" t="s">
        <v>163</v>
      </c>
      <c r="C28" s="837"/>
      <c r="D28" s="64"/>
      <c r="E28" s="844"/>
      <c r="F28" s="845"/>
    </row>
    <row r="29" spans="1:6" ht="20.25" customHeight="1" x14ac:dyDescent="0.25">
      <c r="A29" s="26"/>
      <c r="B29" s="60" t="s">
        <v>164</v>
      </c>
      <c r="C29" s="837"/>
      <c r="D29" s="64"/>
      <c r="E29" s="844"/>
      <c r="F29" s="845"/>
    </row>
    <row r="30" spans="1:6" ht="20.25" customHeight="1" x14ac:dyDescent="0.25">
      <c r="A30" s="26"/>
      <c r="B30" s="60" t="s">
        <v>165</v>
      </c>
      <c r="C30" s="837"/>
      <c r="D30" s="64"/>
      <c r="E30" s="844"/>
      <c r="F30" s="845"/>
    </row>
    <row r="31" spans="1:6" ht="20.25" customHeight="1" x14ac:dyDescent="0.25">
      <c r="A31" s="26"/>
      <c r="B31" s="60" t="s">
        <v>166</v>
      </c>
      <c r="C31" s="837"/>
      <c r="D31" s="64"/>
      <c r="E31" s="844"/>
      <c r="F31" s="845"/>
    </row>
    <row r="32" spans="1:6" ht="20.25" customHeight="1" x14ac:dyDescent="0.25">
      <c r="A32" s="26"/>
      <c r="B32" s="60" t="s">
        <v>167</v>
      </c>
      <c r="C32" s="837"/>
      <c r="D32" s="64"/>
      <c r="E32" s="844"/>
      <c r="F32" s="845"/>
    </row>
    <row r="33" spans="1:6" ht="20.25" customHeight="1" x14ac:dyDescent="0.25">
      <c r="A33" s="26"/>
      <c r="B33" s="60" t="s">
        <v>168</v>
      </c>
      <c r="C33" s="837"/>
      <c r="D33" s="64"/>
      <c r="E33" s="844"/>
      <c r="F33" s="845"/>
    </row>
    <row r="34" spans="1:6" ht="20.25" customHeight="1" x14ac:dyDescent="0.25">
      <c r="A34" s="26"/>
      <c r="B34" s="60" t="s">
        <v>169</v>
      </c>
      <c r="C34" s="837"/>
      <c r="D34" s="64"/>
      <c r="E34" s="844"/>
      <c r="F34" s="845"/>
    </row>
    <row r="35" spans="1:6" ht="20.25" customHeight="1" x14ac:dyDescent="0.25">
      <c r="A35" s="26" t="s">
        <v>64</v>
      </c>
      <c r="B35" s="28" t="s">
        <v>173</v>
      </c>
      <c r="C35" s="837" t="s">
        <v>151</v>
      </c>
      <c r="D35" s="64"/>
      <c r="E35" s="844"/>
      <c r="F35" s="845"/>
    </row>
    <row r="36" spans="1:6" ht="28.5" customHeight="1" x14ac:dyDescent="0.25">
      <c r="A36" s="29"/>
      <c r="B36" s="60" t="s">
        <v>170</v>
      </c>
      <c r="C36" s="837"/>
      <c r="D36" s="64"/>
      <c r="E36" s="844"/>
      <c r="F36" s="845"/>
    </row>
    <row r="37" spans="1:6" ht="28.5" customHeight="1" x14ac:dyDescent="0.25">
      <c r="A37" s="29"/>
      <c r="B37" s="59" t="s">
        <v>171</v>
      </c>
      <c r="C37" s="837"/>
      <c r="D37" s="64"/>
      <c r="E37" s="844"/>
      <c r="F37" s="845"/>
    </row>
    <row r="38" spans="1:6" ht="19.5" customHeight="1" thickBot="1" x14ac:dyDescent="0.3">
      <c r="A38" s="29"/>
      <c r="B38" s="61" t="s">
        <v>172</v>
      </c>
      <c r="C38" s="838"/>
      <c r="D38" s="65"/>
      <c r="E38" s="846"/>
      <c r="F38" s="847"/>
    </row>
    <row r="39" spans="1:6" ht="20.25" customHeight="1" thickBot="1" x14ac:dyDescent="0.3">
      <c r="A39" s="56"/>
      <c r="B39" s="54" t="s">
        <v>192</v>
      </c>
      <c r="C39" s="55"/>
      <c r="D39" s="56"/>
      <c r="E39" s="54" t="s">
        <v>200</v>
      </c>
      <c r="F39" s="55"/>
    </row>
    <row r="40" spans="1:6" ht="20.25" customHeight="1" x14ac:dyDescent="0.25">
      <c r="A40" s="25" t="s">
        <v>100</v>
      </c>
      <c r="B40" s="40" t="s">
        <v>174</v>
      </c>
      <c r="C40" s="848" t="s">
        <v>151</v>
      </c>
      <c r="D40" s="25" t="s">
        <v>181</v>
      </c>
      <c r="E40" s="48" t="s">
        <v>125</v>
      </c>
      <c r="F40" s="832" t="s">
        <v>79</v>
      </c>
    </row>
    <row r="41" spans="1:6" ht="20.25" customHeight="1" x14ac:dyDescent="0.25">
      <c r="A41" s="26"/>
      <c r="B41" s="59" t="s">
        <v>175</v>
      </c>
      <c r="C41" s="837"/>
      <c r="D41" s="25" t="s">
        <v>191</v>
      </c>
      <c r="E41" s="24" t="s">
        <v>87</v>
      </c>
      <c r="F41" s="833"/>
    </row>
    <row r="42" spans="1:6" ht="29.25" customHeight="1" x14ac:dyDescent="0.25">
      <c r="A42" s="26"/>
      <c r="B42" s="59" t="s">
        <v>176</v>
      </c>
      <c r="C42" s="837"/>
      <c r="D42" s="25" t="s">
        <v>199</v>
      </c>
      <c r="E42" s="24" t="s">
        <v>90</v>
      </c>
      <c r="F42" s="833"/>
    </row>
    <row r="43" spans="1:6" ht="29.25" customHeight="1" x14ac:dyDescent="0.25">
      <c r="A43" s="26"/>
      <c r="B43" s="59" t="s">
        <v>177</v>
      </c>
      <c r="C43" s="837"/>
      <c r="D43" s="66"/>
      <c r="E43" s="67"/>
      <c r="F43" s="49"/>
    </row>
    <row r="44" spans="1:6" ht="29.25" customHeight="1" x14ac:dyDescent="0.25">
      <c r="A44" s="26"/>
      <c r="B44" s="59" t="s">
        <v>178</v>
      </c>
      <c r="C44" s="837"/>
      <c r="D44" s="64"/>
      <c r="E44" s="30"/>
      <c r="F44" s="49"/>
    </row>
    <row r="45" spans="1:6" ht="21" customHeight="1" x14ac:dyDescent="0.25">
      <c r="A45" s="26"/>
      <c r="B45" s="59" t="s">
        <v>179</v>
      </c>
      <c r="C45" s="837"/>
      <c r="D45" s="64"/>
      <c r="E45" s="30"/>
      <c r="F45" s="49"/>
    </row>
    <row r="46" spans="1:6" ht="20.25" customHeight="1" x14ac:dyDescent="0.25">
      <c r="A46" s="26" t="s">
        <v>181</v>
      </c>
      <c r="B46" s="33" t="s">
        <v>39</v>
      </c>
      <c r="C46" s="837" t="s">
        <v>151</v>
      </c>
      <c r="D46" s="64"/>
      <c r="E46" s="30"/>
      <c r="F46" s="49"/>
    </row>
    <row r="47" spans="1:6" ht="20.25" customHeight="1" x14ac:dyDescent="0.25">
      <c r="A47" s="26"/>
      <c r="B47" s="60" t="s">
        <v>182</v>
      </c>
      <c r="C47" s="837"/>
      <c r="D47" s="64"/>
      <c r="E47" s="30"/>
      <c r="F47" s="49"/>
    </row>
    <row r="48" spans="1:6" ht="20.25" customHeight="1" x14ac:dyDescent="0.25">
      <c r="A48" s="26"/>
      <c r="B48" s="60" t="s">
        <v>183</v>
      </c>
      <c r="C48" s="837"/>
      <c r="D48" s="64"/>
      <c r="E48" s="30"/>
      <c r="F48" s="49"/>
    </row>
    <row r="49" spans="1:6" ht="20.25" customHeight="1" x14ac:dyDescent="0.25">
      <c r="A49" s="26"/>
      <c r="B49" s="60" t="s">
        <v>184</v>
      </c>
      <c r="C49" s="837"/>
      <c r="D49" s="64"/>
      <c r="E49" s="30"/>
      <c r="F49" s="49"/>
    </row>
    <row r="50" spans="1:6" ht="20.25" customHeight="1" x14ac:dyDescent="0.25">
      <c r="A50" s="26"/>
      <c r="B50" s="60" t="s">
        <v>185</v>
      </c>
      <c r="C50" s="837"/>
      <c r="D50" s="64"/>
      <c r="E50" s="30"/>
      <c r="F50" s="49"/>
    </row>
    <row r="51" spans="1:6" ht="20.25" customHeight="1" x14ac:dyDescent="0.25">
      <c r="A51" s="26"/>
      <c r="B51" s="60" t="s">
        <v>186</v>
      </c>
      <c r="C51" s="837"/>
      <c r="D51" s="64"/>
      <c r="E51" s="30"/>
      <c r="F51" s="49"/>
    </row>
    <row r="52" spans="1:6" ht="20.25" customHeight="1" x14ac:dyDescent="0.25">
      <c r="A52" s="26" t="s">
        <v>191</v>
      </c>
      <c r="B52" s="28" t="s">
        <v>187</v>
      </c>
      <c r="C52" s="837" t="s">
        <v>151</v>
      </c>
      <c r="D52" s="64"/>
      <c r="E52" s="30"/>
      <c r="F52" s="49"/>
    </row>
    <row r="53" spans="1:6" ht="29.25" customHeight="1" x14ac:dyDescent="0.25">
      <c r="A53" s="29"/>
      <c r="B53" s="60" t="s">
        <v>188</v>
      </c>
      <c r="C53" s="837"/>
      <c r="D53" s="64"/>
      <c r="E53" s="30"/>
      <c r="F53" s="49"/>
    </row>
    <row r="54" spans="1:6" ht="29.25" customHeight="1" x14ac:dyDescent="0.25">
      <c r="A54" s="29"/>
      <c r="B54" s="59" t="s">
        <v>189</v>
      </c>
      <c r="C54" s="837"/>
      <c r="D54" s="64"/>
      <c r="E54" s="30"/>
      <c r="F54" s="49"/>
    </row>
    <row r="55" spans="1:6" ht="21" customHeight="1" thickBot="1" x14ac:dyDescent="0.3">
      <c r="A55" s="29"/>
      <c r="B55" s="61" t="s">
        <v>190</v>
      </c>
      <c r="C55" s="838"/>
      <c r="D55" s="65"/>
      <c r="E55" s="68"/>
      <c r="F55" s="49"/>
    </row>
    <row r="56" spans="1:6" ht="20.25" customHeight="1" thickBot="1" x14ac:dyDescent="0.3">
      <c r="A56" s="56"/>
      <c r="B56" s="54" t="s">
        <v>193</v>
      </c>
      <c r="C56" s="57" t="s">
        <v>151</v>
      </c>
      <c r="D56" s="56"/>
      <c r="E56" s="54" t="s">
        <v>197</v>
      </c>
      <c r="F56" s="57" t="s">
        <v>151</v>
      </c>
    </row>
    <row r="57" spans="1:6" ht="40.5" customHeight="1" x14ac:dyDescent="0.25">
      <c r="A57" s="22" t="s">
        <v>105</v>
      </c>
      <c r="B57" s="41" t="s">
        <v>124</v>
      </c>
      <c r="C57" s="35" t="s">
        <v>119</v>
      </c>
      <c r="D57" s="22" t="s">
        <v>105</v>
      </c>
      <c r="E57" s="41" t="s">
        <v>126</v>
      </c>
      <c r="F57" s="35" t="s">
        <v>119</v>
      </c>
    </row>
    <row r="58" spans="1:6" ht="20.25" customHeight="1" x14ac:dyDescent="0.25">
      <c r="A58" s="23" t="s">
        <v>106</v>
      </c>
      <c r="B58" s="42" t="s">
        <v>113</v>
      </c>
      <c r="C58" s="36" t="s">
        <v>120</v>
      </c>
      <c r="D58" s="23" t="s">
        <v>106</v>
      </c>
      <c r="E58" s="42" t="s">
        <v>127</v>
      </c>
      <c r="F58" s="36" t="s">
        <v>120</v>
      </c>
    </row>
    <row r="59" spans="1:6" ht="20.25" customHeight="1" x14ac:dyDescent="0.25">
      <c r="A59" s="23" t="s">
        <v>107</v>
      </c>
      <c r="B59" s="42" t="s">
        <v>114</v>
      </c>
      <c r="C59" s="36" t="s">
        <v>120</v>
      </c>
      <c r="D59" s="23" t="s">
        <v>107</v>
      </c>
      <c r="E59" s="42" t="s">
        <v>128</v>
      </c>
      <c r="F59" s="36" t="s">
        <v>120</v>
      </c>
    </row>
    <row r="60" spans="1:6" ht="20.25" customHeight="1" x14ac:dyDescent="0.25">
      <c r="A60" s="23" t="s">
        <v>108</v>
      </c>
      <c r="B60" s="42" t="s">
        <v>115</v>
      </c>
      <c r="C60" s="36" t="s">
        <v>120</v>
      </c>
      <c r="D60" s="23" t="s">
        <v>108</v>
      </c>
      <c r="E60" s="42" t="s">
        <v>129</v>
      </c>
      <c r="F60" s="36" t="s">
        <v>120</v>
      </c>
    </row>
    <row r="61" spans="1:6" ht="20.25" customHeight="1" x14ac:dyDescent="0.25">
      <c r="A61" s="23" t="s">
        <v>109</v>
      </c>
      <c r="B61" s="43" t="s">
        <v>116</v>
      </c>
      <c r="C61" s="36" t="s">
        <v>121</v>
      </c>
      <c r="D61" s="23" t="s">
        <v>109</v>
      </c>
      <c r="E61" s="43" t="s">
        <v>130</v>
      </c>
      <c r="F61" s="36" t="s">
        <v>121</v>
      </c>
    </row>
    <row r="62" spans="1:6" ht="30" x14ac:dyDescent="0.25">
      <c r="A62" s="23" t="s">
        <v>110</v>
      </c>
      <c r="B62" s="43" t="s">
        <v>117</v>
      </c>
      <c r="C62" s="36" t="s">
        <v>122</v>
      </c>
      <c r="D62" s="23" t="s">
        <v>110</v>
      </c>
      <c r="E62" s="43" t="s">
        <v>132</v>
      </c>
      <c r="F62" s="36" t="s">
        <v>133</v>
      </c>
    </row>
    <row r="63" spans="1:6" ht="20.25" customHeight="1" thickBot="1" x14ac:dyDescent="0.3">
      <c r="A63" s="27" t="s">
        <v>111</v>
      </c>
      <c r="B63" s="44" t="s">
        <v>118</v>
      </c>
      <c r="C63" s="37" t="s">
        <v>123</v>
      </c>
      <c r="D63" s="27" t="s">
        <v>111</v>
      </c>
      <c r="E63" s="44" t="s">
        <v>131</v>
      </c>
      <c r="F63" s="37" t="s">
        <v>123</v>
      </c>
    </row>
    <row r="64" spans="1:6" ht="20.25" customHeight="1" thickBot="1" x14ac:dyDescent="0.3">
      <c r="A64" s="56"/>
      <c r="B64" s="54" t="s">
        <v>194</v>
      </c>
      <c r="C64" s="57" t="s">
        <v>151</v>
      </c>
      <c r="D64" s="56"/>
      <c r="E64" s="54" t="s">
        <v>198</v>
      </c>
      <c r="F64" s="57" t="s">
        <v>151</v>
      </c>
    </row>
    <row r="65" spans="1:6" ht="30" x14ac:dyDescent="0.25">
      <c r="A65" s="22" t="s">
        <v>105</v>
      </c>
      <c r="B65" s="41" t="s">
        <v>112</v>
      </c>
      <c r="C65" s="35" t="s">
        <v>119</v>
      </c>
      <c r="D65" s="22" t="s">
        <v>105</v>
      </c>
      <c r="E65" s="41" t="s">
        <v>126</v>
      </c>
      <c r="F65" s="35" t="s">
        <v>119</v>
      </c>
    </row>
    <row r="66" spans="1:6" ht="20.25" customHeight="1" x14ac:dyDescent="0.25">
      <c r="A66" s="23" t="s">
        <v>106</v>
      </c>
      <c r="B66" s="42" t="s">
        <v>113</v>
      </c>
      <c r="C66" s="36" t="s">
        <v>120</v>
      </c>
      <c r="D66" s="23" t="s">
        <v>106</v>
      </c>
      <c r="E66" s="42" t="s">
        <v>127</v>
      </c>
      <c r="F66" s="36" t="s">
        <v>120</v>
      </c>
    </row>
    <row r="67" spans="1:6" ht="20.25" customHeight="1" x14ac:dyDescent="0.25">
      <c r="A67" s="23" t="s">
        <v>107</v>
      </c>
      <c r="B67" s="42" t="s">
        <v>114</v>
      </c>
      <c r="C67" s="36" t="s">
        <v>120</v>
      </c>
      <c r="D67" s="23" t="s">
        <v>107</v>
      </c>
      <c r="E67" s="42" t="s">
        <v>128</v>
      </c>
      <c r="F67" s="36" t="s">
        <v>120</v>
      </c>
    </row>
    <row r="68" spans="1:6" ht="20.25" customHeight="1" x14ac:dyDescent="0.25">
      <c r="A68" s="23" t="s">
        <v>108</v>
      </c>
      <c r="B68" s="42" t="s">
        <v>115</v>
      </c>
      <c r="C68" s="36" t="s">
        <v>120</v>
      </c>
      <c r="D68" s="23" t="s">
        <v>108</v>
      </c>
      <c r="E68" s="42" t="s">
        <v>129</v>
      </c>
      <c r="F68" s="36" t="s">
        <v>120</v>
      </c>
    </row>
    <row r="69" spans="1:6" ht="20.25" customHeight="1" x14ac:dyDescent="0.25">
      <c r="A69" s="23" t="s">
        <v>109</v>
      </c>
      <c r="B69" s="43" t="s">
        <v>116</v>
      </c>
      <c r="C69" s="36" t="s">
        <v>121</v>
      </c>
      <c r="D69" s="23" t="s">
        <v>109</v>
      </c>
      <c r="E69" s="43" t="s">
        <v>130</v>
      </c>
      <c r="F69" s="36" t="s">
        <v>121</v>
      </c>
    </row>
    <row r="70" spans="1:6" ht="30" x14ac:dyDescent="0.25">
      <c r="A70" s="23" t="s">
        <v>110</v>
      </c>
      <c r="B70" s="43" t="s">
        <v>117</v>
      </c>
      <c r="C70" s="36" t="s">
        <v>122</v>
      </c>
      <c r="D70" s="23" t="s">
        <v>110</v>
      </c>
      <c r="E70" s="43" t="s">
        <v>132</v>
      </c>
      <c r="F70" s="36" t="s">
        <v>133</v>
      </c>
    </row>
    <row r="71" spans="1:6" ht="20.25" customHeight="1" thickBot="1" x14ac:dyDescent="0.3">
      <c r="A71" s="27" t="s">
        <v>111</v>
      </c>
      <c r="B71" s="45" t="s">
        <v>118</v>
      </c>
      <c r="C71" s="37" t="s">
        <v>123</v>
      </c>
      <c r="D71" s="27" t="s">
        <v>111</v>
      </c>
      <c r="E71" s="45" t="s">
        <v>131</v>
      </c>
      <c r="F71" s="37" t="s">
        <v>123</v>
      </c>
    </row>
    <row r="72" spans="1:6" ht="20.25" customHeight="1" thickBot="1" x14ac:dyDescent="0.3">
      <c r="A72" s="58"/>
      <c r="B72" s="830" t="s">
        <v>143</v>
      </c>
      <c r="C72" s="831"/>
      <c r="D72" s="58"/>
      <c r="E72" s="830" t="s">
        <v>144</v>
      </c>
      <c r="F72" s="831"/>
    </row>
  </sheetData>
  <mergeCells count="13">
    <mergeCell ref="B72:C72"/>
    <mergeCell ref="E72:F72"/>
    <mergeCell ref="F40:F42"/>
    <mergeCell ref="C3:C15"/>
    <mergeCell ref="C46:C51"/>
    <mergeCell ref="C52:C55"/>
    <mergeCell ref="F3:F7"/>
    <mergeCell ref="D8:D15"/>
    <mergeCell ref="E9:F38"/>
    <mergeCell ref="C16:C23"/>
    <mergeCell ref="C24:C34"/>
    <mergeCell ref="C35:C38"/>
    <mergeCell ref="C40:C45"/>
  </mergeCells>
  <pageMargins left="0.7" right="0.7" top="0.75" bottom="0.75" header="0.3" footer="0.3"/>
  <pageSetup paperSize="9" scale="4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79"/>
  <sheetViews>
    <sheetView view="pageBreakPreview" topLeftCell="A4" zoomScale="106" zoomScaleNormal="100" zoomScaleSheetLayoutView="106" workbookViewId="0">
      <pane ySplit="4" topLeftCell="A28" activePane="bottomLeft" state="frozen"/>
      <selection activeCell="L86" sqref="L86"/>
      <selection pane="bottomLeft" activeCell="C56" sqref="C56"/>
    </sheetView>
  </sheetViews>
  <sheetFormatPr defaultColWidth="9.140625" defaultRowHeight="12.75" x14ac:dyDescent="0.2"/>
  <cols>
    <col min="1" max="1" width="5" style="136" customWidth="1"/>
    <col min="2" max="2" width="34.7109375" style="137" customWidth="1"/>
    <col min="3" max="3" width="16.7109375" style="173" customWidth="1"/>
    <col min="4" max="4" width="20.7109375" style="173" customWidth="1"/>
    <col min="5" max="16384" width="9.140625" style="139"/>
  </cols>
  <sheetData>
    <row r="3" spans="1:4" ht="15.75" x14ac:dyDescent="0.25">
      <c r="C3" s="138"/>
      <c r="D3" s="138" t="s">
        <v>542</v>
      </c>
    </row>
    <row r="4" spans="1:4" ht="33" customHeight="1" x14ac:dyDescent="0.2">
      <c r="A4" s="876" t="s">
        <v>1786</v>
      </c>
      <c r="B4" s="876"/>
      <c r="C4" s="876"/>
      <c r="D4" s="876"/>
    </row>
    <row r="5" spans="1:4" s="141" customFormat="1" ht="18" customHeight="1" thickBot="1" x14ac:dyDescent="0.25">
      <c r="A5" s="140"/>
      <c r="B5" s="140"/>
      <c r="C5" s="140"/>
      <c r="D5" s="140"/>
    </row>
    <row r="6" spans="1:4" s="142" customFormat="1" ht="18" customHeight="1" x14ac:dyDescent="0.25">
      <c r="A6" s="877"/>
      <c r="B6" s="879" t="s">
        <v>535</v>
      </c>
      <c r="C6" s="881" t="s">
        <v>640</v>
      </c>
      <c r="D6" s="883" t="s">
        <v>543</v>
      </c>
    </row>
    <row r="7" spans="1:4" s="143" customFormat="1" ht="16.5" thickBot="1" x14ac:dyDescent="0.3">
      <c r="A7" s="878"/>
      <c r="B7" s="880"/>
      <c r="C7" s="882"/>
      <c r="D7" s="884"/>
    </row>
    <row r="8" spans="1:4" s="145" customFormat="1" ht="15" customHeight="1" x14ac:dyDescent="0.25">
      <c r="A8" s="887" t="s">
        <v>519</v>
      </c>
      <c r="B8" s="888"/>
      <c r="C8" s="144"/>
      <c r="D8" s="482"/>
    </row>
    <row r="9" spans="1:4" s="149" customFormat="1" x14ac:dyDescent="0.25">
      <c r="A9" s="146"/>
      <c r="B9" s="147" t="s">
        <v>544</v>
      </c>
      <c r="C9" s="148">
        <v>1</v>
      </c>
      <c r="D9" s="483"/>
    </row>
    <row r="10" spans="1:4" s="149" customFormat="1" x14ac:dyDescent="0.25">
      <c r="A10" s="146"/>
      <c r="B10" s="147" t="s">
        <v>586</v>
      </c>
      <c r="C10" s="148">
        <v>1</v>
      </c>
      <c r="D10" s="483"/>
    </row>
    <row r="11" spans="1:4" s="149" customFormat="1" x14ac:dyDescent="0.25">
      <c r="A11" s="146"/>
      <c r="B11" s="147"/>
      <c r="C11" s="148"/>
      <c r="D11" s="483"/>
    </row>
    <row r="12" spans="1:4" s="154" customFormat="1" ht="15" customHeight="1" x14ac:dyDescent="0.25">
      <c r="A12" s="150"/>
      <c r="B12" s="161" t="s">
        <v>539</v>
      </c>
      <c r="C12" s="155">
        <f>SUM(C9:C11)</f>
        <v>2</v>
      </c>
      <c r="D12" s="484"/>
    </row>
    <row r="13" spans="1:4" s="154" customFormat="1" ht="13.5" x14ac:dyDescent="0.25">
      <c r="A13" s="150"/>
      <c r="B13" s="151"/>
      <c r="C13" s="152"/>
      <c r="D13" s="484"/>
    </row>
    <row r="14" spans="1:4" s="154" customFormat="1" ht="15" customHeight="1" x14ac:dyDescent="0.25">
      <c r="A14" s="885" t="s">
        <v>532</v>
      </c>
      <c r="B14" s="886"/>
      <c r="C14" s="144"/>
      <c r="D14" s="482"/>
    </row>
    <row r="15" spans="1:4" s="154" customFormat="1" ht="15" customHeight="1" x14ac:dyDescent="0.25">
      <c r="A15" s="146"/>
      <c r="B15" s="147" t="s">
        <v>545</v>
      </c>
      <c r="C15" s="148">
        <v>1</v>
      </c>
      <c r="D15" s="483"/>
    </row>
    <row r="16" spans="1:4" s="149" customFormat="1" x14ac:dyDescent="0.25">
      <c r="A16" s="146"/>
      <c r="B16" s="147" t="s">
        <v>557</v>
      </c>
      <c r="C16" s="174">
        <v>19</v>
      </c>
      <c r="D16" s="483"/>
    </row>
    <row r="17" spans="1:4" s="149" customFormat="1" x14ac:dyDescent="0.25">
      <c r="A17" s="146"/>
      <c r="B17" s="147" t="s">
        <v>554</v>
      </c>
      <c r="C17" s="148">
        <v>1</v>
      </c>
      <c r="D17" s="483"/>
    </row>
    <row r="18" spans="1:4" s="149" customFormat="1" x14ac:dyDescent="0.25">
      <c r="A18" s="146"/>
      <c r="B18" s="147" t="s">
        <v>1121</v>
      </c>
      <c r="C18" s="148">
        <v>1</v>
      </c>
      <c r="D18" s="483" t="s">
        <v>1122</v>
      </c>
    </row>
    <row r="19" spans="1:4" s="149" customFormat="1" ht="13.5" x14ac:dyDescent="0.25">
      <c r="A19" s="150"/>
      <c r="B19" s="161" t="s">
        <v>539</v>
      </c>
      <c r="C19" s="155">
        <f>SUM(C15:C18)</f>
        <v>22</v>
      </c>
      <c r="D19" s="484"/>
    </row>
    <row r="20" spans="1:4" s="159" customFormat="1" ht="11.25" x14ac:dyDescent="0.25">
      <c r="A20" s="156"/>
      <c r="B20" s="157"/>
      <c r="C20" s="158"/>
      <c r="D20" s="485"/>
    </row>
    <row r="21" spans="1:4" s="145" customFormat="1" ht="15" customHeight="1" x14ac:dyDescent="0.25">
      <c r="A21" s="874" t="s">
        <v>529</v>
      </c>
      <c r="B21" s="875"/>
      <c r="C21" s="160"/>
      <c r="D21" s="486"/>
    </row>
    <row r="22" spans="1:4" s="149" customFormat="1" x14ac:dyDescent="0.25">
      <c r="A22" s="146"/>
      <c r="B22" s="147" t="s">
        <v>546</v>
      </c>
      <c r="C22" s="148">
        <v>1</v>
      </c>
      <c r="D22" s="483"/>
    </row>
    <row r="23" spans="1:4" s="149" customFormat="1" x14ac:dyDescent="0.25">
      <c r="A23" s="146"/>
      <c r="B23" s="147" t="s">
        <v>547</v>
      </c>
      <c r="C23" s="148">
        <v>2.5</v>
      </c>
      <c r="D23" s="483"/>
    </row>
    <row r="24" spans="1:4" s="149" customFormat="1" x14ac:dyDescent="0.25">
      <c r="A24" s="146"/>
      <c r="B24" s="147" t="s">
        <v>1117</v>
      </c>
      <c r="C24" s="148">
        <v>0.5</v>
      </c>
      <c r="D24" s="483" t="s">
        <v>1116</v>
      </c>
    </row>
    <row r="25" spans="1:4" s="154" customFormat="1" ht="15" customHeight="1" x14ac:dyDescent="0.25">
      <c r="A25" s="150"/>
      <c r="B25" s="161" t="s">
        <v>539</v>
      </c>
      <c r="C25" s="155">
        <f>SUM(C22:C24)</f>
        <v>4</v>
      </c>
      <c r="D25" s="484"/>
    </row>
    <row r="26" spans="1:4" s="154" customFormat="1" ht="13.5" x14ac:dyDescent="0.25">
      <c r="A26" s="150"/>
      <c r="B26" s="151"/>
      <c r="C26" s="152"/>
      <c r="D26" s="484"/>
    </row>
    <row r="27" spans="1:4" s="154" customFormat="1" ht="15" customHeight="1" x14ac:dyDescent="0.25">
      <c r="A27" s="874" t="s">
        <v>526</v>
      </c>
      <c r="B27" s="875"/>
      <c r="C27" s="152"/>
      <c r="D27" s="484"/>
    </row>
    <row r="28" spans="1:4" s="154" customFormat="1" ht="15" customHeight="1" x14ac:dyDescent="0.25">
      <c r="A28" s="150"/>
      <c r="B28" s="162" t="s">
        <v>548</v>
      </c>
      <c r="C28" s="174">
        <v>1</v>
      </c>
      <c r="D28" s="484"/>
    </row>
    <row r="29" spans="1:4" s="154" customFormat="1" ht="15" customHeight="1" x14ac:dyDescent="0.25">
      <c r="A29" s="150"/>
      <c r="B29" s="162" t="s">
        <v>549</v>
      </c>
      <c r="C29" s="174">
        <v>1</v>
      </c>
      <c r="D29" s="484"/>
    </row>
    <row r="30" spans="1:4" s="154" customFormat="1" ht="15" customHeight="1" x14ac:dyDescent="0.25">
      <c r="A30" s="150"/>
      <c r="B30" s="162" t="s">
        <v>594</v>
      </c>
      <c r="C30" s="174">
        <v>0.5</v>
      </c>
      <c r="D30" s="484"/>
    </row>
    <row r="31" spans="1:4" s="154" customFormat="1" ht="15" customHeight="1" x14ac:dyDescent="0.25">
      <c r="A31" s="150"/>
      <c r="B31" s="163" t="s">
        <v>550</v>
      </c>
      <c r="C31" s="174">
        <v>3</v>
      </c>
      <c r="D31" s="484"/>
    </row>
    <row r="32" spans="1:4" s="154" customFormat="1" ht="15" customHeight="1" x14ac:dyDescent="0.25">
      <c r="A32" s="150"/>
      <c r="B32" s="162" t="s">
        <v>551</v>
      </c>
      <c r="C32" s="174">
        <v>4</v>
      </c>
      <c r="D32" s="484"/>
    </row>
    <row r="33" spans="1:4" s="154" customFormat="1" ht="15" customHeight="1" x14ac:dyDescent="0.25">
      <c r="A33" s="150"/>
      <c r="B33" s="162" t="s">
        <v>552</v>
      </c>
      <c r="C33" s="174">
        <v>3</v>
      </c>
      <c r="D33" s="484"/>
    </row>
    <row r="34" spans="1:4" s="154" customFormat="1" ht="15" customHeight="1" x14ac:dyDescent="0.25">
      <c r="A34" s="150"/>
      <c r="B34" s="162" t="s">
        <v>1118</v>
      </c>
      <c r="C34" s="174">
        <v>1</v>
      </c>
      <c r="D34" s="483" t="s">
        <v>1116</v>
      </c>
    </row>
    <row r="35" spans="1:4" s="159" customFormat="1" ht="13.5" x14ac:dyDescent="0.25">
      <c r="A35" s="150"/>
      <c r="B35" s="162" t="s">
        <v>553</v>
      </c>
      <c r="C35" s="174">
        <v>5</v>
      </c>
      <c r="D35" s="485"/>
    </row>
    <row r="36" spans="1:4" s="159" customFormat="1" ht="13.5" x14ac:dyDescent="0.25">
      <c r="A36" s="150"/>
      <c r="B36" s="162" t="s">
        <v>1119</v>
      </c>
      <c r="C36" s="174">
        <v>1</v>
      </c>
      <c r="D36" s="483" t="s">
        <v>1116</v>
      </c>
    </row>
    <row r="37" spans="1:4" s="159" customFormat="1" ht="13.5" x14ac:dyDescent="0.25">
      <c r="A37" s="150"/>
      <c r="B37" s="162" t="s">
        <v>753</v>
      </c>
      <c r="C37" s="174">
        <v>1</v>
      </c>
      <c r="D37" s="485"/>
    </row>
    <row r="38" spans="1:4" s="159" customFormat="1" ht="13.5" x14ac:dyDescent="0.25">
      <c r="A38" s="150"/>
      <c r="B38" s="162" t="s">
        <v>641</v>
      </c>
      <c r="C38" s="174">
        <v>1</v>
      </c>
      <c r="D38" s="485"/>
    </row>
    <row r="39" spans="1:4" s="154" customFormat="1" ht="15" customHeight="1" x14ac:dyDescent="0.25">
      <c r="A39" s="150"/>
      <c r="B39" s="161" t="s">
        <v>539</v>
      </c>
      <c r="C39" s="224">
        <f>SUM(C28:C38)</f>
        <v>21.5</v>
      </c>
      <c r="D39" s="484"/>
    </row>
    <row r="40" spans="1:4" s="154" customFormat="1" ht="13.5" x14ac:dyDescent="0.25">
      <c r="A40" s="150"/>
      <c r="B40" s="151"/>
      <c r="C40" s="152"/>
      <c r="D40" s="484"/>
    </row>
    <row r="41" spans="1:4" s="154" customFormat="1" ht="15" customHeight="1" x14ac:dyDescent="0.25">
      <c r="A41" s="874" t="s">
        <v>533</v>
      </c>
      <c r="B41" s="875"/>
      <c r="C41" s="152"/>
      <c r="D41" s="484"/>
    </row>
    <row r="42" spans="1:4" s="154" customFormat="1" ht="15" customHeight="1" x14ac:dyDescent="0.25">
      <c r="A42" s="150"/>
      <c r="B42" s="164" t="s">
        <v>548</v>
      </c>
      <c r="C42" s="148">
        <v>1</v>
      </c>
      <c r="D42" s="484"/>
    </row>
    <row r="43" spans="1:4" s="154" customFormat="1" ht="15" customHeight="1" x14ac:dyDescent="0.25">
      <c r="A43" s="150"/>
      <c r="B43" s="164" t="s">
        <v>558</v>
      </c>
      <c r="C43" s="148">
        <v>5.5</v>
      </c>
      <c r="D43" s="484"/>
    </row>
    <row r="44" spans="1:4" s="154" customFormat="1" ht="15" customHeight="1" x14ac:dyDescent="0.25">
      <c r="A44" s="150"/>
      <c r="B44" s="487" t="s">
        <v>1174</v>
      </c>
      <c r="C44" s="174">
        <v>0.5</v>
      </c>
      <c r="D44" s="488" t="s">
        <v>1175</v>
      </c>
    </row>
    <row r="45" spans="1:4" s="154" customFormat="1" ht="15" customHeight="1" x14ac:dyDescent="0.25">
      <c r="A45" s="150"/>
      <c r="B45" s="226" t="s">
        <v>556</v>
      </c>
      <c r="C45" s="148">
        <v>3</v>
      </c>
      <c r="D45" s="153"/>
    </row>
    <row r="46" spans="1:4" s="154" customFormat="1" ht="15" customHeight="1" x14ac:dyDescent="0.25">
      <c r="A46" s="150"/>
      <c r="B46" s="161" t="s">
        <v>539</v>
      </c>
      <c r="C46" s="155">
        <f>SUM(C42:C45)</f>
        <v>10</v>
      </c>
      <c r="D46" s="153"/>
    </row>
    <row r="47" spans="1:4" s="154" customFormat="1" ht="15" customHeight="1" x14ac:dyDescent="0.25">
      <c r="A47" s="150"/>
      <c r="B47" s="161"/>
      <c r="C47" s="155"/>
      <c r="D47" s="153"/>
    </row>
    <row r="48" spans="1:4" s="154" customFormat="1" ht="15" customHeight="1" x14ac:dyDescent="0.25">
      <c r="A48" s="874" t="s">
        <v>741</v>
      </c>
      <c r="B48" s="875"/>
      <c r="C48" s="155"/>
      <c r="D48" s="153"/>
    </row>
    <row r="49" spans="1:4" s="154" customFormat="1" ht="15" customHeight="1" x14ac:dyDescent="0.25">
      <c r="A49" s="150"/>
      <c r="B49" s="164" t="s">
        <v>548</v>
      </c>
      <c r="C49" s="148">
        <v>1</v>
      </c>
      <c r="D49" s="153"/>
    </row>
    <row r="50" spans="1:4" s="154" customFormat="1" ht="15" customHeight="1" x14ac:dyDescent="0.25">
      <c r="A50" s="150"/>
      <c r="B50" s="164" t="s">
        <v>749</v>
      </c>
      <c r="C50" s="148">
        <v>6</v>
      </c>
      <c r="D50" s="153"/>
    </row>
    <row r="51" spans="1:4" s="154" customFormat="1" ht="13.5" x14ac:dyDescent="0.25">
      <c r="A51" s="150"/>
      <c r="B51" s="226" t="s">
        <v>750</v>
      </c>
      <c r="C51" s="148">
        <v>1</v>
      </c>
      <c r="D51" s="153"/>
    </row>
    <row r="52" spans="1:4" s="154" customFormat="1" ht="13.5" x14ac:dyDescent="0.25">
      <c r="A52" s="150"/>
      <c r="B52" s="161" t="s">
        <v>539</v>
      </c>
      <c r="C52" s="155">
        <f>SUM(C49:C51)</f>
        <v>8</v>
      </c>
      <c r="D52" s="153"/>
    </row>
    <row r="53" spans="1:4" s="154" customFormat="1" ht="13.5" x14ac:dyDescent="0.25">
      <c r="A53" s="150"/>
      <c r="B53" s="226"/>
      <c r="C53" s="152"/>
      <c r="D53" s="153"/>
    </row>
    <row r="54" spans="1:4" s="154" customFormat="1" ht="13.5" x14ac:dyDescent="0.25">
      <c r="A54" s="150"/>
      <c r="B54" s="226"/>
      <c r="C54" s="152"/>
      <c r="D54" s="153"/>
    </row>
    <row r="55" spans="1:4" s="154" customFormat="1" ht="15" customHeight="1" x14ac:dyDescent="0.25">
      <c r="A55" s="150"/>
      <c r="B55" s="161" t="s">
        <v>555</v>
      </c>
      <c r="C55" s="155">
        <f>SUM(C19,C25,C39,C46)+C52+C12</f>
        <v>67.5</v>
      </c>
      <c r="D55" s="153"/>
    </row>
    <row r="56" spans="1:4" s="154" customFormat="1" ht="13.5" x14ac:dyDescent="0.25">
      <c r="A56" s="156"/>
      <c r="B56" s="151"/>
      <c r="C56" s="152"/>
      <c r="D56" s="153"/>
    </row>
    <row r="57" spans="1:4" s="154" customFormat="1" ht="15" customHeight="1" x14ac:dyDescent="0.2">
      <c r="A57" s="165"/>
      <c r="B57" s="162"/>
      <c r="C57" s="174"/>
      <c r="D57" s="153"/>
    </row>
    <row r="58" spans="1:4" s="159" customFormat="1" ht="13.5" thickBot="1" x14ac:dyDescent="0.3">
      <c r="A58" s="166"/>
      <c r="B58" s="167"/>
      <c r="C58" s="168"/>
      <c r="D58" s="169"/>
    </row>
    <row r="59" spans="1:4" s="159" customFormat="1" ht="9.75" customHeight="1" x14ac:dyDescent="0.25">
      <c r="A59" s="170"/>
      <c r="B59" s="170"/>
      <c r="C59" s="171"/>
      <c r="D59" s="171"/>
    </row>
    <row r="60" spans="1:4" x14ac:dyDescent="0.2">
      <c r="A60" s="172"/>
    </row>
    <row r="61" spans="1:4" x14ac:dyDescent="0.2">
      <c r="A61" s="172"/>
    </row>
    <row r="62" spans="1:4" x14ac:dyDescent="0.2">
      <c r="A62" s="172"/>
    </row>
    <row r="63" spans="1:4" x14ac:dyDescent="0.2">
      <c r="A63" s="172"/>
    </row>
    <row r="64" spans="1:4" s="137" customFormat="1" x14ac:dyDescent="0.2">
      <c r="A64" s="172"/>
      <c r="C64" s="173"/>
      <c r="D64" s="173"/>
    </row>
    <row r="65" spans="1:4" s="137" customFormat="1" x14ac:dyDescent="0.2">
      <c r="A65" s="172"/>
      <c r="C65" s="173"/>
      <c r="D65" s="173"/>
    </row>
    <row r="66" spans="1:4" s="137" customFormat="1" x14ac:dyDescent="0.2">
      <c r="A66" s="172"/>
      <c r="C66" s="173"/>
      <c r="D66" s="173"/>
    </row>
    <row r="67" spans="1:4" s="137" customFormat="1" x14ac:dyDescent="0.2">
      <c r="A67" s="172"/>
      <c r="C67" s="173"/>
      <c r="D67" s="173"/>
    </row>
    <row r="68" spans="1:4" s="137" customFormat="1" x14ac:dyDescent="0.2">
      <c r="A68" s="172"/>
      <c r="C68" s="173"/>
      <c r="D68" s="173"/>
    </row>
    <row r="69" spans="1:4" s="137" customFormat="1" x14ac:dyDescent="0.2">
      <c r="A69" s="172"/>
      <c r="C69" s="173"/>
      <c r="D69" s="173"/>
    </row>
    <row r="70" spans="1:4" s="137" customFormat="1" x14ac:dyDescent="0.2">
      <c r="A70" s="172"/>
      <c r="C70" s="173"/>
      <c r="D70" s="173"/>
    </row>
    <row r="71" spans="1:4" s="137" customFormat="1" x14ac:dyDescent="0.2">
      <c r="A71" s="172"/>
      <c r="C71" s="173"/>
      <c r="D71" s="173"/>
    </row>
    <row r="72" spans="1:4" s="137" customFormat="1" x14ac:dyDescent="0.2">
      <c r="A72" s="172"/>
      <c r="C72" s="173"/>
      <c r="D72" s="173"/>
    </row>
    <row r="73" spans="1:4" s="137" customFormat="1" x14ac:dyDescent="0.2">
      <c r="A73" s="172"/>
      <c r="C73" s="173"/>
      <c r="D73" s="173"/>
    </row>
    <row r="74" spans="1:4" x14ac:dyDescent="0.2">
      <c r="A74" s="172"/>
    </row>
    <row r="75" spans="1:4" x14ac:dyDescent="0.2">
      <c r="A75" s="172"/>
    </row>
    <row r="76" spans="1:4" x14ac:dyDescent="0.2">
      <c r="A76" s="172"/>
    </row>
    <row r="77" spans="1:4" x14ac:dyDescent="0.2">
      <c r="A77" s="172"/>
    </row>
    <row r="78" spans="1:4" x14ac:dyDescent="0.2">
      <c r="A78" s="172"/>
    </row>
    <row r="79" spans="1:4" x14ac:dyDescent="0.2">
      <c r="A79" s="172"/>
    </row>
    <row r="80" spans="1:4" x14ac:dyDescent="0.2">
      <c r="A80" s="172"/>
    </row>
    <row r="81" spans="1:1" x14ac:dyDescent="0.2">
      <c r="A81" s="172"/>
    </row>
    <row r="82" spans="1:1" x14ac:dyDescent="0.2">
      <c r="A82" s="172"/>
    </row>
    <row r="83" spans="1:1" x14ac:dyDescent="0.2">
      <c r="A83" s="172"/>
    </row>
    <row r="84" spans="1:1" x14ac:dyDescent="0.2">
      <c r="A84" s="172"/>
    </row>
    <row r="85" spans="1:1" x14ac:dyDescent="0.2">
      <c r="A85" s="172"/>
    </row>
    <row r="86" spans="1:1" x14ac:dyDescent="0.2">
      <c r="A86" s="172"/>
    </row>
    <row r="87" spans="1:1" x14ac:dyDescent="0.2">
      <c r="A87" s="172"/>
    </row>
    <row r="88" spans="1:1" x14ac:dyDescent="0.2">
      <c r="A88" s="172"/>
    </row>
    <row r="89" spans="1:1" x14ac:dyDescent="0.2">
      <c r="A89" s="172"/>
    </row>
    <row r="90" spans="1:1" x14ac:dyDescent="0.2">
      <c r="A90" s="172"/>
    </row>
    <row r="91" spans="1:1" x14ac:dyDescent="0.2">
      <c r="A91" s="172"/>
    </row>
    <row r="92" spans="1:1" x14ac:dyDescent="0.2">
      <c r="A92" s="172"/>
    </row>
    <row r="93" spans="1:1" x14ac:dyDescent="0.2">
      <c r="A93" s="172"/>
    </row>
    <row r="94" spans="1:1" x14ac:dyDescent="0.2">
      <c r="A94" s="172"/>
    </row>
    <row r="95" spans="1:1" x14ac:dyDescent="0.2">
      <c r="A95" s="172"/>
    </row>
    <row r="96" spans="1:1" x14ac:dyDescent="0.2">
      <c r="A96" s="172"/>
    </row>
    <row r="97" spans="1:1" x14ac:dyDescent="0.2">
      <c r="A97" s="172"/>
    </row>
    <row r="98" spans="1:1" x14ac:dyDescent="0.2">
      <c r="A98" s="172"/>
    </row>
    <row r="99" spans="1:1" x14ac:dyDescent="0.2">
      <c r="A99" s="172"/>
    </row>
    <row r="100" spans="1:1" x14ac:dyDescent="0.2">
      <c r="A100" s="172"/>
    </row>
    <row r="101" spans="1:1" x14ac:dyDescent="0.2">
      <c r="A101" s="172"/>
    </row>
    <row r="102" spans="1:1" x14ac:dyDescent="0.2">
      <c r="A102" s="172"/>
    </row>
    <row r="103" spans="1:1" x14ac:dyDescent="0.2">
      <c r="A103" s="172"/>
    </row>
    <row r="104" spans="1:1" x14ac:dyDescent="0.2">
      <c r="A104" s="172"/>
    </row>
    <row r="105" spans="1:1" x14ac:dyDescent="0.2">
      <c r="A105" s="172"/>
    </row>
    <row r="106" spans="1:1" x14ac:dyDescent="0.2">
      <c r="A106" s="172"/>
    </row>
    <row r="107" spans="1:1" x14ac:dyDescent="0.2">
      <c r="A107" s="172"/>
    </row>
    <row r="108" spans="1:1" x14ac:dyDescent="0.2">
      <c r="A108" s="172"/>
    </row>
    <row r="109" spans="1:1" x14ac:dyDescent="0.2">
      <c r="A109" s="172"/>
    </row>
    <row r="110" spans="1:1" x14ac:dyDescent="0.2">
      <c r="A110" s="172"/>
    </row>
    <row r="111" spans="1:1" x14ac:dyDescent="0.2">
      <c r="A111" s="172"/>
    </row>
    <row r="112" spans="1:1" x14ac:dyDescent="0.2">
      <c r="A112" s="172"/>
    </row>
    <row r="113" spans="1:1" x14ac:dyDescent="0.2">
      <c r="A113" s="172"/>
    </row>
    <row r="114" spans="1:1" x14ac:dyDescent="0.2">
      <c r="A114" s="172"/>
    </row>
    <row r="115" spans="1:1" x14ac:dyDescent="0.2">
      <c r="A115" s="172"/>
    </row>
    <row r="116" spans="1:1" x14ac:dyDescent="0.2">
      <c r="A116" s="172"/>
    </row>
    <row r="117" spans="1:1" x14ac:dyDescent="0.2">
      <c r="A117" s="172"/>
    </row>
    <row r="118" spans="1:1" x14ac:dyDescent="0.2">
      <c r="A118" s="172"/>
    </row>
    <row r="119" spans="1:1" x14ac:dyDescent="0.2">
      <c r="A119" s="172"/>
    </row>
    <row r="120" spans="1:1" x14ac:dyDescent="0.2">
      <c r="A120" s="172"/>
    </row>
    <row r="121" spans="1:1" x14ac:dyDescent="0.2">
      <c r="A121" s="172"/>
    </row>
    <row r="122" spans="1:1" x14ac:dyDescent="0.2">
      <c r="A122" s="172"/>
    </row>
    <row r="123" spans="1:1" x14ac:dyDescent="0.2">
      <c r="A123" s="172"/>
    </row>
    <row r="124" spans="1:1" x14ac:dyDescent="0.2">
      <c r="A124" s="172"/>
    </row>
    <row r="125" spans="1:1" x14ac:dyDescent="0.2">
      <c r="A125" s="172"/>
    </row>
    <row r="126" spans="1:1" x14ac:dyDescent="0.2">
      <c r="A126" s="172"/>
    </row>
    <row r="127" spans="1:1" x14ac:dyDescent="0.2">
      <c r="A127" s="172"/>
    </row>
    <row r="128" spans="1:1" x14ac:dyDescent="0.2">
      <c r="A128" s="172"/>
    </row>
    <row r="129" spans="1:1" x14ac:dyDescent="0.2">
      <c r="A129" s="172"/>
    </row>
    <row r="130" spans="1:1" x14ac:dyDescent="0.2">
      <c r="A130" s="172"/>
    </row>
    <row r="131" spans="1:1" x14ac:dyDescent="0.2">
      <c r="A131" s="172"/>
    </row>
    <row r="132" spans="1:1" x14ac:dyDescent="0.2">
      <c r="A132" s="172"/>
    </row>
    <row r="133" spans="1:1" x14ac:dyDescent="0.2">
      <c r="A133" s="172"/>
    </row>
    <row r="134" spans="1:1" x14ac:dyDescent="0.2">
      <c r="A134" s="172"/>
    </row>
    <row r="135" spans="1:1" x14ac:dyDescent="0.2">
      <c r="A135" s="172"/>
    </row>
    <row r="136" spans="1:1" x14ac:dyDescent="0.2">
      <c r="A136" s="172"/>
    </row>
    <row r="137" spans="1:1" x14ac:dyDescent="0.2">
      <c r="A137" s="172"/>
    </row>
    <row r="138" spans="1:1" x14ac:dyDescent="0.2">
      <c r="A138" s="172"/>
    </row>
    <row r="139" spans="1:1" x14ac:dyDescent="0.2">
      <c r="A139" s="172"/>
    </row>
    <row r="140" spans="1:1" x14ac:dyDescent="0.2">
      <c r="A140" s="172"/>
    </row>
    <row r="141" spans="1:1" x14ac:dyDescent="0.2">
      <c r="A141" s="172"/>
    </row>
    <row r="142" spans="1:1" x14ac:dyDescent="0.2">
      <c r="A142" s="172"/>
    </row>
    <row r="143" spans="1:1" x14ac:dyDescent="0.2">
      <c r="A143" s="172"/>
    </row>
    <row r="144" spans="1:1" x14ac:dyDescent="0.2">
      <c r="A144" s="172"/>
    </row>
    <row r="145" spans="1:1" x14ac:dyDescent="0.2">
      <c r="A145" s="172"/>
    </row>
    <row r="146" spans="1:1" x14ac:dyDescent="0.2">
      <c r="A146" s="172"/>
    </row>
    <row r="147" spans="1:1" x14ac:dyDescent="0.2">
      <c r="A147" s="172"/>
    </row>
    <row r="148" spans="1:1" x14ac:dyDescent="0.2">
      <c r="A148" s="172"/>
    </row>
    <row r="149" spans="1:1" x14ac:dyDescent="0.2">
      <c r="A149" s="172"/>
    </row>
    <row r="150" spans="1:1" x14ac:dyDescent="0.2">
      <c r="A150" s="172"/>
    </row>
    <row r="151" spans="1:1" x14ac:dyDescent="0.2">
      <c r="A151" s="172"/>
    </row>
    <row r="152" spans="1:1" x14ac:dyDescent="0.2">
      <c r="A152" s="172"/>
    </row>
    <row r="153" spans="1:1" x14ac:dyDescent="0.2">
      <c r="A153" s="172"/>
    </row>
    <row r="154" spans="1:1" x14ac:dyDescent="0.2">
      <c r="A154" s="172"/>
    </row>
    <row r="155" spans="1:1" x14ac:dyDescent="0.2">
      <c r="A155" s="172"/>
    </row>
    <row r="156" spans="1:1" x14ac:dyDescent="0.2">
      <c r="A156" s="172"/>
    </row>
    <row r="157" spans="1:1" x14ac:dyDescent="0.2">
      <c r="A157" s="172"/>
    </row>
    <row r="158" spans="1:1" x14ac:dyDescent="0.2">
      <c r="A158" s="172"/>
    </row>
    <row r="159" spans="1:1" x14ac:dyDescent="0.2">
      <c r="A159" s="172"/>
    </row>
    <row r="160" spans="1:1" x14ac:dyDescent="0.2">
      <c r="A160" s="172"/>
    </row>
    <row r="161" spans="1:1" x14ac:dyDescent="0.2">
      <c r="A161" s="172"/>
    </row>
    <row r="162" spans="1:1" x14ac:dyDescent="0.2">
      <c r="A162" s="172"/>
    </row>
    <row r="163" spans="1:1" x14ac:dyDescent="0.2">
      <c r="A163" s="172"/>
    </row>
    <row r="164" spans="1:1" x14ac:dyDescent="0.2">
      <c r="A164" s="172"/>
    </row>
    <row r="165" spans="1:1" x14ac:dyDescent="0.2">
      <c r="A165" s="172"/>
    </row>
    <row r="166" spans="1:1" x14ac:dyDescent="0.2">
      <c r="A166" s="172"/>
    </row>
    <row r="167" spans="1:1" x14ac:dyDescent="0.2">
      <c r="A167" s="172"/>
    </row>
    <row r="168" spans="1:1" x14ac:dyDescent="0.2">
      <c r="A168" s="172"/>
    </row>
    <row r="169" spans="1:1" x14ac:dyDescent="0.2">
      <c r="A169" s="172"/>
    </row>
    <row r="170" spans="1:1" x14ac:dyDescent="0.2">
      <c r="A170" s="172"/>
    </row>
    <row r="171" spans="1:1" x14ac:dyDescent="0.2">
      <c r="A171" s="172"/>
    </row>
    <row r="172" spans="1:1" x14ac:dyDescent="0.2">
      <c r="A172" s="172"/>
    </row>
    <row r="173" spans="1:1" x14ac:dyDescent="0.2">
      <c r="A173" s="172"/>
    </row>
    <row r="174" spans="1:1" x14ac:dyDescent="0.2">
      <c r="A174" s="172"/>
    </row>
    <row r="175" spans="1:1" x14ac:dyDescent="0.2">
      <c r="A175" s="172"/>
    </row>
    <row r="176" spans="1:1" x14ac:dyDescent="0.2">
      <c r="A176" s="172"/>
    </row>
    <row r="177" spans="1:1" x14ac:dyDescent="0.2">
      <c r="A177" s="172"/>
    </row>
    <row r="178" spans="1:1" x14ac:dyDescent="0.2">
      <c r="A178" s="172"/>
    </row>
    <row r="179" spans="1:1" x14ac:dyDescent="0.2">
      <c r="A179" s="172"/>
    </row>
    <row r="180" spans="1:1" x14ac:dyDescent="0.2">
      <c r="A180" s="172"/>
    </row>
    <row r="181" spans="1:1" x14ac:dyDescent="0.2">
      <c r="A181" s="172"/>
    </row>
    <row r="182" spans="1:1" x14ac:dyDescent="0.2">
      <c r="A182" s="172"/>
    </row>
    <row r="183" spans="1:1" x14ac:dyDescent="0.2">
      <c r="A183" s="172"/>
    </row>
    <row r="184" spans="1:1" x14ac:dyDescent="0.2">
      <c r="A184" s="172"/>
    </row>
    <row r="185" spans="1:1" x14ac:dyDescent="0.2">
      <c r="A185" s="172"/>
    </row>
    <row r="186" spans="1:1" x14ac:dyDescent="0.2">
      <c r="A186" s="172"/>
    </row>
    <row r="187" spans="1:1" x14ac:dyDescent="0.2">
      <c r="A187" s="172"/>
    </row>
    <row r="188" spans="1:1" x14ac:dyDescent="0.2">
      <c r="A188" s="172"/>
    </row>
    <row r="189" spans="1:1" x14ac:dyDescent="0.2">
      <c r="A189" s="172"/>
    </row>
    <row r="190" spans="1:1" x14ac:dyDescent="0.2">
      <c r="A190" s="172"/>
    </row>
    <row r="191" spans="1:1" x14ac:dyDescent="0.2">
      <c r="A191" s="172"/>
    </row>
    <row r="192" spans="1:1" x14ac:dyDescent="0.2">
      <c r="A192" s="172"/>
    </row>
    <row r="193" spans="1:1" x14ac:dyDescent="0.2">
      <c r="A193" s="172"/>
    </row>
    <row r="194" spans="1:1" x14ac:dyDescent="0.2">
      <c r="A194" s="172"/>
    </row>
    <row r="195" spans="1:1" x14ac:dyDescent="0.2">
      <c r="A195" s="172"/>
    </row>
    <row r="196" spans="1:1" x14ac:dyDescent="0.2">
      <c r="A196" s="172"/>
    </row>
    <row r="197" spans="1:1" x14ac:dyDescent="0.2">
      <c r="A197" s="172"/>
    </row>
    <row r="198" spans="1:1" x14ac:dyDescent="0.2">
      <c r="A198" s="172"/>
    </row>
    <row r="199" spans="1:1" x14ac:dyDescent="0.2">
      <c r="A199" s="172"/>
    </row>
    <row r="200" spans="1:1" x14ac:dyDescent="0.2">
      <c r="A200" s="172"/>
    </row>
    <row r="201" spans="1:1" x14ac:dyDescent="0.2">
      <c r="A201" s="172"/>
    </row>
    <row r="202" spans="1:1" x14ac:dyDescent="0.2">
      <c r="A202" s="172"/>
    </row>
    <row r="203" spans="1:1" x14ac:dyDescent="0.2">
      <c r="A203" s="172"/>
    </row>
    <row r="204" spans="1:1" x14ac:dyDescent="0.2">
      <c r="A204" s="172"/>
    </row>
    <row r="205" spans="1:1" x14ac:dyDescent="0.2">
      <c r="A205" s="172"/>
    </row>
    <row r="206" spans="1:1" x14ac:dyDescent="0.2">
      <c r="A206" s="172"/>
    </row>
    <row r="207" spans="1:1" x14ac:dyDescent="0.2">
      <c r="A207" s="172"/>
    </row>
    <row r="208" spans="1:1" x14ac:dyDescent="0.2">
      <c r="A208" s="172"/>
    </row>
    <row r="209" spans="1:1" x14ac:dyDescent="0.2">
      <c r="A209" s="172"/>
    </row>
    <row r="210" spans="1:1" x14ac:dyDescent="0.2">
      <c r="A210" s="172"/>
    </row>
    <row r="211" spans="1:1" x14ac:dyDescent="0.2">
      <c r="A211" s="172"/>
    </row>
    <row r="212" spans="1:1" x14ac:dyDescent="0.2">
      <c r="A212" s="172"/>
    </row>
    <row r="213" spans="1:1" x14ac:dyDescent="0.2">
      <c r="A213" s="172"/>
    </row>
    <row r="214" spans="1:1" x14ac:dyDescent="0.2">
      <c r="A214" s="172"/>
    </row>
    <row r="215" spans="1:1" x14ac:dyDescent="0.2">
      <c r="A215" s="172"/>
    </row>
    <row r="216" spans="1:1" x14ac:dyDescent="0.2">
      <c r="A216" s="172"/>
    </row>
    <row r="217" spans="1:1" x14ac:dyDescent="0.2">
      <c r="A217" s="172"/>
    </row>
    <row r="218" spans="1:1" x14ac:dyDescent="0.2">
      <c r="A218" s="172"/>
    </row>
    <row r="219" spans="1:1" x14ac:dyDescent="0.2">
      <c r="A219" s="172"/>
    </row>
    <row r="220" spans="1:1" x14ac:dyDescent="0.2">
      <c r="A220" s="172"/>
    </row>
    <row r="221" spans="1:1" x14ac:dyDescent="0.2">
      <c r="A221" s="172"/>
    </row>
    <row r="222" spans="1:1" x14ac:dyDescent="0.2">
      <c r="A222" s="172"/>
    </row>
    <row r="223" spans="1:1" x14ac:dyDescent="0.2">
      <c r="A223" s="172"/>
    </row>
    <row r="224" spans="1:1" x14ac:dyDescent="0.2">
      <c r="A224" s="172"/>
    </row>
    <row r="225" spans="1:1" x14ac:dyDescent="0.2">
      <c r="A225" s="172"/>
    </row>
    <row r="226" spans="1:1" x14ac:dyDescent="0.2">
      <c r="A226" s="172"/>
    </row>
    <row r="227" spans="1:1" x14ac:dyDescent="0.2">
      <c r="A227" s="172"/>
    </row>
    <row r="228" spans="1:1" x14ac:dyDescent="0.2">
      <c r="A228" s="172"/>
    </row>
    <row r="229" spans="1:1" x14ac:dyDescent="0.2">
      <c r="A229" s="172"/>
    </row>
    <row r="230" spans="1:1" x14ac:dyDescent="0.2">
      <c r="A230" s="172"/>
    </row>
    <row r="231" spans="1:1" x14ac:dyDescent="0.2">
      <c r="A231" s="172"/>
    </row>
    <row r="232" spans="1:1" x14ac:dyDescent="0.2">
      <c r="A232" s="172"/>
    </row>
    <row r="233" spans="1:1" x14ac:dyDescent="0.2">
      <c r="A233" s="172"/>
    </row>
    <row r="234" spans="1:1" x14ac:dyDescent="0.2">
      <c r="A234" s="172"/>
    </row>
    <row r="235" spans="1:1" x14ac:dyDescent="0.2">
      <c r="A235" s="172"/>
    </row>
    <row r="236" spans="1:1" x14ac:dyDescent="0.2">
      <c r="A236" s="172"/>
    </row>
    <row r="237" spans="1:1" x14ac:dyDescent="0.2">
      <c r="A237" s="172"/>
    </row>
    <row r="238" spans="1:1" x14ac:dyDescent="0.2">
      <c r="A238" s="172"/>
    </row>
    <row r="239" spans="1:1" x14ac:dyDescent="0.2">
      <c r="A239" s="172"/>
    </row>
    <row r="240" spans="1:1" x14ac:dyDescent="0.2">
      <c r="A240" s="172"/>
    </row>
    <row r="241" spans="1:1" x14ac:dyDescent="0.2">
      <c r="A241" s="172"/>
    </row>
    <row r="242" spans="1:1" x14ac:dyDescent="0.2">
      <c r="A242" s="172"/>
    </row>
    <row r="243" spans="1:1" x14ac:dyDescent="0.2">
      <c r="A243" s="172"/>
    </row>
    <row r="244" spans="1:1" x14ac:dyDescent="0.2">
      <c r="A244" s="172"/>
    </row>
    <row r="245" spans="1:1" x14ac:dyDescent="0.2">
      <c r="A245" s="172"/>
    </row>
    <row r="246" spans="1:1" x14ac:dyDescent="0.2">
      <c r="A246" s="172"/>
    </row>
    <row r="247" spans="1:1" x14ac:dyDescent="0.2">
      <c r="A247" s="172"/>
    </row>
    <row r="248" spans="1:1" x14ac:dyDescent="0.2">
      <c r="A248" s="172"/>
    </row>
    <row r="249" spans="1:1" x14ac:dyDescent="0.2">
      <c r="A249" s="172"/>
    </row>
    <row r="250" spans="1:1" x14ac:dyDescent="0.2">
      <c r="A250" s="172"/>
    </row>
    <row r="251" spans="1:1" x14ac:dyDescent="0.2">
      <c r="A251" s="172"/>
    </row>
    <row r="252" spans="1:1" x14ac:dyDescent="0.2">
      <c r="A252" s="172"/>
    </row>
    <row r="253" spans="1:1" x14ac:dyDescent="0.2">
      <c r="A253" s="172"/>
    </row>
    <row r="254" spans="1:1" x14ac:dyDescent="0.2">
      <c r="A254" s="172"/>
    </row>
    <row r="255" spans="1:1" x14ac:dyDescent="0.2">
      <c r="A255" s="172"/>
    </row>
    <row r="256" spans="1:1" x14ac:dyDescent="0.2">
      <c r="A256" s="172"/>
    </row>
    <row r="257" spans="1:1" x14ac:dyDescent="0.2">
      <c r="A257" s="172"/>
    </row>
    <row r="258" spans="1:1" x14ac:dyDescent="0.2">
      <c r="A258" s="172"/>
    </row>
    <row r="259" spans="1:1" x14ac:dyDescent="0.2">
      <c r="A259" s="172"/>
    </row>
    <row r="260" spans="1:1" x14ac:dyDescent="0.2">
      <c r="A260" s="172"/>
    </row>
    <row r="261" spans="1:1" x14ac:dyDescent="0.2">
      <c r="A261" s="172"/>
    </row>
    <row r="262" spans="1:1" x14ac:dyDescent="0.2">
      <c r="A262" s="172"/>
    </row>
    <row r="263" spans="1:1" x14ac:dyDescent="0.2">
      <c r="A263" s="172"/>
    </row>
    <row r="264" spans="1:1" x14ac:dyDescent="0.2">
      <c r="A264" s="172"/>
    </row>
    <row r="265" spans="1:1" x14ac:dyDescent="0.2">
      <c r="A265" s="172"/>
    </row>
    <row r="266" spans="1:1" x14ac:dyDescent="0.2">
      <c r="A266" s="172"/>
    </row>
    <row r="267" spans="1:1" x14ac:dyDescent="0.2">
      <c r="A267" s="172"/>
    </row>
    <row r="268" spans="1:1" x14ac:dyDescent="0.2">
      <c r="A268" s="172"/>
    </row>
    <row r="269" spans="1:1" x14ac:dyDescent="0.2">
      <c r="A269" s="172"/>
    </row>
    <row r="270" spans="1:1" x14ac:dyDescent="0.2">
      <c r="A270" s="172"/>
    </row>
    <row r="271" spans="1:1" x14ac:dyDescent="0.2">
      <c r="A271" s="172"/>
    </row>
    <row r="272" spans="1:1" x14ac:dyDescent="0.2">
      <c r="A272" s="172"/>
    </row>
    <row r="273" spans="1:1" x14ac:dyDescent="0.2">
      <c r="A273" s="172"/>
    </row>
    <row r="274" spans="1:1" x14ac:dyDescent="0.2">
      <c r="A274" s="172"/>
    </row>
    <row r="275" spans="1:1" x14ac:dyDescent="0.2">
      <c r="A275" s="172"/>
    </row>
    <row r="276" spans="1:1" x14ac:dyDescent="0.2">
      <c r="A276" s="172"/>
    </row>
    <row r="277" spans="1:1" x14ac:dyDescent="0.2">
      <c r="A277" s="172"/>
    </row>
    <row r="278" spans="1:1" x14ac:dyDescent="0.2">
      <c r="A278" s="172"/>
    </row>
    <row r="279" spans="1:1" x14ac:dyDescent="0.2">
      <c r="A279" s="172"/>
    </row>
    <row r="280" spans="1:1" x14ac:dyDescent="0.2">
      <c r="A280" s="172"/>
    </row>
    <row r="281" spans="1:1" x14ac:dyDescent="0.2">
      <c r="A281" s="172"/>
    </row>
    <row r="282" spans="1:1" x14ac:dyDescent="0.2">
      <c r="A282" s="172"/>
    </row>
    <row r="283" spans="1:1" x14ac:dyDescent="0.2">
      <c r="A283" s="172"/>
    </row>
    <row r="284" spans="1:1" x14ac:dyDescent="0.2">
      <c r="A284" s="172"/>
    </row>
    <row r="285" spans="1:1" x14ac:dyDescent="0.2">
      <c r="A285" s="172"/>
    </row>
    <row r="286" spans="1:1" x14ac:dyDescent="0.2">
      <c r="A286" s="172"/>
    </row>
    <row r="287" spans="1:1" x14ac:dyDescent="0.2">
      <c r="A287" s="172"/>
    </row>
    <row r="288" spans="1:1" x14ac:dyDescent="0.2">
      <c r="A288" s="172"/>
    </row>
    <row r="289" spans="1:1" x14ac:dyDescent="0.2">
      <c r="A289" s="172"/>
    </row>
    <row r="290" spans="1:1" x14ac:dyDescent="0.2">
      <c r="A290" s="172"/>
    </row>
    <row r="291" spans="1:1" x14ac:dyDescent="0.2">
      <c r="A291" s="172"/>
    </row>
    <row r="292" spans="1:1" x14ac:dyDescent="0.2">
      <c r="A292" s="172"/>
    </row>
    <row r="293" spans="1:1" x14ac:dyDescent="0.2">
      <c r="A293" s="172"/>
    </row>
    <row r="294" spans="1:1" x14ac:dyDescent="0.2">
      <c r="A294" s="172"/>
    </row>
    <row r="295" spans="1:1" x14ac:dyDescent="0.2">
      <c r="A295" s="172"/>
    </row>
    <row r="296" spans="1:1" x14ac:dyDescent="0.2">
      <c r="A296" s="172"/>
    </row>
    <row r="297" spans="1:1" x14ac:dyDescent="0.2">
      <c r="A297" s="172"/>
    </row>
    <row r="298" spans="1:1" x14ac:dyDescent="0.2">
      <c r="A298" s="172"/>
    </row>
    <row r="299" spans="1:1" x14ac:dyDescent="0.2">
      <c r="A299" s="172"/>
    </row>
    <row r="300" spans="1:1" x14ac:dyDescent="0.2">
      <c r="A300" s="172"/>
    </row>
    <row r="301" spans="1:1" x14ac:dyDescent="0.2">
      <c r="A301" s="172"/>
    </row>
    <row r="302" spans="1:1" x14ac:dyDescent="0.2">
      <c r="A302" s="172"/>
    </row>
    <row r="303" spans="1:1" x14ac:dyDescent="0.2">
      <c r="A303" s="172"/>
    </row>
    <row r="304" spans="1:1" x14ac:dyDescent="0.2">
      <c r="A304" s="172"/>
    </row>
    <row r="305" spans="1:1" x14ac:dyDescent="0.2">
      <c r="A305" s="172"/>
    </row>
    <row r="306" spans="1:1" x14ac:dyDescent="0.2">
      <c r="A306" s="172"/>
    </row>
    <row r="307" spans="1:1" x14ac:dyDescent="0.2">
      <c r="A307" s="172"/>
    </row>
    <row r="308" spans="1:1" x14ac:dyDescent="0.2">
      <c r="A308" s="172"/>
    </row>
    <row r="309" spans="1:1" x14ac:dyDescent="0.2">
      <c r="A309" s="172"/>
    </row>
    <row r="310" spans="1:1" x14ac:dyDescent="0.2">
      <c r="A310" s="172"/>
    </row>
    <row r="311" spans="1:1" x14ac:dyDescent="0.2">
      <c r="A311" s="172"/>
    </row>
    <row r="312" spans="1:1" x14ac:dyDescent="0.2">
      <c r="A312" s="172"/>
    </row>
    <row r="313" spans="1:1" x14ac:dyDescent="0.2">
      <c r="A313" s="172"/>
    </row>
    <row r="314" spans="1:1" x14ac:dyDescent="0.2">
      <c r="A314" s="172"/>
    </row>
    <row r="315" spans="1:1" x14ac:dyDescent="0.2">
      <c r="A315" s="172"/>
    </row>
    <row r="316" spans="1:1" x14ac:dyDescent="0.2">
      <c r="A316" s="172"/>
    </row>
    <row r="317" spans="1:1" x14ac:dyDescent="0.2">
      <c r="A317" s="172"/>
    </row>
    <row r="318" spans="1:1" x14ac:dyDescent="0.2">
      <c r="A318" s="172"/>
    </row>
    <row r="319" spans="1:1" x14ac:dyDescent="0.2">
      <c r="A319" s="172"/>
    </row>
    <row r="320" spans="1:1" x14ac:dyDescent="0.2">
      <c r="A320" s="172"/>
    </row>
    <row r="321" spans="1:1" x14ac:dyDescent="0.2">
      <c r="A321" s="172"/>
    </row>
    <row r="322" spans="1:1" x14ac:dyDescent="0.2">
      <c r="A322" s="172"/>
    </row>
    <row r="323" spans="1:1" x14ac:dyDescent="0.2">
      <c r="A323" s="172"/>
    </row>
    <row r="324" spans="1:1" x14ac:dyDescent="0.2">
      <c r="A324" s="172"/>
    </row>
    <row r="325" spans="1:1" x14ac:dyDescent="0.2">
      <c r="A325" s="172"/>
    </row>
    <row r="326" spans="1:1" x14ac:dyDescent="0.2">
      <c r="A326" s="172"/>
    </row>
    <row r="327" spans="1:1" x14ac:dyDescent="0.2">
      <c r="A327" s="172"/>
    </row>
    <row r="328" spans="1:1" x14ac:dyDescent="0.2">
      <c r="A328" s="172"/>
    </row>
    <row r="329" spans="1:1" x14ac:dyDescent="0.2">
      <c r="A329" s="172"/>
    </row>
    <row r="330" spans="1:1" x14ac:dyDescent="0.2">
      <c r="A330" s="172"/>
    </row>
    <row r="331" spans="1:1" x14ac:dyDescent="0.2">
      <c r="A331" s="172"/>
    </row>
    <row r="332" spans="1:1" x14ac:dyDescent="0.2">
      <c r="A332" s="172"/>
    </row>
    <row r="333" spans="1:1" x14ac:dyDescent="0.2">
      <c r="A333" s="172"/>
    </row>
    <row r="334" spans="1:1" x14ac:dyDescent="0.2">
      <c r="A334" s="172"/>
    </row>
    <row r="335" spans="1:1" x14ac:dyDescent="0.2">
      <c r="A335" s="172"/>
    </row>
    <row r="336" spans="1:1" x14ac:dyDescent="0.2">
      <c r="A336" s="172"/>
    </row>
    <row r="337" spans="1:1" x14ac:dyDescent="0.2">
      <c r="A337" s="172"/>
    </row>
    <row r="338" spans="1:1" x14ac:dyDescent="0.2">
      <c r="A338" s="172"/>
    </row>
    <row r="339" spans="1:1" x14ac:dyDescent="0.2">
      <c r="A339" s="172"/>
    </row>
    <row r="340" spans="1:1" x14ac:dyDescent="0.2">
      <c r="A340" s="172"/>
    </row>
    <row r="341" spans="1:1" x14ac:dyDescent="0.2">
      <c r="A341" s="172"/>
    </row>
    <row r="342" spans="1:1" x14ac:dyDescent="0.2">
      <c r="A342" s="172"/>
    </row>
    <row r="343" spans="1:1" x14ac:dyDescent="0.2">
      <c r="A343" s="172"/>
    </row>
    <row r="344" spans="1:1" x14ac:dyDescent="0.2">
      <c r="A344" s="172"/>
    </row>
    <row r="345" spans="1:1" x14ac:dyDescent="0.2">
      <c r="A345" s="172"/>
    </row>
    <row r="346" spans="1:1" x14ac:dyDescent="0.2">
      <c r="A346" s="172"/>
    </row>
    <row r="347" spans="1:1" x14ac:dyDescent="0.2">
      <c r="A347" s="172"/>
    </row>
    <row r="348" spans="1:1" x14ac:dyDescent="0.2">
      <c r="A348" s="172"/>
    </row>
    <row r="349" spans="1:1" x14ac:dyDescent="0.2">
      <c r="A349" s="172"/>
    </row>
    <row r="350" spans="1:1" x14ac:dyDescent="0.2">
      <c r="A350" s="172"/>
    </row>
    <row r="351" spans="1:1" x14ac:dyDescent="0.2">
      <c r="A351" s="172"/>
    </row>
    <row r="352" spans="1:1" x14ac:dyDescent="0.2">
      <c r="A352" s="172"/>
    </row>
    <row r="353" spans="1:1" x14ac:dyDescent="0.2">
      <c r="A353" s="172"/>
    </row>
    <row r="354" spans="1:1" x14ac:dyDescent="0.2">
      <c r="A354" s="172"/>
    </row>
    <row r="355" spans="1:1" x14ac:dyDescent="0.2">
      <c r="A355" s="172"/>
    </row>
    <row r="356" spans="1:1" x14ac:dyDescent="0.2">
      <c r="A356" s="172"/>
    </row>
    <row r="357" spans="1:1" x14ac:dyDescent="0.2">
      <c r="A357" s="172"/>
    </row>
    <row r="358" spans="1:1" x14ac:dyDescent="0.2">
      <c r="A358" s="172"/>
    </row>
    <row r="359" spans="1:1" x14ac:dyDescent="0.2">
      <c r="A359" s="172"/>
    </row>
    <row r="360" spans="1:1" x14ac:dyDescent="0.2">
      <c r="A360" s="172"/>
    </row>
    <row r="361" spans="1:1" x14ac:dyDescent="0.2">
      <c r="A361" s="172"/>
    </row>
    <row r="362" spans="1:1" x14ac:dyDescent="0.2">
      <c r="A362" s="172"/>
    </row>
    <row r="363" spans="1:1" x14ac:dyDescent="0.2">
      <c r="A363" s="172"/>
    </row>
    <row r="364" spans="1:1" x14ac:dyDescent="0.2">
      <c r="A364" s="172"/>
    </row>
    <row r="365" spans="1:1" x14ac:dyDescent="0.2">
      <c r="A365" s="172"/>
    </row>
    <row r="366" spans="1:1" x14ac:dyDescent="0.2">
      <c r="A366" s="172"/>
    </row>
    <row r="367" spans="1:1" x14ac:dyDescent="0.2">
      <c r="A367" s="172"/>
    </row>
    <row r="368" spans="1:1" x14ac:dyDescent="0.2">
      <c r="A368" s="172"/>
    </row>
    <row r="369" spans="1:1" x14ac:dyDescent="0.2">
      <c r="A369" s="172"/>
    </row>
    <row r="370" spans="1:1" x14ac:dyDescent="0.2">
      <c r="A370" s="172"/>
    </row>
    <row r="371" spans="1:1" x14ac:dyDescent="0.2">
      <c r="A371" s="172"/>
    </row>
    <row r="372" spans="1:1" x14ac:dyDescent="0.2">
      <c r="A372" s="172"/>
    </row>
    <row r="373" spans="1:1" x14ac:dyDescent="0.2">
      <c r="A373" s="172"/>
    </row>
    <row r="374" spans="1:1" x14ac:dyDescent="0.2">
      <c r="A374" s="172"/>
    </row>
    <row r="375" spans="1:1" x14ac:dyDescent="0.2">
      <c r="A375" s="172"/>
    </row>
    <row r="376" spans="1:1" x14ac:dyDescent="0.2">
      <c r="A376" s="172"/>
    </row>
    <row r="377" spans="1:1" x14ac:dyDescent="0.2">
      <c r="A377" s="172"/>
    </row>
    <row r="378" spans="1:1" x14ac:dyDescent="0.2">
      <c r="A378" s="172"/>
    </row>
    <row r="379" spans="1:1" x14ac:dyDescent="0.2">
      <c r="A379" s="172"/>
    </row>
    <row r="380" spans="1:1" x14ac:dyDescent="0.2">
      <c r="A380" s="172"/>
    </row>
    <row r="381" spans="1:1" x14ac:dyDescent="0.2">
      <c r="A381" s="172"/>
    </row>
    <row r="382" spans="1:1" x14ac:dyDescent="0.2">
      <c r="A382" s="172"/>
    </row>
    <row r="383" spans="1:1" x14ac:dyDescent="0.2">
      <c r="A383" s="172"/>
    </row>
    <row r="384" spans="1:1" x14ac:dyDescent="0.2">
      <c r="A384" s="172"/>
    </row>
    <row r="385" spans="1:1" x14ac:dyDescent="0.2">
      <c r="A385" s="172"/>
    </row>
    <row r="386" spans="1:1" x14ac:dyDescent="0.2">
      <c r="A386" s="172"/>
    </row>
    <row r="387" spans="1:1" x14ac:dyDescent="0.2">
      <c r="A387" s="172"/>
    </row>
    <row r="388" spans="1:1" x14ac:dyDescent="0.2">
      <c r="A388" s="172"/>
    </row>
    <row r="389" spans="1:1" x14ac:dyDescent="0.2">
      <c r="A389" s="172"/>
    </row>
    <row r="390" spans="1:1" x14ac:dyDescent="0.2">
      <c r="A390" s="172"/>
    </row>
    <row r="391" spans="1:1" x14ac:dyDescent="0.2">
      <c r="A391" s="172"/>
    </row>
    <row r="392" spans="1:1" x14ac:dyDescent="0.2">
      <c r="A392" s="172"/>
    </row>
    <row r="393" spans="1:1" x14ac:dyDescent="0.2">
      <c r="A393" s="172"/>
    </row>
    <row r="394" spans="1:1" x14ac:dyDescent="0.2">
      <c r="A394" s="172"/>
    </row>
    <row r="395" spans="1:1" x14ac:dyDescent="0.2">
      <c r="A395" s="172"/>
    </row>
    <row r="396" spans="1:1" x14ac:dyDescent="0.2">
      <c r="A396" s="172"/>
    </row>
    <row r="397" spans="1:1" x14ac:dyDescent="0.2">
      <c r="A397" s="172"/>
    </row>
    <row r="398" spans="1:1" x14ac:dyDescent="0.2">
      <c r="A398" s="172"/>
    </row>
    <row r="399" spans="1:1" x14ac:dyDescent="0.2">
      <c r="A399" s="172"/>
    </row>
    <row r="400" spans="1:1" x14ac:dyDescent="0.2">
      <c r="A400" s="172"/>
    </row>
    <row r="401" spans="1:1" x14ac:dyDescent="0.2">
      <c r="A401" s="172"/>
    </row>
    <row r="402" spans="1:1" x14ac:dyDescent="0.2">
      <c r="A402" s="172"/>
    </row>
    <row r="403" spans="1:1" x14ac:dyDescent="0.2">
      <c r="A403" s="172"/>
    </row>
    <row r="404" spans="1:1" x14ac:dyDescent="0.2">
      <c r="A404" s="172"/>
    </row>
    <row r="405" spans="1:1" x14ac:dyDescent="0.2">
      <c r="A405" s="172"/>
    </row>
    <row r="406" spans="1:1" x14ac:dyDescent="0.2">
      <c r="A406" s="172"/>
    </row>
    <row r="407" spans="1:1" x14ac:dyDescent="0.2">
      <c r="A407" s="172"/>
    </row>
    <row r="408" spans="1:1" x14ac:dyDescent="0.2">
      <c r="A408" s="172"/>
    </row>
    <row r="409" spans="1:1" x14ac:dyDescent="0.2">
      <c r="A409" s="172"/>
    </row>
    <row r="410" spans="1:1" x14ac:dyDescent="0.2">
      <c r="A410" s="172"/>
    </row>
    <row r="411" spans="1:1" x14ac:dyDescent="0.2">
      <c r="A411" s="172"/>
    </row>
    <row r="412" spans="1:1" x14ac:dyDescent="0.2">
      <c r="A412" s="172"/>
    </row>
    <row r="413" spans="1:1" x14ac:dyDescent="0.2">
      <c r="A413" s="172"/>
    </row>
    <row r="414" spans="1:1" x14ac:dyDescent="0.2">
      <c r="A414" s="172"/>
    </row>
    <row r="415" spans="1:1" x14ac:dyDescent="0.2">
      <c r="A415" s="172"/>
    </row>
    <row r="416" spans="1:1" x14ac:dyDescent="0.2">
      <c r="A416" s="172"/>
    </row>
    <row r="417" spans="1:1" x14ac:dyDescent="0.2">
      <c r="A417" s="172"/>
    </row>
    <row r="418" spans="1:1" x14ac:dyDescent="0.2">
      <c r="A418" s="172"/>
    </row>
    <row r="419" spans="1:1" x14ac:dyDescent="0.2">
      <c r="A419" s="172"/>
    </row>
    <row r="420" spans="1:1" x14ac:dyDescent="0.2">
      <c r="A420" s="172"/>
    </row>
    <row r="421" spans="1:1" x14ac:dyDescent="0.2">
      <c r="A421" s="172"/>
    </row>
    <row r="422" spans="1:1" x14ac:dyDescent="0.2">
      <c r="A422" s="172"/>
    </row>
    <row r="423" spans="1:1" x14ac:dyDescent="0.2">
      <c r="A423" s="172"/>
    </row>
    <row r="424" spans="1:1" x14ac:dyDescent="0.2">
      <c r="A424" s="172"/>
    </row>
    <row r="425" spans="1:1" x14ac:dyDescent="0.2">
      <c r="A425" s="172"/>
    </row>
    <row r="426" spans="1:1" x14ac:dyDescent="0.2">
      <c r="A426" s="172"/>
    </row>
    <row r="427" spans="1:1" x14ac:dyDescent="0.2">
      <c r="A427" s="172"/>
    </row>
    <row r="428" spans="1:1" x14ac:dyDescent="0.2">
      <c r="A428" s="172"/>
    </row>
    <row r="429" spans="1:1" x14ac:dyDescent="0.2">
      <c r="A429" s="172"/>
    </row>
    <row r="430" spans="1:1" x14ac:dyDescent="0.2">
      <c r="A430" s="172"/>
    </row>
    <row r="431" spans="1:1" x14ac:dyDescent="0.2">
      <c r="A431" s="172"/>
    </row>
    <row r="432" spans="1:1" x14ac:dyDescent="0.2">
      <c r="A432" s="172"/>
    </row>
    <row r="433" spans="1:1" x14ac:dyDescent="0.2">
      <c r="A433" s="172"/>
    </row>
    <row r="434" spans="1:1" x14ac:dyDescent="0.2">
      <c r="A434" s="172"/>
    </row>
    <row r="435" spans="1:1" x14ac:dyDescent="0.2">
      <c r="A435" s="172"/>
    </row>
    <row r="436" spans="1:1" x14ac:dyDescent="0.2">
      <c r="A436" s="172"/>
    </row>
    <row r="437" spans="1:1" x14ac:dyDescent="0.2">
      <c r="A437" s="172"/>
    </row>
    <row r="438" spans="1:1" x14ac:dyDescent="0.2">
      <c r="A438" s="172"/>
    </row>
    <row r="439" spans="1:1" x14ac:dyDescent="0.2">
      <c r="A439" s="172"/>
    </row>
    <row r="440" spans="1:1" x14ac:dyDescent="0.2">
      <c r="A440" s="172"/>
    </row>
    <row r="441" spans="1:1" x14ac:dyDescent="0.2">
      <c r="A441" s="172"/>
    </row>
    <row r="442" spans="1:1" x14ac:dyDescent="0.2">
      <c r="A442" s="172"/>
    </row>
    <row r="443" spans="1:1" x14ac:dyDescent="0.2">
      <c r="A443" s="172"/>
    </row>
    <row r="444" spans="1:1" x14ac:dyDescent="0.2">
      <c r="A444" s="172"/>
    </row>
    <row r="445" spans="1:1" x14ac:dyDescent="0.2">
      <c r="A445" s="172"/>
    </row>
    <row r="446" spans="1:1" x14ac:dyDescent="0.2">
      <c r="A446" s="172"/>
    </row>
    <row r="447" spans="1:1" x14ac:dyDescent="0.2">
      <c r="A447" s="172"/>
    </row>
    <row r="448" spans="1:1" x14ac:dyDescent="0.2">
      <c r="A448" s="172"/>
    </row>
    <row r="449" spans="1:1" x14ac:dyDescent="0.2">
      <c r="A449" s="172"/>
    </row>
    <row r="450" spans="1:1" x14ac:dyDescent="0.2">
      <c r="A450" s="172"/>
    </row>
    <row r="451" spans="1:1" x14ac:dyDescent="0.2">
      <c r="A451" s="172"/>
    </row>
    <row r="452" spans="1:1" x14ac:dyDescent="0.2">
      <c r="A452" s="172"/>
    </row>
    <row r="453" spans="1:1" x14ac:dyDescent="0.2">
      <c r="A453" s="172"/>
    </row>
    <row r="454" spans="1:1" x14ac:dyDescent="0.2">
      <c r="A454" s="172"/>
    </row>
    <row r="455" spans="1:1" x14ac:dyDescent="0.2">
      <c r="A455" s="172"/>
    </row>
    <row r="456" spans="1:1" x14ac:dyDescent="0.2">
      <c r="A456" s="172"/>
    </row>
    <row r="457" spans="1:1" x14ac:dyDescent="0.2">
      <c r="A457" s="172"/>
    </row>
    <row r="458" spans="1:1" x14ac:dyDescent="0.2">
      <c r="A458" s="172"/>
    </row>
    <row r="459" spans="1:1" x14ac:dyDescent="0.2">
      <c r="A459" s="172"/>
    </row>
    <row r="460" spans="1:1" x14ac:dyDescent="0.2">
      <c r="A460" s="172"/>
    </row>
    <row r="461" spans="1:1" x14ac:dyDescent="0.2">
      <c r="A461" s="172"/>
    </row>
    <row r="462" spans="1:1" x14ac:dyDescent="0.2">
      <c r="A462" s="172"/>
    </row>
    <row r="463" spans="1:1" x14ac:dyDescent="0.2">
      <c r="A463" s="172"/>
    </row>
    <row r="464" spans="1:1" x14ac:dyDescent="0.2">
      <c r="A464" s="172"/>
    </row>
    <row r="465" spans="1:1" x14ac:dyDescent="0.2">
      <c r="A465" s="172"/>
    </row>
    <row r="466" spans="1:1" x14ac:dyDescent="0.2">
      <c r="A466" s="172"/>
    </row>
    <row r="467" spans="1:1" x14ac:dyDescent="0.2">
      <c r="A467" s="172"/>
    </row>
    <row r="468" spans="1:1" x14ac:dyDescent="0.2">
      <c r="A468" s="172"/>
    </row>
    <row r="469" spans="1:1" x14ac:dyDescent="0.2">
      <c r="A469" s="172"/>
    </row>
    <row r="470" spans="1:1" x14ac:dyDescent="0.2">
      <c r="A470" s="172"/>
    </row>
    <row r="471" spans="1:1" x14ac:dyDescent="0.2">
      <c r="A471" s="172"/>
    </row>
    <row r="472" spans="1:1" x14ac:dyDescent="0.2">
      <c r="A472" s="172"/>
    </row>
    <row r="473" spans="1:1" x14ac:dyDescent="0.2">
      <c r="A473" s="172"/>
    </row>
    <row r="474" spans="1:1" x14ac:dyDescent="0.2">
      <c r="A474" s="172"/>
    </row>
    <row r="475" spans="1:1" x14ac:dyDescent="0.2">
      <c r="A475" s="172"/>
    </row>
    <row r="476" spans="1:1" x14ac:dyDescent="0.2">
      <c r="A476" s="172"/>
    </row>
    <row r="477" spans="1:1" x14ac:dyDescent="0.2">
      <c r="A477" s="172"/>
    </row>
    <row r="478" spans="1:1" x14ac:dyDescent="0.2">
      <c r="A478" s="172"/>
    </row>
    <row r="479" spans="1:1" x14ac:dyDescent="0.2">
      <c r="A479" s="172"/>
    </row>
    <row r="480" spans="1:1" x14ac:dyDescent="0.2">
      <c r="A480" s="172"/>
    </row>
    <row r="481" spans="1:1" x14ac:dyDescent="0.2">
      <c r="A481" s="172"/>
    </row>
    <row r="482" spans="1:1" x14ac:dyDescent="0.2">
      <c r="A482" s="172"/>
    </row>
    <row r="483" spans="1:1" x14ac:dyDescent="0.2">
      <c r="A483" s="172"/>
    </row>
    <row r="484" spans="1:1" x14ac:dyDescent="0.2">
      <c r="A484" s="172"/>
    </row>
    <row r="485" spans="1:1" x14ac:dyDescent="0.2">
      <c r="A485" s="172"/>
    </row>
    <row r="486" spans="1:1" x14ac:dyDescent="0.2">
      <c r="A486" s="172"/>
    </row>
    <row r="487" spans="1:1" x14ac:dyDescent="0.2">
      <c r="A487" s="172"/>
    </row>
    <row r="488" spans="1:1" x14ac:dyDescent="0.2">
      <c r="A488" s="172"/>
    </row>
    <row r="489" spans="1:1" x14ac:dyDescent="0.2">
      <c r="A489" s="172"/>
    </row>
    <row r="490" spans="1:1" x14ac:dyDescent="0.2">
      <c r="A490" s="172"/>
    </row>
    <row r="491" spans="1:1" x14ac:dyDescent="0.2">
      <c r="A491" s="172"/>
    </row>
    <row r="492" spans="1:1" x14ac:dyDescent="0.2">
      <c r="A492" s="172"/>
    </row>
    <row r="493" spans="1:1" x14ac:dyDescent="0.2">
      <c r="A493" s="172"/>
    </row>
    <row r="494" spans="1:1" x14ac:dyDescent="0.2">
      <c r="A494" s="172"/>
    </row>
    <row r="495" spans="1:1" x14ac:dyDescent="0.2">
      <c r="A495" s="172"/>
    </row>
    <row r="496" spans="1:1" x14ac:dyDescent="0.2">
      <c r="A496" s="172"/>
    </row>
    <row r="497" spans="1:1" x14ac:dyDescent="0.2">
      <c r="A497" s="172"/>
    </row>
    <row r="498" spans="1:1" x14ac:dyDescent="0.2">
      <c r="A498" s="172"/>
    </row>
    <row r="499" spans="1:1" x14ac:dyDescent="0.2">
      <c r="A499" s="172"/>
    </row>
    <row r="500" spans="1:1" x14ac:dyDescent="0.2">
      <c r="A500" s="172"/>
    </row>
    <row r="501" spans="1:1" x14ac:dyDescent="0.2">
      <c r="A501" s="172"/>
    </row>
    <row r="502" spans="1:1" x14ac:dyDescent="0.2">
      <c r="A502" s="172"/>
    </row>
    <row r="503" spans="1:1" x14ac:dyDescent="0.2">
      <c r="A503" s="172"/>
    </row>
    <row r="504" spans="1:1" x14ac:dyDescent="0.2">
      <c r="A504" s="172"/>
    </row>
    <row r="505" spans="1:1" x14ac:dyDescent="0.2">
      <c r="A505" s="172"/>
    </row>
    <row r="506" spans="1:1" x14ac:dyDescent="0.2">
      <c r="A506" s="172"/>
    </row>
    <row r="507" spans="1:1" x14ac:dyDescent="0.2">
      <c r="A507" s="172"/>
    </row>
    <row r="508" spans="1:1" x14ac:dyDescent="0.2">
      <c r="A508" s="172"/>
    </row>
    <row r="509" spans="1:1" x14ac:dyDescent="0.2">
      <c r="A509" s="172"/>
    </row>
    <row r="510" spans="1:1" x14ac:dyDescent="0.2">
      <c r="A510" s="172"/>
    </row>
    <row r="511" spans="1:1" x14ac:dyDescent="0.2">
      <c r="A511" s="172"/>
    </row>
    <row r="512" spans="1:1" x14ac:dyDescent="0.2">
      <c r="A512" s="172"/>
    </row>
    <row r="513" spans="1:1" x14ac:dyDescent="0.2">
      <c r="A513" s="172"/>
    </row>
    <row r="514" spans="1:1" x14ac:dyDescent="0.2">
      <c r="A514" s="172"/>
    </row>
    <row r="515" spans="1:1" x14ac:dyDescent="0.2">
      <c r="A515" s="172"/>
    </row>
    <row r="516" spans="1:1" x14ac:dyDescent="0.2">
      <c r="A516" s="172"/>
    </row>
    <row r="517" spans="1:1" x14ac:dyDescent="0.2">
      <c r="A517" s="172"/>
    </row>
    <row r="518" spans="1:1" x14ac:dyDescent="0.2">
      <c r="A518" s="172"/>
    </row>
    <row r="519" spans="1:1" x14ac:dyDescent="0.2">
      <c r="A519" s="172"/>
    </row>
    <row r="520" spans="1:1" x14ac:dyDescent="0.2">
      <c r="A520" s="172"/>
    </row>
    <row r="521" spans="1:1" x14ac:dyDescent="0.2">
      <c r="A521" s="172"/>
    </row>
    <row r="522" spans="1:1" x14ac:dyDescent="0.2">
      <c r="A522" s="172"/>
    </row>
    <row r="523" spans="1:1" x14ac:dyDescent="0.2">
      <c r="A523" s="172"/>
    </row>
    <row r="524" spans="1:1" x14ac:dyDescent="0.2">
      <c r="A524" s="172"/>
    </row>
    <row r="525" spans="1:1" x14ac:dyDescent="0.2">
      <c r="A525" s="172"/>
    </row>
    <row r="526" spans="1:1" x14ac:dyDescent="0.2">
      <c r="A526" s="172"/>
    </row>
    <row r="527" spans="1:1" x14ac:dyDescent="0.2">
      <c r="A527" s="172"/>
    </row>
    <row r="528" spans="1:1" x14ac:dyDescent="0.2">
      <c r="A528" s="172"/>
    </row>
    <row r="529" spans="1:1" x14ac:dyDescent="0.2">
      <c r="A529" s="172"/>
    </row>
    <row r="530" spans="1:1" x14ac:dyDescent="0.2">
      <c r="A530" s="172"/>
    </row>
    <row r="531" spans="1:1" x14ac:dyDescent="0.2">
      <c r="A531" s="172"/>
    </row>
    <row r="532" spans="1:1" x14ac:dyDescent="0.2">
      <c r="A532" s="172"/>
    </row>
    <row r="533" spans="1:1" x14ac:dyDescent="0.2">
      <c r="A533" s="172"/>
    </row>
    <row r="534" spans="1:1" x14ac:dyDescent="0.2">
      <c r="A534" s="172"/>
    </row>
    <row r="535" spans="1:1" x14ac:dyDescent="0.2">
      <c r="A535" s="172"/>
    </row>
    <row r="536" spans="1:1" x14ac:dyDescent="0.2">
      <c r="A536" s="172"/>
    </row>
    <row r="537" spans="1:1" x14ac:dyDescent="0.2">
      <c r="A537" s="172"/>
    </row>
    <row r="538" spans="1:1" x14ac:dyDescent="0.2">
      <c r="A538" s="172"/>
    </row>
    <row r="539" spans="1:1" x14ac:dyDescent="0.2">
      <c r="A539" s="172"/>
    </row>
    <row r="540" spans="1:1" x14ac:dyDescent="0.2">
      <c r="A540" s="172"/>
    </row>
    <row r="541" spans="1:1" x14ac:dyDescent="0.2">
      <c r="A541" s="172"/>
    </row>
    <row r="542" spans="1:1" x14ac:dyDescent="0.2">
      <c r="A542" s="172"/>
    </row>
    <row r="543" spans="1:1" x14ac:dyDescent="0.2">
      <c r="A543" s="172"/>
    </row>
    <row r="544" spans="1:1" x14ac:dyDescent="0.2">
      <c r="A544" s="172"/>
    </row>
    <row r="545" spans="1:1" x14ac:dyDescent="0.2">
      <c r="A545" s="172"/>
    </row>
    <row r="546" spans="1:1" x14ac:dyDescent="0.2">
      <c r="A546" s="172"/>
    </row>
    <row r="547" spans="1:1" x14ac:dyDescent="0.2">
      <c r="A547" s="172"/>
    </row>
    <row r="548" spans="1:1" x14ac:dyDescent="0.2">
      <c r="A548" s="172"/>
    </row>
    <row r="549" spans="1:1" x14ac:dyDescent="0.2">
      <c r="A549" s="172"/>
    </row>
    <row r="550" spans="1:1" x14ac:dyDescent="0.2">
      <c r="A550" s="172"/>
    </row>
    <row r="551" spans="1:1" x14ac:dyDescent="0.2">
      <c r="A551" s="172"/>
    </row>
    <row r="552" spans="1:1" x14ac:dyDescent="0.2">
      <c r="A552" s="172"/>
    </row>
    <row r="553" spans="1:1" x14ac:dyDescent="0.2">
      <c r="A553" s="172"/>
    </row>
    <row r="554" spans="1:1" x14ac:dyDescent="0.2">
      <c r="A554" s="172"/>
    </row>
    <row r="555" spans="1:1" x14ac:dyDescent="0.2">
      <c r="A555" s="172"/>
    </row>
    <row r="556" spans="1:1" x14ac:dyDescent="0.2">
      <c r="A556" s="172"/>
    </row>
    <row r="557" spans="1:1" x14ac:dyDescent="0.2">
      <c r="A557" s="172"/>
    </row>
    <row r="558" spans="1:1" x14ac:dyDescent="0.2">
      <c r="A558" s="172"/>
    </row>
    <row r="559" spans="1:1" x14ac:dyDescent="0.2">
      <c r="A559" s="172"/>
    </row>
    <row r="560" spans="1:1" x14ac:dyDescent="0.2">
      <c r="A560" s="172"/>
    </row>
    <row r="561" spans="1:1" x14ac:dyDescent="0.2">
      <c r="A561" s="172"/>
    </row>
    <row r="562" spans="1:1" x14ac:dyDescent="0.2">
      <c r="A562" s="172"/>
    </row>
    <row r="563" spans="1:1" x14ac:dyDescent="0.2">
      <c r="A563" s="172"/>
    </row>
    <row r="564" spans="1:1" x14ac:dyDescent="0.2">
      <c r="A564" s="172"/>
    </row>
    <row r="565" spans="1:1" x14ac:dyDescent="0.2">
      <c r="A565" s="172"/>
    </row>
    <row r="566" spans="1:1" x14ac:dyDescent="0.2">
      <c r="A566" s="172"/>
    </row>
    <row r="567" spans="1:1" x14ac:dyDescent="0.2">
      <c r="A567" s="172"/>
    </row>
    <row r="568" spans="1:1" x14ac:dyDescent="0.2">
      <c r="A568" s="172"/>
    </row>
    <row r="569" spans="1:1" x14ac:dyDescent="0.2">
      <c r="A569" s="172"/>
    </row>
    <row r="570" spans="1:1" x14ac:dyDescent="0.2">
      <c r="A570" s="172"/>
    </row>
    <row r="571" spans="1:1" x14ac:dyDescent="0.2">
      <c r="A571" s="172"/>
    </row>
    <row r="572" spans="1:1" x14ac:dyDescent="0.2">
      <c r="A572" s="172"/>
    </row>
    <row r="573" spans="1:1" x14ac:dyDescent="0.2">
      <c r="A573" s="172"/>
    </row>
    <row r="574" spans="1:1" x14ac:dyDescent="0.2">
      <c r="A574" s="172"/>
    </row>
    <row r="575" spans="1:1" x14ac:dyDescent="0.2">
      <c r="A575" s="172"/>
    </row>
    <row r="576" spans="1:1" x14ac:dyDescent="0.2">
      <c r="A576" s="172"/>
    </row>
    <row r="577" spans="1:1" x14ac:dyDescent="0.2">
      <c r="A577" s="172"/>
    </row>
    <row r="578" spans="1:1" x14ac:dyDescent="0.2">
      <c r="A578" s="172"/>
    </row>
    <row r="579" spans="1:1" x14ac:dyDescent="0.2">
      <c r="A579" s="172"/>
    </row>
    <row r="580" spans="1:1" x14ac:dyDescent="0.2">
      <c r="A580" s="172"/>
    </row>
    <row r="581" spans="1:1" x14ac:dyDescent="0.2">
      <c r="A581" s="172"/>
    </row>
    <row r="582" spans="1:1" x14ac:dyDescent="0.2">
      <c r="A582" s="172"/>
    </row>
    <row r="583" spans="1:1" x14ac:dyDescent="0.2">
      <c r="A583" s="172"/>
    </row>
    <row r="584" spans="1:1" x14ac:dyDescent="0.2">
      <c r="A584" s="172"/>
    </row>
    <row r="585" spans="1:1" x14ac:dyDescent="0.2">
      <c r="A585" s="172"/>
    </row>
    <row r="586" spans="1:1" x14ac:dyDescent="0.2">
      <c r="A586" s="172"/>
    </row>
    <row r="587" spans="1:1" x14ac:dyDescent="0.2">
      <c r="A587" s="172"/>
    </row>
    <row r="588" spans="1:1" x14ac:dyDescent="0.2">
      <c r="A588" s="172"/>
    </row>
    <row r="589" spans="1:1" x14ac:dyDescent="0.2">
      <c r="A589" s="172"/>
    </row>
    <row r="590" spans="1:1" x14ac:dyDescent="0.2">
      <c r="A590" s="172"/>
    </row>
    <row r="591" spans="1:1" x14ac:dyDescent="0.2">
      <c r="A591" s="172"/>
    </row>
    <row r="592" spans="1:1" x14ac:dyDescent="0.2">
      <c r="A592" s="172"/>
    </row>
    <row r="593" spans="1:1" x14ac:dyDescent="0.2">
      <c r="A593" s="172"/>
    </row>
    <row r="594" spans="1:1" x14ac:dyDescent="0.2">
      <c r="A594" s="172"/>
    </row>
    <row r="595" spans="1:1" x14ac:dyDescent="0.2">
      <c r="A595" s="172"/>
    </row>
    <row r="596" spans="1:1" x14ac:dyDescent="0.2">
      <c r="A596" s="172"/>
    </row>
    <row r="597" spans="1:1" x14ac:dyDescent="0.2">
      <c r="A597" s="172"/>
    </row>
    <row r="598" spans="1:1" x14ac:dyDescent="0.2">
      <c r="A598" s="172"/>
    </row>
    <row r="599" spans="1:1" x14ac:dyDescent="0.2">
      <c r="A599" s="172"/>
    </row>
    <row r="600" spans="1:1" x14ac:dyDescent="0.2">
      <c r="A600" s="172"/>
    </row>
    <row r="601" spans="1:1" x14ac:dyDescent="0.2">
      <c r="A601" s="172"/>
    </row>
    <row r="602" spans="1:1" x14ac:dyDescent="0.2">
      <c r="A602" s="172"/>
    </row>
    <row r="603" spans="1:1" x14ac:dyDescent="0.2">
      <c r="A603" s="172"/>
    </row>
    <row r="604" spans="1:1" x14ac:dyDescent="0.2">
      <c r="A604" s="172"/>
    </row>
    <row r="605" spans="1:1" x14ac:dyDescent="0.2">
      <c r="A605" s="172"/>
    </row>
    <row r="606" spans="1:1" x14ac:dyDescent="0.2">
      <c r="A606" s="172"/>
    </row>
    <row r="607" spans="1:1" x14ac:dyDescent="0.2">
      <c r="A607" s="172"/>
    </row>
    <row r="608" spans="1:1" x14ac:dyDescent="0.2">
      <c r="A608" s="172"/>
    </row>
    <row r="609" spans="1:1" x14ac:dyDescent="0.2">
      <c r="A609" s="172"/>
    </row>
    <row r="610" spans="1:1" x14ac:dyDescent="0.2">
      <c r="A610" s="172"/>
    </row>
    <row r="611" spans="1:1" x14ac:dyDescent="0.2">
      <c r="A611" s="172"/>
    </row>
    <row r="612" spans="1:1" x14ac:dyDescent="0.2">
      <c r="A612" s="172"/>
    </row>
    <row r="613" spans="1:1" x14ac:dyDescent="0.2">
      <c r="A613" s="172"/>
    </row>
    <row r="614" spans="1:1" x14ac:dyDescent="0.2">
      <c r="A614" s="172"/>
    </row>
    <row r="615" spans="1:1" x14ac:dyDescent="0.2">
      <c r="A615" s="172"/>
    </row>
    <row r="616" spans="1:1" x14ac:dyDescent="0.2">
      <c r="A616" s="172"/>
    </row>
    <row r="617" spans="1:1" x14ac:dyDescent="0.2">
      <c r="A617" s="172"/>
    </row>
    <row r="618" spans="1:1" x14ac:dyDescent="0.2">
      <c r="A618" s="172"/>
    </row>
    <row r="619" spans="1:1" x14ac:dyDescent="0.2">
      <c r="A619" s="172"/>
    </row>
    <row r="620" spans="1:1" x14ac:dyDescent="0.2">
      <c r="A620" s="172"/>
    </row>
    <row r="621" spans="1:1" x14ac:dyDescent="0.2">
      <c r="A621" s="172"/>
    </row>
    <row r="622" spans="1:1" x14ac:dyDescent="0.2">
      <c r="A622" s="172"/>
    </row>
    <row r="623" spans="1:1" x14ac:dyDescent="0.2">
      <c r="A623" s="172"/>
    </row>
    <row r="624" spans="1:1" x14ac:dyDescent="0.2">
      <c r="A624" s="172"/>
    </row>
    <row r="625" spans="1:1" x14ac:dyDescent="0.2">
      <c r="A625" s="172"/>
    </row>
    <row r="626" spans="1:1" x14ac:dyDescent="0.2">
      <c r="A626" s="172"/>
    </row>
    <row r="627" spans="1:1" x14ac:dyDescent="0.2">
      <c r="A627" s="172"/>
    </row>
    <row r="628" spans="1:1" x14ac:dyDescent="0.2">
      <c r="A628" s="172"/>
    </row>
    <row r="629" spans="1:1" x14ac:dyDescent="0.2">
      <c r="A629" s="172"/>
    </row>
    <row r="630" spans="1:1" x14ac:dyDescent="0.2">
      <c r="A630" s="172"/>
    </row>
    <row r="631" spans="1:1" x14ac:dyDescent="0.2">
      <c r="A631" s="172"/>
    </row>
    <row r="632" spans="1:1" x14ac:dyDescent="0.2">
      <c r="A632" s="172"/>
    </row>
    <row r="633" spans="1:1" x14ac:dyDescent="0.2">
      <c r="A633" s="172"/>
    </row>
    <row r="634" spans="1:1" x14ac:dyDescent="0.2">
      <c r="A634" s="172"/>
    </row>
    <row r="635" spans="1:1" x14ac:dyDescent="0.2">
      <c r="A635" s="172"/>
    </row>
    <row r="636" spans="1:1" x14ac:dyDescent="0.2">
      <c r="A636" s="172"/>
    </row>
    <row r="637" spans="1:1" x14ac:dyDescent="0.2">
      <c r="A637" s="172"/>
    </row>
    <row r="638" spans="1:1" x14ac:dyDescent="0.2">
      <c r="A638" s="172"/>
    </row>
    <row r="639" spans="1:1" x14ac:dyDescent="0.2">
      <c r="A639" s="172"/>
    </row>
    <row r="640" spans="1:1" x14ac:dyDescent="0.2">
      <c r="A640" s="172"/>
    </row>
    <row r="641" spans="1:1" x14ac:dyDescent="0.2">
      <c r="A641" s="172"/>
    </row>
    <row r="642" spans="1:1" x14ac:dyDescent="0.2">
      <c r="A642" s="172"/>
    </row>
    <row r="643" spans="1:1" x14ac:dyDescent="0.2">
      <c r="A643" s="172"/>
    </row>
    <row r="644" spans="1:1" x14ac:dyDescent="0.2">
      <c r="A644" s="172"/>
    </row>
    <row r="645" spans="1:1" x14ac:dyDescent="0.2">
      <c r="A645" s="172"/>
    </row>
    <row r="646" spans="1:1" x14ac:dyDescent="0.2">
      <c r="A646" s="172"/>
    </row>
    <row r="647" spans="1:1" x14ac:dyDescent="0.2">
      <c r="A647" s="172"/>
    </row>
    <row r="648" spans="1:1" x14ac:dyDescent="0.2">
      <c r="A648" s="172"/>
    </row>
    <row r="649" spans="1:1" x14ac:dyDescent="0.2">
      <c r="A649" s="172"/>
    </row>
    <row r="650" spans="1:1" x14ac:dyDescent="0.2">
      <c r="A650" s="172"/>
    </row>
    <row r="651" spans="1:1" x14ac:dyDescent="0.2">
      <c r="A651" s="172"/>
    </row>
    <row r="652" spans="1:1" x14ac:dyDescent="0.2">
      <c r="A652" s="172"/>
    </row>
    <row r="653" spans="1:1" x14ac:dyDescent="0.2">
      <c r="A653" s="172"/>
    </row>
    <row r="654" spans="1:1" x14ac:dyDescent="0.2">
      <c r="A654" s="172"/>
    </row>
    <row r="655" spans="1:1" x14ac:dyDescent="0.2">
      <c r="A655" s="172"/>
    </row>
    <row r="656" spans="1:1" x14ac:dyDescent="0.2">
      <c r="A656" s="172"/>
    </row>
    <row r="657" spans="1:1" x14ac:dyDescent="0.2">
      <c r="A657" s="172"/>
    </row>
    <row r="658" spans="1:1" x14ac:dyDescent="0.2">
      <c r="A658" s="172"/>
    </row>
    <row r="659" spans="1:1" x14ac:dyDescent="0.2">
      <c r="A659" s="172"/>
    </row>
    <row r="660" spans="1:1" x14ac:dyDescent="0.2">
      <c r="A660" s="172"/>
    </row>
    <row r="661" spans="1:1" x14ac:dyDescent="0.2">
      <c r="A661" s="172"/>
    </row>
    <row r="662" spans="1:1" x14ac:dyDescent="0.2">
      <c r="A662" s="172"/>
    </row>
    <row r="663" spans="1:1" x14ac:dyDescent="0.2">
      <c r="A663" s="172"/>
    </row>
    <row r="664" spans="1:1" x14ac:dyDescent="0.2">
      <c r="A664" s="172"/>
    </row>
    <row r="665" spans="1:1" x14ac:dyDescent="0.2">
      <c r="A665" s="172"/>
    </row>
    <row r="666" spans="1:1" x14ac:dyDescent="0.2">
      <c r="A666" s="172"/>
    </row>
    <row r="667" spans="1:1" x14ac:dyDescent="0.2">
      <c r="A667" s="172"/>
    </row>
    <row r="668" spans="1:1" x14ac:dyDescent="0.2">
      <c r="A668" s="172"/>
    </row>
    <row r="669" spans="1:1" x14ac:dyDescent="0.2">
      <c r="A669" s="172"/>
    </row>
    <row r="670" spans="1:1" x14ac:dyDescent="0.2">
      <c r="A670" s="172"/>
    </row>
    <row r="671" spans="1:1" x14ac:dyDescent="0.2">
      <c r="A671" s="172"/>
    </row>
    <row r="672" spans="1:1" x14ac:dyDescent="0.2">
      <c r="A672" s="172"/>
    </row>
    <row r="673" spans="1:1" x14ac:dyDescent="0.2">
      <c r="A673" s="172"/>
    </row>
    <row r="674" spans="1:1" x14ac:dyDescent="0.2">
      <c r="A674" s="172"/>
    </row>
    <row r="675" spans="1:1" x14ac:dyDescent="0.2">
      <c r="A675" s="172"/>
    </row>
    <row r="676" spans="1:1" x14ac:dyDescent="0.2">
      <c r="A676" s="172"/>
    </row>
    <row r="677" spans="1:1" x14ac:dyDescent="0.2">
      <c r="A677" s="172"/>
    </row>
    <row r="678" spans="1:1" x14ac:dyDescent="0.2">
      <c r="A678" s="172"/>
    </row>
    <row r="679" spans="1:1" x14ac:dyDescent="0.2">
      <c r="A679" s="172"/>
    </row>
    <row r="680" spans="1:1" x14ac:dyDescent="0.2">
      <c r="A680" s="172"/>
    </row>
    <row r="681" spans="1:1" x14ac:dyDescent="0.2">
      <c r="A681" s="172"/>
    </row>
    <row r="682" spans="1:1" x14ac:dyDescent="0.2">
      <c r="A682" s="172"/>
    </row>
    <row r="683" spans="1:1" x14ac:dyDescent="0.2">
      <c r="A683" s="172"/>
    </row>
    <row r="684" spans="1:1" x14ac:dyDescent="0.2">
      <c r="A684" s="172"/>
    </row>
    <row r="685" spans="1:1" x14ac:dyDescent="0.2">
      <c r="A685" s="172"/>
    </row>
    <row r="686" spans="1:1" x14ac:dyDescent="0.2">
      <c r="A686" s="172"/>
    </row>
    <row r="687" spans="1:1" x14ac:dyDescent="0.2">
      <c r="A687" s="172"/>
    </row>
    <row r="688" spans="1:1" x14ac:dyDescent="0.2">
      <c r="A688" s="172"/>
    </row>
    <row r="689" spans="1:1" x14ac:dyDescent="0.2">
      <c r="A689" s="172"/>
    </row>
    <row r="690" spans="1:1" x14ac:dyDescent="0.2">
      <c r="A690" s="172"/>
    </row>
    <row r="691" spans="1:1" x14ac:dyDescent="0.2">
      <c r="A691" s="172"/>
    </row>
    <row r="692" spans="1:1" x14ac:dyDescent="0.2">
      <c r="A692" s="172"/>
    </row>
    <row r="693" spans="1:1" x14ac:dyDescent="0.2">
      <c r="A693" s="172"/>
    </row>
    <row r="694" spans="1:1" x14ac:dyDescent="0.2">
      <c r="A694" s="172"/>
    </row>
    <row r="695" spans="1:1" x14ac:dyDescent="0.2">
      <c r="A695" s="172"/>
    </row>
    <row r="696" spans="1:1" x14ac:dyDescent="0.2">
      <c r="A696" s="172"/>
    </row>
    <row r="697" spans="1:1" x14ac:dyDescent="0.2">
      <c r="A697" s="172"/>
    </row>
    <row r="698" spans="1:1" x14ac:dyDescent="0.2">
      <c r="A698" s="172"/>
    </row>
    <row r="699" spans="1:1" x14ac:dyDescent="0.2">
      <c r="A699" s="172"/>
    </row>
    <row r="700" spans="1:1" x14ac:dyDescent="0.2">
      <c r="A700" s="172"/>
    </row>
    <row r="701" spans="1:1" x14ac:dyDescent="0.2">
      <c r="A701" s="172"/>
    </row>
    <row r="702" spans="1:1" x14ac:dyDescent="0.2">
      <c r="A702" s="172"/>
    </row>
    <row r="703" spans="1:1" x14ac:dyDescent="0.2">
      <c r="A703" s="172"/>
    </row>
    <row r="704" spans="1:1" x14ac:dyDescent="0.2">
      <c r="A704" s="172"/>
    </row>
    <row r="705" spans="1:1" x14ac:dyDescent="0.2">
      <c r="A705" s="172"/>
    </row>
    <row r="706" spans="1:1" x14ac:dyDescent="0.2">
      <c r="A706" s="172"/>
    </row>
    <row r="707" spans="1:1" x14ac:dyDescent="0.2">
      <c r="A707" s="172"/>
    </row>
    <row r="708" spans="1:1" x14ac:dyDescent="0.2">
      <c r="A708" s="172"/>
    </row>
    <row r="709" spans="1:1" x14ac:dyDescent="0.2">
      <c r="A709" s="172"/>
    </row>
    <row r="710" spans="1:1" x14ac:dyDescent="0.2">
      <c r="A710" s="172"/>
    </row>
    <row r="711" spans="1:1" x14ac:dyDescent="0.2">
      <c r="A711" s="172"/>
    </row>
    <row r="712" spans="1:1" x14ac:dyDescent="0.2">
      <c r="A712" s="172"/>
    </row>
    <row r="713" spans="1:1" x14ac:dyDescent="0.2">
      <c r="A713" s="172"/>
    </row>
    <row r="714" spans="1:1" x14ac:dyDescent="0.2">
      <c r="A714" s="172"/>
    </row>
    <row r="715" spans="1:1" x14ac:dyDescent="0.2">
      <c r="A715" s="172"/>
    </row>
    <row r="716" spans="1:1" x14ac:dyDescent="0.2">
      <c r="A716" s="172"/>
    </row>
    <row r="717" spans="1:1" x14ac:dyDescent="0.2">
      <c r="A717" s="172"/>
    </row>
    <row r="718" spans="1:1" x14ac:dyDescent="0.2">
      <c r="A718" s="172"/>
    </row>
    <row r="719" spans="1:1" x14ac:dyDescent="0.2">
      <c r="A719" s="172"/>
    </row>
    <row r="720" spans="1:1" x14ac:dyDescent="0.2">
      <c r="A720" s="172"/>
    </row>
    <row r="721" spans="1:1" x14ac:dyDescent="0.2">
      <c r="A721" s="172"/>
    </row>
    <row r="722" spans="1:1" x14ac:dyDescent="0.2">
      <c r="A722" s="172"/>
    </row>
    <row r="723" spans="1:1" x14ac:dyDescent="0.2">
      <c r="A723" s="172"/>
    </row>
    <row r="724" spans="1:1" x14ac:dyDescent="0.2">
      <c r="A724" s="172"/>
    </row>
    <row r="725" spans="1:1" x14ac:dyDescent="0.2">
      <c r="A725" s="172"/>
    </row>
    <row r="726" spans="1:1" x14ac:dyDescent="0.2">
      <c r="A726" s="172"/>
    </row>
    <row r="727" spans="1:1" x14ac:dyDescent="0.2">
      <c r="A727" s="172"/>
    </row>
    <row r="728" spans="1:1" x14ac:dyDescent="0.2">
      <c r="A728" s="172"/>
    </row>
    <row r="729" spans="1:1" x14ac:dyDescent="0.2">
      <c r="A729" s="172"/>
    </row>
    <row r="730" spans="1:1" x14ac:dyDescent="0.2">
      <c r="A730" s="172"/>
    </row>
    <row r="731" spans="1:1" x14ac:dyDescent="0.2">
      <c r="A731" s="172"/>
    </row>
    <row r="732" spans="1:1" x14ac:dyDescent="0.2">
      <c r="A732" s="172"/>
    </row>
    <row r="733" spans="1:1" x14ac:dyDescent="0.2">
      <c r="A733" s="172"/>
    </row>
    <row r="734" spans="1:1" x14ac:dyDescent="0.2">
      <c r="A734" s="172"/>
    </row>
    <row r="735" spans="1:1" x14ac:dyDescent="0.2">
      <c r="A735" s="172"/>
    </row>
    <row r="736" spans="1:1" x14ac:dyDescent="0.2">
      <c r="A736" s="172"/>
    </row>
    <row r="737" spans="1:1" x14ac:dyDescent="0.2">
      <c r="A737" s="172"/>
    </row>
    <row r="738" spans="1:1" x14ac:dyDescent="0.2">
      <c r="A738" s="172"/>
    </row>
    <row r="739" spans="1:1" x14ac:dyDescent="0.2">
      <c r="A739" s="172"/>
    </row>
    <row r="740" spans="1:1" x14ac:dyDescent="0.2">
      <c r="A740" s="172"/>
    </row>
    <row r="741" spans="1:1" x14ac:dyDescent="0.2">
      <c r="A741" s="172"/>
    </row>
    <row r="742" spans="1:1" x14ac:dyDescent="0.2">
      <c r="A742" s="172"/>
    </row>
    <row r="743" spans="1:1" x14ac:dyDescent="0.2">
      <c r="A743" s="172"/>
    </row>
    <row r="744" spans="1:1" x14ac:dyDescent="0.2">
      <c r="A744" s="172"/>
    </row>
    <row r="745" spans="1:1" x14ac:dyDescent="0.2">
      <c r="A745" s="172"/>
    </row>
    <row r="746" spans="1:1" x14ac:dyDescent="0.2">
      <c r="A746" s="172"/>
    </row>
    <row r="747" spans="1:1" x14ac:dyDescent="0.2">
      <c r="A747" s="172"/>
    </row>
    <row r="748" spans="1:1" x14ac:dyDescent="0.2">
      <c r="A748" s="172"/>
    </row>
    <row r="749" spans="1:1" x14ac:dyDescent="0.2">
      <c r="A749" s="172"/>
    </row>
    <row r="750" spans="1:1" x14ac:dyDescent="0.2">
      <c r="A750" s="172"/>
    </row>
    <row r="751" spans="1:1" x14ac:dyDescent="0.2">
      <c r="A751" s="172"/>
    </row>
    <row r="752" spans="1:1" x14ac:dyDescent="0.2">
      <c r="A752" s="172"/>
    </row>
    <row r="753" spans="1:1" x14ac:dyDescent="0.2">
      <c r="A753" s="172"/>
    </row>
    <row r="754" spans="1:1" x14ac:dyDescent="0.2">
      <c r="A754" s="172"/>
    </row>
    <row r="755" spans="1:1" x14ac:dyDescent="0.2">
      <c r="A755" s="172"/>
    </row>
    <row r="756" spans="1:1" x14ac:dyDescent="0.2">
      <c r="A756" s="172"/>
    </row>
    <row r="757" spans="1:1" x14ac:dyDescent="0.2">
      <c r="A757" s="172"/>
    </row>
    <row r="758" spans="1:1" x14ac:dyDescent="0.2">
      <c r="A758" s="172"/>
    </row>
    <row r="759" spans="1:1" x14ac:dyDescent="0.2">
      <c r="A759" s="172"/>
    </row>
    <row r="760" spans="1:1" x14ac:dyDescent="0.2">
      <c r="A760" s="172"/>
    </row>
    <row r="761" spans="1:1" x14ac:dyDescent="0.2">
      <c r="A761" s="172"/>
    </row>
    <row r="762" spans="1:1" x14ac:dyDescent="0.2">
      <c r="A762" s="172"/>
    </row>
    <row r="763" spans="1:1" x14ac:dyDescent="0.2">
      <c r="A763" s="172"/>
    </row>
    <row r="764" spans="1:1" x14ac:dyDescent="0.2">
      <c r="A764" s="172"/>
    </row>
    <row r="765" spans="1:1" x14ac:dyDescent="0.2">
      <c r="A765" s="172"/>
    </row>
    <row r="766" spans="1:1" x14ac:dyDescent="0.2">
      <c r="A766" s="172"/>
    </row>
    <row r="767" spans="1:1" x14ac:dyDescent="0.2">
      <c r="A767" s="172"/>
    </row>
    <row r="768" spans="1:1" x14ac:dyDescent="0.2">
      <c r="A768" s="172"/>
    </row>
    <row r="769" spans="1:1" x14ac:dyDescent="0.2">
      <c r="A769" s="172"/>
    </row>
    <row r="770" spans="1:1" x14ac:dyDescent="0.2">
      <c r="A770" s="172"/>
    </row>
    <row r="771" spans="1:1" x14ac:dyDescent="0.2">
      <c r="A771" s="172"/>
    </row>
    <row r="772" spans="1:1" x14ac:dyDescent="0.2">
      <c r="A772" s="172"/>
    </row>
    <row r="773" spans="1:1" x14ac:dyDescent="0.2">
      <c r="A773" s="172"/>
    </row>
    <row r="774" spans="1:1" x14ac:dyDescent="0.2">
      <c r="A774" s="172"/>
    </row>
    <row r="775" spans="1:1" x14ac:dyDescent="0.2">
      <c r="A775" s="172"/>
    </row>
    <row r="776" spans="1:1" x14ac:dyDescent="0.2">
      <c r="A776" s="172"/>
    </row>
    <row r="777" spans="1:1" x14ac:dyDescent="0.2">
      <c r="A777" s="172"/>
    </row>
    <row r="778" spans="1:1" x14ac:dyDescent="0.2">
      <c r="A778" s="172"/>
    </row>
    <row r="779" spans="1:1" x14ac:dyDescent="0.2">
      <c r="A779" s="172"/>
    </row>
    <row r="780" spans="1:1" x14ac:dyDescent="0.2">
      <c r="A780" s="172"/>
    </row>
    <row r="781" spans="1:1" x14ac:dyDescent="0.2">
      <c r="A781" s="172"/>
    </row>
    <row r="782" spans="1:1" x14ac:dyDescent="0.2">
      <c r="A782" s="172"/>
    </row>
    <row r="783" spans="1:1" x14ac:dyDescent="0.2">
      <c r="A783" s="172"/>
    </row>
    <row r="784" spans="1:1" x14ac:dyDescent="0.2">
      <c r="A784" s="172"/>
    </row>
    <row r="785" spans="1:1" x14ac:dyDescent="0.2">
      <c r="A785" s="172"/>
    </row>
    <row r="786" spans="1:1" x14ac:dyDescent="0.2">
      <c r="A786" s="172"/>
    </row>
    <row r="787" spans="1:1" x14ac:dyDescent="0.2">
      <c r="A787" s="172"/>
    </row>
    <row r="788" spans="1:1" x14ac:dyDescent="0.2">
      <c r="A788" s="172"/>
    </row>
    <row r="789" spans="1:1" x14ac:dyDescent="0.2">
      <c r="A789" s="172"/>
    </row>
    <row r="790" spans="1:1" x14ac:dyDescent="0.2">
      <c r="A790" s="172"/>
    </row>
    <row r="791" spans="1:1" x14ac:dyDescent="0.2">
      <c r="A791" s="172"/>
    </row>
    <row r="792" spans="1:1" x14ac:dyDescent="0.2">
      <c r="A792" s="172"/>
    </row>
    <row r="793" spans="1:1" x14ac:dyDescent="0.2">
      <c r="A793" s="172"/>
    </row>
    <row r="794" spans="1:1" x14ac:dyDescent="0.2">
      <c r="A794" s="172"/>
    </row>
    <row r="795" spans="1:1" x14ac:dyDescent="0.2">
      <c r="A795" s="172"/>
    </row>
    <row r="796" spans="1:1" x14ac:dyDescent="0.2">
      <c r="A796" s="172"/>
    </row>
    <row r="797" spans="1:1" x14ac:dyDescent="0.2">
      <c r="A797" s="172"/>
    </row>
    <row r="798" spans="1:1" x14ac:dyDescent="0.2">
      <c r="A798" s="172"/>
    </row>
    <row r="799" spans="1:1" x14ac:dyDescent="0.2">
      <c r="A799" s="172"/>
    </row>
    <row r="800" spans="1:1" x14ac:dyDescent="0.2">
      <c r="A800" s="172"/>
    </row>
    <row r="801" spans="1:1" x14ac:dyDescent="0.2">
      <c r="A801" s="172"/>
    </row>
    <row r="802" spans="1:1" x14ac:dyDescent="0.2">
      <c r="A802" s="172"/>
    </row>
    <row r="803" spans="1:1" x14ac:dyDescent="0.2">
      <c r="A803" s="172"/>
    </row>
    <row r="804" spans="1:1" x14ac:dyDescent="0.2">
      <c r="A804" s="172"/>
    </row>
    <row r="805" spans="1:1" x14ac:dyDescent="0.2">
      <c r="A805" s="172"/>
    </row>
    <row r="806" spans="1:1" x14ac:dyDescent="0.2">
      <c r="A806" s="172"/>
    </row>
    <row r="807" spans="1:1" x14ac:dyDescent="0.2">
      <c r="A807" s="172"/>
    </row>
    <row r="808" spans="1:1" x14ac:dyDescent="0.2">
      <c r="A808" s="172"/>
    </row>
    <row r="809" spans="1:1" x14ac:dyDescent="0.2">
      <c r="A809" s="172"/>
    </row>
    <row r="810" spans="1:1" x14ac:dyDescent="0.2">
      <c r="A810" s="172"/>
    </row>
    <row r="811" spans="1:1" x14ac:dyDescent="0.2">
      <c r="A811" s="172"/>
    </row>
    <row r="812" spans="1:1" x14ac:dyDescent="0.2">
      <c r="A812" s="172"/>
    </row>
    <row r="813" spans="1:1" x14ac:dyDescent="0.2">
      <c r="A813" s="172"/>
    </row>
    <row r="814" spans="1:1" x14ac:dyDescent="0.2">
      <c r="A814" s="172"/>
    </row>
    <row r="815" spans="1:1" x14ac:dyDescent="0.2">
      <c r="A815" s="172"/>
    </row>
    <row r="816" spans="1:1" x14ac:dyDescent="0.2">
      <c r="A816" s="172"/>
    </row>
    <row r="817" spans="1:1" x14ac:dyDescent="0.2">
      <c r="A817" s="172"/>
    </row>
    <row r="818" spans="1:1" x14ac:dyDescent="0.2">
      <c r="A818" s="172"/>
    </row>
    <row r="819" spans="1:1" x14ac:dyDescent="0.2">
      <c r="A819" s="172"/>
    </row>
    <row r="820" spans="1:1" x14ac:dyDescent="0.2">
      <c r="A820" s="172"/>
    </row>
    <row r="821" spans="1:1" x14ac:dyDescent="0.2">
      <c r="A821" s="172"/>
    </row>
    <row r="822" spans="1:1" x14ac:dyDescent="0.2">
      <c r="A822" s="172"/>
    </row>
    <row r="823" spans="1:1" x14ac:dyDescent="0.2">
      <c r="A823" s="172"/>
    </row>
    <row r="824" spans="1:1" x14ac:dyDescent="0.2">
      <c r="A824" s="172"/>
    </row>
    <row r="825" spans="1:1" x14ac:dyDescent="0.2">
      <c r="A825" s="172"/>
    </row>
    <row r="826" spans="1:1" x14ac:dyDescent="0.2">
      <c r="A826" s="172"/>
    </row>
    <row r="827" spans="1:1" x14ac:dyDescent="0.2">
      <c r="A827" s="172"/>
    </row>
    <row r="828" spans="1:1" x14ac:dyDescent="0.2">
      <c r="A828" s="172"/>
    </row>
    <row r="829" spans="1:1" x14ac:dyDescent="0.2">
      <c r="A829" s="172"/>
    </row>
    <row r="830" spans="1:1" x14ac:dyDescent="0.2">
      <c r="A830" s="172"/>
    </row>
    <row r="831" spans="1:1" x14ac:dyDescent="0.2">
      <c r="A831" s="172"/>
    </row>
    <row r="832" spans="1:1" x14ac:dyDescent="0.2">
      <c r="A832" s="172"/>
    </row>
    <row r="833" spans="1:1" x14ac:dyDescent="0.2">
      <c r="A833" s="172"/>
    </row>
    <row r="834" spans="1:1" x14ac:dyDescent="0.2">
      <c r="A834" s="172"/>
    </row>
    <row r="835" spans="1:1" x14ac:dyDescent="0.2">
      <c r="A835" s="172"/>
    </row>
    <row r="836" spans="1:1" x14ac:dyDescent="0.2">
      <c r="A836" s="172"/>
    </row>
    <row r="837" spans="1:1" x14ac:dyDescent="0.2">
      <c r="A837" s="172"/>
    </row>
    <row r="838" spans="1:1" x14ac:dyDescent="0.2">
      <c r="A838" s="172"/>
    </row>
    <row r="839" spans="1:1" x14ac:dyDescent="0.2">
      <c r="A839" s="172"/>
    </row>
    <row r="840" spans="1:1" x14ac:dyDescent="0.2">
      <c r="A840" s="172"/>
    </row>
    <row r="841" spans="1:1" x14ac:dyDescent="0.2">
      <c r="A841" s="172"/>
    </row>
    <row r="842" spans="1:1" x14ac:dyDescent="0.2">
      <c r="A842" s="172"/>
    </row>
    <row r="843" spans="1:1" x14ac:dyDescent="0.2">
      <c r="A843" s="172"/>
    </row>
    <row r="844" spans="1:1" x14ac:dyDescent="0.2">
      <c r="A844" s="172"/>
    </row>
    <row r="845" spans="1:1" x14ac:dyDescent="0.2">
      <c r="A845" s="172"/>
    </row>
    <row r="846" spans="1:1" x14ac:dyDescent="0.2">
      <c r="A846" s="172"/>
    </row>
    <row r="847" spans="1:1" x14ac:dyDescent="0.2">
      <c r="A847" s="172"/>
    </row>
    <row r="848" spans="1:1" x14ac:dyDescent="0.2">
      <c r="A848" s="172"/>
    </row>
    <row r="849" spans="1:1" x14ac:dyDescent="0.2">
      <c r="A849" s="172"/>
    </row>
    <row r="850" spans="1:1" x14ac:dyDescent="0.2">
      <c r="A850" s="172"/>
    </row>
    <row r="851" spans="1:1" x14ac:dyDescent="0.2">
      <c r="A851" s="172"/>
    </row>
    <row r="852" spans="1:1" x14ac:dyDescent="0.2">
      <c r="A852" s="172"/>
    </row>
    <row r="853" spans="1:1" x14ac:dyDescent="0.2">
      <c r="A853" s="172"/>
    </row>
    <row r="854" spans="1:1" x14ac:dyDescent="0.2">
      <c r="A854" s="172"/>
    </row>
    <row r="855" spans="1:1" x14ac:dyDescent="0.2">
      <c r="A855" s="172"/>
    </row>
    <row r="856" spans="1:1" x14ac:dyDescent="0.2">
      <c r="A856" s="172"/>
    </row>
    <row r="857" spans="1:1" x14ac:dyDescent="0.2">
      <c r="A857" s="172"/>
    </row>
    <row r="858" spans="1:1" x14ac:dyDescent="0.2">
      <c r="A858" s="172"/>
    </row>
    <row r="859" spans="1:1" x14ac:dyDescent="0.2">
      <c r="A859" s="172"/>
    </row>
    <row r="860" spans="1:1" x14ac:dyDescent="0.2">
      <c r="A860" s="172"/>
    </row>
    <row r="861" spans="1:1" x14ac:dyDescent="0.2">
      <c r="A861" s="172"/>
    </row>
    <row r="862" spans="1:1" x14ac:dyDescent="0.2">
      <c r="A862" s="172"/>
    </row>
    <row r="863" spans="1:1" x14ac:dyDescent="0.2">
      <c r="A863" s="172"/>
    </row>
    <row r="864" spans="1:1" x14ac:dyDescent="0.2">
      <c r="A864" s="172"/>
    </row>
    <row r="865" spans="1:1" x14ac:dyDescent="0.2">
      <c r="A865" s="172"/>
    </row>
    <row r="866" spans="1:1" x14ac:dyDescent="0.2">
      <c r="A866" s="172"/>
    </row>
    <row r="867" spans="1:1" x14ac:dyDescent="0.2">
      <c r="A867" s="172"/>
    </row>
    <row r="868" spans="1:1" x14ac:dyDescent="0.2">
      <c r="A868" s="172"/>
    </row>
    <row r="869" spans="1:1" x14ac:dyDescent="0.2">
      <c r="A869" s="172"/>
    </row>
    <row r="870" spans="1:1" x14ac:dyDescent="0.2">
      <c r="A870" s="172"/>
    </row>
    <row r="871" spans="1:1" x14ac:dyDescent="0.2">
      <c r="A871" s="172"/>
    </row>
    <row r="872" spans="1:1" x14ac:dyDescent="0.2">
      <c r="A872" s="172"/>
    </row>
    <row r="873" spans="1:1" x14ac:dyDescent="0.2">
      <c r="A873" s="172"/>
    </row>
    <row r="874" spans="1:1" x14ac:dyDescent="0.2">
      <c r="A874" s="172"/>
    </row>
    <row r="875" spans="1:1" x14ac:dyDescent="0.2">
      <c r="A875" s="172"/>
    </row>
    <row r="876" spans="1:1" x14ac:dyDescent="0.2">
      <c r="A876" s="172"/>
    </row>
    <row r="877" spans="1:1" x14ac:dyDescent="0.2">
      <c r="A877" s="172"/>
    </row>
    <row r="878" spans="1:1" x14ac:dyDescent="0.2">
      <c r="A878" s="172"/>
    </row>
    <row r="879" spans="1:1" x14ac:dyDescent="0.2">
      <c r="A879" s="172"/>
    </row>
    <row r="880" spans="1:1" x14ac:dyDescent="0.2">
      <c r="A880" s="172"/>
    </row>
    <row r="881" spans="1:1" x14ac:dyDescent="0.2">
      <c r="A881" s="172"/>
    </row>
    <row r="882" spans="1:1" x14ac:dyDescent="0.2">
      <c r="A882" s="172"/>
    </row>
    <row r="883" spans="1:1" x14ac:dyDescent="0.2">
      <c r="A883" s="172"/>
    </row>
    <row r="884" spans="1:1" x14ac:dyDescent="0.2">
      <c r="A884" s="172"/>
    </row>
    <row r="885" spans="1:1" x14ac:dyDescent="0.2">
      <c r="A885" s="172"/>
    </row>
    <row r="886" spans="1:1" x14ac:dyDescent="0.2">
      <c r="A886" s="172"/>
    </row>
    <row r="887" spans="1:1" x14ac:dyDescent="0.2">
      <c r="A887" s="172"/>
    </row>
    <row r="888" spans="1:1" x14ac:dyDescent="0.2">
      <c r="A888" s="172"/>
    </row>
    <row r="889" spans="1:1" x14ac:dyDescent="0.2">
      <c r="A889" s="172"/>
    </row>
    <row r="890" spans="1:1" x14ac:dyDescent="0.2">
      <c r="A890" s="172"/>
    </row>
    <row r="891" spans="1:1" x14ac:dyDescent="0.2">
      <c r="A891" s="172"/>
    </row>
    <row r="892" spans="1:1" x14ac:dyDescent="0.2">
      <c r="A892" s="172"/>
    </row>
    <row r="893" spans="1:1" x14ac:dyDescent="0.2">
      <c r="A893" s="172"/>
    </row>
    <row r="894" spans="1:1" x14ac:dyDescent="0.2">
      <c r="A894" s="172"/>
    </row>
    <row r="895" spans="1:1" x14ac:dyDescent="0.2">
      <c r="A895" s="172"/>
    </row>
    <row r="896" spans="1:1" x14ac:dyDescent="0.2">
      <c r="A896" s="172"/>
    </row>
    <row r="897" spans="1:1" x14ac:dyDescent="0.2">
      <c r="A897" s="172"/>
    </row>
    <row r="898" spans="1:1" x14ac:dyDescent="0.2">
      <c r="A898" s="172"/>
    </row>
    <row r="899" spans="1:1" x14ac:dyDescent="0.2">
      <c r="A899" s="172"/>
    </row>
    <row r="900" spans="1:1" x14ac:dyDescent="0.2">
      <c r="A900" s="172"/>
    </row>
    <row r="901" spans="1:1" x14ac:dyDescent="0.2">
      <c r="A901" s="172"/>
    </row>
    <row r="902" spans="1:1" x14ac:dyDescent="0.2">
      <c r="A902" s="172"/>
    </row>
    <row r="903" spans="1:1" x14ac:dyDescent="0.2">
      <c r="A903" s="172"/>
    </row>
    <row r="904" spans="1:1" x14ac:dyDescent="0.2">
      <c r="A904" s="172"/>
    </row>
    <row r="905" spans="1:1" x14ac:dyDescent="0.2">
      <c r="A905" s="172"/>
    </row>
    <row r="906" spans="1:1" x14ac:dyDescent="0.2">
      <c r="A906" s="172"/>
    </row>
    <row r="907" spans="1:1" x14ac:dyDescent="0.2">
      <c r="A907" s="172"/>
    </row>
    <row r="908" spans="1:1" x14ac:dyDescent="0.2">
      <c r="A908" s="172"/>
    </row>
    <row r="909" spans="1:1" x14ac:dyDescent="0.2">
      <c r="A909" s="172"/>
    </row>
    <row r="910" spans="1:1" x14ac:dyDescent="0.2">
      <c r="A910" s="172"/>
    </row>
    <row r="911" spans="1:1" x14ac:dyDescent="0.2">
      <c r="A911" s="172"/>
    </row>
    <row r="912" spans="1:1" x14ac:dyDescent="0.2">
      <c r="A912" s="172"/>
    </row>
    <row r="913" spans="1:1" x14ac:dyDescent="0.2">
      <c r="A913" s="172"/>
    </row>
    <row r="914" spans="1:1" x14ac:dyDescent="0.2">
      <c r="A914" s="172"/>
    </row>
    <row r="915" spans="1:1" x14ac:dyDescent="0.2">
      <c r="A915" s="172"/>
    </row>
    <row r="916" spans="1:1" x14ac:dyDescent="0.2">
      <c r="A916" s="172"/>
    </row>
    <row r="917" spans="1:1" x14ac:dyDescent="0.2">
      <c r="A917" s="172"/>
    </row>
    <row r="918" spans="1:1" x14ac:dyDescent="0.2">
      <c r="A918" s="172"/>
    </row>
    <row r="919" spans="1:1" x14ac:dyDescent="0.2">
      <c r="A919" s="172"/>
    </row>
    <row r="920" spans="1:1" x14ac:dyDescent="0.2">
      <c r="A920" s="172"/>
    </row>
    <row r="921" spans="1:1" x14ac:dyDescent="0.2">
      <c r="A921" s="172"/>
    </row>
    <row r="922" spans="1:1" x14ac:dyDescent="0.2">
      <c r="A922" s="172"/>
    </row>
    <row r="923" spans="1:1" x14ac:dyDescent="0.2">
      <c r="A923" s="172"/>
    </row>
    <row r="924" spans="1:1" x14ac:dyDescent="0.2">
      <c r="A924" s="172"/>
    </row>
    <row r="925" spans="1:1" x14ac:dyDescent="0.2">
      <c r="A925" s="172"/>
    </row>
    <row r="926" spans="1:1" x14ac:dyDescent="0.2">
      <c r="A926" s="172"/>
    </row>
    <row r="927" spans="1:1" x14ac:dyDescent="0.2">
      <c r="A927" s="172"/>
    </row>
    <row r="928" spans="1:1" x14ac:dyDescent="0.2">
      <c r="A928" s="172"/>
    </row>
    <row r="929" spans="1:1" x14ac:dyDescent="0.2">
      <c r="A929" s="172"/>
    </row>
    <row r="930" spans="1:1" x14ac:dyDescent="0.2">
      <c r="A930" s="172"/>
    </row>
    <row r="931" spans="1:1" x14ac:dyDescent="0.2">
      <c r="A931" s="172"/>
    </row>
    <row r="932" spans="1:1" x14ac:dyDescent="0.2">
      <c r="A932" s="172"/>
    </row>
    <row r="933" spans="1:1" x14ac:dyDescent="0.2">
      <c r="A933" s="172"/>
    </row>
    <row r="934" spans="1:1" x14ac:dyDescent="0.2">
      <c r="A934" s="172"/>
    </row>
    <row r="935" spans="1:1" x14ac:dyDescent="0.2">
      <c r="A935" s="172"/>
    </row>
    <row r="936" spans="1:1" x14ac:dyDescent="0.2">
      <c r="A936" s="172"/>
    </row>
    <row r="937" spans="1:1" x14ac:dyDescent="0.2">
      <c r="A937" s="172"/>
    </row>
    <row r="938" spans="1:1" x14ac:dyDescent="0.2">
      <c r="A938" s="172"/>
    </row>
    <row r="939" spans="1:1" x14ac:dyDescent="0.2">
      <c r="A939" s="172"/>
    </row>
    <row r="940" spans="1:1" x14ac:dyDescent="0.2">
      <c r="A940" s="172"/>
    </row>
    <row r="941" spans="1:1" x14ac:dyDescent="0.2">
      <c r="A941" s="172"/>
    </row>
    <row r="942" spans="1:1" x14ac:dyDescent="0.2">
      <c r="A942" s="172"/>
    </row>
    <row r="943" spans="1:1" x14ac:dyDescent="0.2">
      <c r="A943" s="172"/>
    </row>
    <row r="944" spans="1:1" x14ac:dyDescent="0.2">
      <c r="A944" s="172"/>
    </row>
    <row r="945" spans="1:1" x14ac:dyDescent="0.2">
      <c r="A945" s="172"/>
    </row>
    <row r="946" spans="1:1" x14ac:dyDescent="0.2">
      <c r="A946" s="172"/>
    </row>
    <row r="947" spans="1:1" x14ac:dyDescent="0.2">
      <c r="A947" s="172"/>
    </row>
    <row r="948" spans="1:1" x14ac:dyDescent="0.2">
      <c r="A948" s="172"/>
    </row>
    <row r="949" spans="1:1" x14ac:dyDescent="0.2">
      <c r="A949" s="172"/>
    </row>
    <row r="950" spans="1:1" x14ac:dyDescent="0.2">
      <c r="A950" s="172"/>
    </row>
    <row r="951" spans="1:1" x14ac:dyDescent="0.2">
      <c r="A951" s="172"/>
    </row>
    <row r="952" spans="1:1" x14ac:dyDescent="0.2">
      <c r="A952" s="172"/>
    </row>
    <row r="953" spans="1:1" x14ac:dyDescent="0.2">
      <c r="A953" s="172"/>
    </row>
    <row r="954" spans="1:1" x14ac:dyDescent="0.2">
      <c r="A954" s="172"/>
    </row>
    <row r="955" spans="1:1" x14ac:dyDescent="0.2">
      <c r="A955" s="172"/>
    </row>
    <row r="956" spans="1:1" x14ac:dyDescent="0.2">
      <c r="A956" s="172"/>
    </row>
    <row r="957" spans="1:1" x14ac:dyDescent="0.2">
      <c r="A957" s="172"/>
    </row>
    <row r="958" spans="1:1" x14ac:dyDescent="0.2">
      <c r="A958" s="172"/>
    </row>
    <row r="959" spans="1:1" x14ac:dyDescent="0.2">
      <c r="A959" s="172"/>
    </row>
    <row r="960" spans="1:1" x14ac:dyDescent="0.2">
      <c r="A960" s="172"/>
    </row>
    <row r="961" spans="1:1" x14ac:dyDescent="0.2">
      <c r="A961" s="172"/>
    </row>
    <row r="962" spans="1:1" x14ac:dyDescent="0.2">
      <c r="A962" s="172"/>
    </row>
    <row r="963" spans="1:1" x14ac:dyDescent="0.2">
      <c r="A963" s="172"/>
    </row>
    <row r="964" spans="1:1" x14ac:dyDescent="0.2">
      <c r="A964" s="172"/>
    </row>
    <row r="965" spans="1:1" x14ac:dyDescent="0.2">
      <c r="A965" s="172"/>
    </row>
    <row r="966" spans="1:1" x14ac:dyDescent="0.2">
      <c r="A966" s="172"/>
    </row>
    <row r="967" spans="1:1" x14ac:dyDescent="0.2">
      <c r="A967" s="172"/>
    </row>
    <row r="968" spans="1:1" x14ac:dyDescent="0.2">
      <c r="A968" s="172"/>
    </row>
    <row r="969" spans="1:1" x14ac:dyDescent="0.2">
      <c r="A969" s="172"/>
    </row>
    <row r="970" spans="1:1" x14ac:dyDescent="0.2">
      <c r="A970" s="172"/>
    </row>
    <row r="971" spans="1:1" x14ac:dyDescent="0.2">
      <c r="A971" s="172"/>
    </row>
    <row r="972" spans="1:1" x14ac:dyDescent="0.2">
      <c r="A972" s="172"/>
    </row>
    <row r="973" spans="1:1" x14ac:dyDescent="0.2">
      <c r="A973" s="172"/>
    </row>
    <row r="974" spans="1:1" x14ac:dyDescent="0.2">
      <c r="A974" s="172"/>
    </row>
    <row r="975" spans="1:1" x14ac:dyDescent="0.2">
      <c r="A975" s="172"/>
    </row>
    <row r="976" spans="1:1" x14ac:dyDescent="0.2">
      <c r="A976" s="172"/>
    </row>
    <row r="977" spans="1:1" x14ac:dyDescent="0.2">
      <c r="A977" s="172"/>
    </row>
    <row r="978" spans="1:1" x14ac:dyDescent="0.2">
      <c r="A978" s="172"/>
    </row>
    <row r="979" spans="1:1" x14ac:dyDescent="0.2">
      <c r="A979" s="172"/>
    </row>
    <row r="980" spans="1:1" x14ac:dyDescent="0.2">
      <c r="A980" s="172"/>
    </row>
    <row r="981" spans="1:1" x14ac:dyDescent="0.2">
      <c r="A981" s="172"/>
    </row>
    <row r="982" spans="1:1" x14ac:dyDescent="0.2">
      <c r="A982" s="172"/>
    </row>
    <row r="983" spans="1:1" x14ac:dyDescent="0.2">
      <c r="A983" s="172"/>
    </row>
    <row r="984" spans="1:1" x14ac:dyDescent="0.2">
      <c r="A984" s="172"/>
    </row>
    <row r="985" spans="1:1" x14ac:dyDescent="0.2">
      <c r="A985" s="172"/>
    </row>
    <row r="986" spans="1:1" x14ac:dyDescent="0.2">
      <c r="A986" s="172"/>
    </row>
    <row r="987" spans="1:1" x14ac:dyDescent="0.2">
      <c r="A987" s="172"/>
    </row>
    <row r="988" spans="1:1" x14ac:dyDescent="0.2">
      <c r="A988" s="172"/>
    </row>
    <row r="989" spans="1:1" x14ac:dyDescent="0.2">
      <c r="A989" s="172"/>
    </row>
    <row r="990" spans="1:1" x14ac:dyDescent="0.2">
      <c r="A990" s="172"/>
    </row>
    <row r="991" spans="1:1" x14ac:dyDescent="0.2">
      <c r="A991" s="172"/>
    </row>
    <row r="992" spans="1:1" x14ac:dyDescent="0.2">
      <c r="A992" s="172"/>
    </row>
    <row r="993" spans="1:1" x14ac:dyDescent="0.2">
      <c r="A993" s="172"/>
    </row>
    <row r="994" spans="1:1" x14ac:dyDescent="0.2">
      <c r="A994" s="172"/>
    </row>
    <row r="995" spans="1:1" x14ac:dyDescent="0.2">
      <c r="A995" s="172"/>
    </row>
    <row r="996" spans="1:1" x14ac:dyDescent="0.2">
      <c r="A996" s="172"/>
    </row>
    <row r="997" spans="1:1" x14ac:dyDescent="0.2">
      <c r="A997" s="172"/>
    </row>
    <row r="998" spans="1:1" x14ac:dyDescent="0.2">
      <c r="A998" s="172"/>
    </row>
    <row r="999" spans="1:1" x14ac:dyDescent="0.2">
      <c r="A999" s="172"/>
    </row>
    <row r="1000" spans="1:1" x14ac:dyDescent="0.2">
      <c r="A1000" s="172"/>
    </row>
    <row r="1001" spans="1:1" x14ac:dyDescent="0.2">
      <c r="A1001" s="172"/>
    </row>
    <row r="1002" spans="1:1" x14ac:dyDescent="0.2">
      <c r="A1002" s="172"/>
    </row>
    <row r="1003" spans="1:1" x14ac:dyDescent="0.2">
      <c r="A1003" s="172"/>
    </row>
    <row r="1004" spans="1:1" x14ac:dyDescent="0.2">
      <c r="A1004" s="172"/>
    </row>
    <row r="1005" spans="1:1" x14ac:dyDescent="0.2">
      <c r="A1005" s="172"/>
    </row>
    <row r="1006" spans="1:1" x14ac:dyDescent="0.2">
      <c r="A1006" s="172"/>
    </row>
    <row r="1007" spans="1:1" x14ac:dyDescent="0.2">
      <c r="A1007" s="172"/>
    </row>
    <row r="1008" spans="1:1" x14ac:dyDescent="0.2">
      <c r="A1008" s="172"/>
    </row>
    <row r="1009" spans="1:1" x14ac:dyDescent="0.2">
      <c r="A1009" s="172"/>
    </row>
    <row r="1010" spans="1:1" x14ac:dyDescent="0.2">
      <c r="A1010" s="172"/>
    </row>
    <row r="1011" spans="1:1" x14ac:dyDescent="0.2">
      <c r="A1011" s="172"/>
    </row>
    <row r="1012" spans="1:1" x14ac:dyDescent="0.2">
      <c r="A1012" s="172"/>
    </row>
    <row r="1013" spans="1:1" x14ac:dyDescent="0.2">
      <c r="A1013" s="172"/>
    </row>
    <row r="1014" spans="1:1" x14ac:dyDescent="0.2">
      <c r="A1014" s="172"/>
    </row>
    <row r="1015" spans="1:1" x14ac:dyDescent="0.2">
      <c r="A1015" s="172"/>
    </row>
    <row r="1016" spans="1:1" x14ac:dyDescent="0.2">
      <c r="A1016" s="172"/>
    </row>
    <row r="1017" spans="1:1" x14ac:dyDescent="0.2">
      <c r="A1017" s="172"/>
    </row>
    <row r="1018" spans="1:1" x14ac:dyDescent="0.2">
      <c r="A1018" s="172"/>
    </row>
    <row r="1019" spans="1:1" x14ac:dyDescent="0.2">
      <c r="A1019" s="172"/>
    </row>
    <row r="1020" spans="1:1" x14ac:dyDescent="0.2">
      <c r="A1020" s="172"/>
    </row>
    <row r="1021" spans="1:1" x14ac:dyDescent="0.2">
      <c r="A1021" s="172"/>
    </row>
    <row r="1022" spans="1:1" x14ac:dyDescent="0.2">
      <c r="A1022" s="172"/>
    </row>
    <row r="1023" spans="1:1" x14ac:dyDescent="0.2">
      <c r="A1023" s="172"/>
    </row>
    <row r="1024" spans="1:1" x14ac:dyDescent="0.2">
      <c r="A1024" s="172"/>
    </row>
    <row r="1025" spans="1:1" x14ac:dyDescent="0.2">
      <c r="A1025" s="172"/>
    </row>
    <row r="1026" spans="1:1" x14ac:dyDescent="0.2">
      <c r="A1026" s="172"/>
    </row>
    <row r="1027" spans="1:1" x14ac:dyDescent="0.2">
      <c r="A1027" s="172"/>
    </row>
    <row r="1028" spans="1:1" x14ac:dyDescent="0.2">
      <c r="A1028" s="172"/>
    </row>
    <row r="1029" spans="1:1" x14ac:dyDescent="0.2">
      <c r="A1029" s="172"/>
    </row>
    <row r="1030" spans="1:1" x14ac:dyDescent="0.2">
      <c r="A1030" s="172"/>
    </row>
    <row r="1031" spans="1:1" x14ac:dyDescent="0.2">
      <c r="A1031" s="172"/>
    </row>
    <row r="1032" spans="1:1" x14ac:dyDescent="0.2">
      <c r="A1032" s="172"/>
    </row>
    <row r="1033" spans="1:1" x14ac:dyDescent="0.2">
      <c r="A1033" s="172"/>
    </row>
    <row r="1034" spans="1:1" x14ac:dyDescent="0.2">
      <c r="A1034" s="172"/>
    </row>
    <row r="1035" spans="1:1" x14ac:dyDescent="0.2">
      <c r="A1035" s="172"/>
    </row>
    <row r="1036" spans="1:1" x14ac:dyDescent="0.2">
      <c r="A1036" s="172"/>
    </row>
    <row r="1037" spans="1:1" x14ac:dyDescent="0.2">
      <c r="A1037" s="172"/>
    </row>
    <row r="1038" spans="1:1" x14ac:dyDescent="0.2">
      <c r="A1038" s="172"/>
    </row>
    <row r="1039" spans="1:1" x14ac:dyDescent="0.2">
      <c r="A1039" s="172"/>
    </row>
    <row r="1040" spans="1:1" x14ac:dyDescent="0.2">
      <c r="A1040" s="172"/>
    </row>
    <row r="1041" spans="1:1" x14ac:dyDescent="0.2">
      <c r="A1041" s="172"/>
    </row>
    <row r="1042" spans="1:1" x14ac:dyDescent="0.2">
      <c r="A1042" s="172"/>
    </row>
    <row r="1043" spans="1:1" x14ac:dyDescent="0.2">
      <c r="A1043" s="172"/>
    </row>
    <row r="1044" spans="1:1" x14ac:dyDescent="0.2">
      <c r="A1044" s="172"/>
    </row>
    <row r="1045" spans="1:1" x14ac:dyDescent="0.2">
      <c r="A1045" s="172"/>
    </row>
    <row r="1046" spans="1:1" x14ac:dyDescent="0.2">
      <c r="A1046" s="172"/>
    </row>
    <row r="1047" spans="1:1" x14ac:dyDescent="0.2">
      <c r="A1047" s="172"/>
    </row>
    <row r="1048" spans="1:1" x14ac:dyDescent="0.2">
      <c r="A1048" s="172"/>
    </row>
    <row r="1049" spans="1:1" x14ac:dyDescent="0.2">
      <c r="A1049" s="172"/>
    </row>
    <row r="1050" spans="1:1" x14ac:dyDescent="0.2">
      <c r="A1050" s="172"/>
    </row>
    <row r="1051" spans="1:1" x14ac:dyDescent="0.2">
      <c r="A1051" s="172"/>
    </row>
    <row r="1052" spans="1:1" x14ac:dyDescent="0.2">
      <c r="A1052" s="172"/>
    </row>
    <row r="1053" spans="1:1" x14ac:dyDescent="0.2">
      <c r="A1053" s="172"/>
    </row>
    <row r="1054" spans="1:1" x14ac:dyDescent="0.2">
      <c r="A1054" s="172"/>
    </row>
    <row r="1055" spans="1:1" x14ac:dyDescent="0.2">
      <c r="A1055" s="172"/>
    </row>
    <row r="1056" spans="1:1" x14ac:dyDescent="0.2">
      <c r="A1056" s="172"/>
    </row>
    <row r="1057" spans="1:1" x14ac:dyDescent="0.2">
      <c r="A1057" s="172"/>
    </row>
    <row r="1058" spans="1:1" x14ac:dyDescent="0.2">
      <c r="A1058" s="172"/>
    </row>
    <row r="1059" spans="1:1" x14ac:dyDescent="0.2">
      <c r="A1059" s="172"/>
    </row>
    <row r="1060" spans="1:1" x14ac:dyDescent="0.2">
      <c r="A1060" s="172"/>
    </row>
    <row r="1061" spans="1:1" x14ac:dyDescent="0.2">
      <c r="A1061" s="172"/>
    </row>
    <row r="1062" spans="1:1" x14ac:dyDescent="0.2">
      <c r="A1062" s="172"/>
    </row>
    <row r="1063" spans="1:1" x14ac:dyDescent="0.2">
      <c r="A1063" s="172"/>
    </row>
    <row r="1064" spans="1:1" x14ac:dyDescent="0.2">
      <c r="A1064" s="172"/>
    </row>
    <row r="1065" spans="1:1" x14ac:dyDescent="0.2">
      <c r="A1065" s="172"/>
    </row>
    <row r="1066" spans="1:1" x14ac:dyDescent="0.2">
      <c r="A1066" s="172"/>
    </row>
    <row r="1067" spans="1:1" x14ac:dyDescent="0.2">
      <c r="A1067" s="172"/>
    </row>
    <row r="1068" spans="1:1" x14ac:dyDescent="0.2">
      <c r="A1068" s="172"/>
    </row>
    <row r="1069" spans="1:1" x14ac:dyDescent="0.2">
      <c r="A1069" s="172"/>
    </row>
    <row r="1070" spans="1:1" x14ac:dyDescent="0.2">
      <c r="A1070" s="172"/>
    </row>
    <row r="1071" spans="1:1" x14ac:dyDescent="0.2">
      <c r="A1071" s="172"/>
    </row>
    <row r="1072" spans="1:1" x14ac:dyDescent="0.2">
      <c r="A1072" s="172"/>
    </row>
    <row r="1073" spans="1:1" x14ac:dyDescent="0.2">
      <c r="A1073" s="172"/>
    </row>
    <row r="1074" spans="1:1" x14ac:dyDescent="0.2">
      <c r="A1074" s="172"/>
    </row>
    <row r="1075" spans="1:1" x14ac:dyDescent="0.2">
      <c r="A1075" s="172"/>
    </row>
    <row r="1076" spans="1:1" x14ac:dyDescent="0.2">
      <c r="A1076" s="172"/>
    </row>
    <row r="1077" spans="1:1" x14ac:dyDescent="0.2">
      <c r="A1077" s="172"/>
    </row>
    <row r="1078" spans="1:1" x14ac:dyDescent="0.2">
      <c r="A1078" s="172"/>
    </row>
    <row r="1079" spans="1:1" x14ac:dyDescent="0.2">
      <c r="A1079" s="172"/>
    </row>
    <row r="1080" spans="1:1" x14ac:dyDescent="0.2">
      <c r="A1080" s="172"/>
    </row>
    <row r="1081" spans="1:1" x14ac:dyDescent="0.2">
      <c r="A1081" s="172"/>
    </row>
    <row r="1082" spans="1:1" x14ac:dyDescent="0.2">
      <c r="A1082" s="172"/>
    </row>
    <row r="1083" spans="1:1" x14ac:dyDescent="0.2">
      <c r="A1083" s="172"/>
    </row>
    <row r="1084" spans="1:1" x14ac:dyDescent="0.2">
      <c r="A1084" s="172"/>
    </row>
    <row r="1085" spans="1:1" x14ac:dyDescent="0.2">
      <c r="A1085" s="172"/>
    </row>
    <row r="1086" spans="1:1" x14ac:dyDescent="0.2">
      <c r="A1086" s="172"/>
    </row>
    <row r="1087" spans="1:1" x14ac:dyDescent="0.2">
      <c r="A1087" s="172"/>
    </row>
    <row r="1088" spans="1:1" x14ac:dyDescent="0.2">
      <c r="A1088" s="172"/>
    </row>
    <row r="1089" spans="1:1" x14ac:dyDescent="0.2">
      <c r="A1089" s="172"/>
    </row>
    <row r="1090" spans="1:1" x14ac:dyDescent="0.2">
      <c r="A1090" s="172"/>
    </row>
    <row r="1091" spans="1:1" x14ac:dyDescent="0.2">
      <c r="A1091" s="172"/>
    </row>
    <row r="1092" spans="1:1" x14ac:dyDescent="0.2">
      <c r="A1092" s="172"/>
    </row>
    <row r="1093" spans="1:1" x14ac:dyDescent="0.2">
      <c r="A1093" s="172"/>
    </row>
    <row r="1094" spans="1:1" x14ac:dyDescent="0.2">
      <c r="A1094" s="172"/>
    </row>
    <row r="1095" spans="1:1" x14ac:dyDescent="0.2">
      <c r="A1095" s="172"/>
    </row>
    <row r="1096" spans="1:1" x14ac:dyDescent="0.2">
      <c r="A1096" s="172"/>
    </row>
    <row r="1097" spans="1:1" x14ac:dyDescent="0.2">
      <c r="A1097" s="172"/>
    </row>
    <row r="1098" spans="1:1" x14ac:dyDescent="0.2">
      <c r="A1098" s="172"/>
    </row>
    <row r="1099" spans="1:1" x14ac:dyDescent="0.2">
      <c r="A1099" s="172"/>
    </row>
    <row r="1100" spans="1:1" x14ac:dyDescent="0.2">
      <c r="A1100" s="172"/>
    </row>
    <row r="1101" spans="1:1" x14ac:dyDescent="0.2">
      <c r="A1101" s="172"/>
    </row>
    <row r="1102" spans="1:1" x14ac:dyDescent="0.2">
      <c r="A1102" s="172"/>
    </row>
    <row r="1103" spans="1:1" x14ac:dyDescent="0.2">
      <c r="A1103" s="172"/>
    </row>
    <row r="1104" spans="1:1" x14ac:dyDescent="0.2">
      <c r="A1104" s="172"/>
    </row>
    <row r="1105" spans="1:1" x14ac:dyDescent="0.2">
      <c r="A1105" s="172"/>
    </row>
    <row r="1106" spans="1:1" x14ac:dyDescent="0.2">
      <c r="A1106" s="172"/>
    </row>
    <row r="1107" spans="1:1" x14ac:dyDescent="0.2">
      <c r="A1107" s="172"/>
    </row>
    <row r="1108" spans="1:1" x14ac:dyDescent="0.2">
      <c r="A1108" s="172"/>
    </row>
    <row r="1109" spans="1:1" x14ac:dyDescent="0.2">
      <c r="A1109" s="172"/>
    </row>
    <row r="1110" spans="1:1" x14ac:dyDescent="0.2">
      <c r="A1110" s="172"/>
    </row>
    <row r="1111" spans="1:1" x14ac:dyDescent="0.2">
      <c r="A1111" s="172"/>
    </row>
    <row r="1112" spans="1:1" x14ac:dyDescent="0.2">
      <c r="A1112" s="172"/>
    </row>
    <row r="1113" spans="1:1" x14ac:dyDescent="0.2">
      <c r="A1113" s="172"/>
    </row>
    <row r="1114" spans="1:1" x14ac:dyDescent="0.2">
      <c r="A1114" s="172"/>
    </row>
    <row r="1115" spans="1:1" x14ac:dyDescent="0.2">
      <c r="A1115" s="172"/>
    </row>
    <row r="1116" spans="1:1" x14ac:dyDescent="0.2">
      <c r="A1116" s="172"/>
    </row>
    <row r="1117" spans="1:1" x14ac:dyDescent="0.2">
      <c r="A1117" s="172"/>
    </row>
    <row r="1118" spans="1:1" x14ac:dyDescent="0.2">
      <c r="A1118" s="172"/>
    </row>
    <row r="1119" spans="1:1" x14ac:dyDescent="0.2">
      <c r="A1119" s="172"/>
    </row>
    <row r="1120" spans="1:1" x14ac:dyDescent="0.2">
      <c r="A1120" s="172"/>
    </row>
    <row r="1121" spans="1:1" x14ac:dyDescent="0.2">
      <c r="A1121" s="172"/>
    </row>
    <row r="1122" spans="1:1" x14ac:dyDescent="0.2">
      <c r="A1122" s="172"/>
    </row>
    <row r="1123" spans="1:1" x14ac:dyDescent="0.2">
      <c r="A1123" s="172"/>
    </row>
    <row r="1124" spans="1:1" x14ac:dyDescent="0.2">
      <c r="A1124" s="172"/>
    </row>
    <row r="1125" spans="1:1" x14ac:dyDescent="0.2">
      <c r="A1125" s="172"/>
    </row>
    <row r="1126" spans="1:1" x14ac:dyDescent="0.2">
      <c r="A1126" s="172"/>
    </row>
    <row r="1127" spans="1:1" x14ac:dyDescent="0.2">
      <c r="A1127" s="172"/>
    </row>
    <row r="1128" spans="1:1" x14ac:dyDescent="0.2">
      <c r="A1128" s="172"/>
    </row>
    <row r="1129" spans="1:1" x14ac:dyDescent="0.2">
      <c r="A1129" s="172"/>
    </row>
    <row r="1130" spans="1:1" x14ac:dyDescent="0.2">
      <c r="A1130" s="172"/>
    </row>
    <row r="1131" spans="1:1" x14ac:dyDescent="0.2">
      <c r="A1131" s="172"/>
    </row>
    <row r="1132" spans="1:1" x14ac:dyDescent="0.2">
      <c r="A1132" s="172"/>
    </row>
    <row r="1133" spans="1:1" x14ac:dyDescent="0.2">
      <c r="A1133" s="172"/>
    </row>
    <row r="1134" spans="1:1" x14ac:dyDescent="0.2">
      <c r="A1134" s="172"/>
    </row>
    <row r="1135" spans="1:1" x14ac:dyDescent="0.2">
      <c r="A1135" s="172"/>
    </row>
    <row r="1136" spans="1:1" x14ac:dyDescent="0.2">
      <c r="A1136" s="172"/>
    </row>
    <row r="1137" spans="1:1" x14ac:dyDescent="0.2">
      <c r="A1137" s="172"/>
    </row>
    <row r="1138" spans="1:1" x14ac:dyDescent="0.2">
      <c r="A1138" s="172"/>
    </row>
    <row r="1139" spans="1:1" x14ac:dyDescent="0.2">
      <c r="A1139" s="172"/>
    </row>
    <row r="1140" spans="1:1" x14ac:dyDescent="0.2">
      <c r="A1140" s="172"/>
    </row>
    <row r="1141" spans="1:1" x14ac:dyDescent="0.2">
      <c r="A1141" s="172"/>
    </row>
    <row r="1142" spans="1:1" x14ac:dyDescent="0.2">
      <c r="A1142" s="172"/>
    </row>
    <row r="1143" spans="1:1" x14ac:dyDescent="0.2">
      <c r="A1143" s="172"/>
    </row>
    <row r="1144" spans="1:1" x14ac:dyDescent="0.2">
      <c r="A1144" s="172"/>
    </row>
    <row r="1145" spans="1:1" x14ac:dyDescent="0.2">
      <c r="A1145" s="172"/>
    </row>
    <row r="1146" spans="1:1" x14ac:dyDescent="0.2">
      <c r="A1146" s="172"/>
    </row>
    <row r="1147" spans="1:1" x14ac:dyDescent="0.2">
      <c r="A1147" s="172"/>
    </row>
    <row r="1148" spans="1:1" x14ac:dyDescent="0.2">
      <c r="A1148" s="172"/>
    </row>
    <row r="1149" spans="1:1" x14ac:dyDescent="0.2">
      <c r="A1149" s="172"/>
    </row>
    <row r="1150" spans="1:1" x14ac:dyDescent="0.2">
      <c r="A1150" s="172"/>
    </row>
    <row r="1151" spans="1:1" x14ac:dyDescent="0.2">
      <c r="A1151" s="172"/>
    </row>
    <row r="1152" spans="1:1" x14ac:dyDescent="0.2">
      <c r="A1152" s="172"/>
    </row>
    <row r="1153" spans="1:1" x14ac:dyDescent="0.2">
      <c r="A1153" s="172"/>
    </row>
    <row r="1154" spans="1:1" x14ac:dyDescent="0.2">
      <c r="A1154" s="172"/>
    </row>
    <row r="1155" spans="1:1" x14ac:dyDescent="0.2">
      <c r="A1155" s="172"/>
    </row>
    <row r="1156" spans="1:1" x14ac:dyDescent="0.2">
      <c r="A1156" s="172"/>
    </row>
    <row r="1157" spans="1:1" x14ac:dyDescent="0.2">
      <c r="A1157" s="172"/>
    </row>
    <row r="1158" spans="1:1" x14ac:dyDescent="0.2">
      <c r="A1158" s="172"/>
    </row>
    <row r="1159" spans="1:1" x14ac:dyDescent="0.2">
      <c r="A1159" s="172"/>
    </row>
    <row r="1160" spans="1:1" x14ac:dyDescent="0.2">
      <c r="A1160" s="172"/>
    </row>
    <row r="1161" spans="1:1" x14ac:dyDescent="0.2">
      <c r="A1161" s="172"/>
    </row>
    <row r="1162" spans="1:1" x14ac:dyDescent="0.2">
      <c r="A1162" s="172"/>
    </row>
    <row r="1163" spans="1:1" x14ac:dyDescent="0.2">
      <c r="A1163" s="172"/>
    </row>
    <row r="1164" spans="1:1" x14ac:dyDescent="0.2">
      <c r="A1164" s="172"/>
    </row>
    <row r="1165" spans="1:1" x14ac:dyDescent="0.2">
      <c r="A1165" s="172"/>
    </row>
    <row r="1166" spans="1:1" x14ac:dyDescent="0.2">
      <c r="A1166" s="172"/>
    </row>
    <row r="1167" spans="1:1" x14ac:dyDescent="0.2">
      <c r="A1167" s="172"/>
    </row>
    <row r="1168" spans="1:1" x14ac:dyDescent="0.2">
      <c r="A1168" s="172"/>
    </row>
    <row r="1169" spans="1:1" x14ac:dyDescent="0.2">
      <c r="A1169" s="172"/>
    </row>
    <row r="1170" spans="1:1" x14ac:dyDescent="0.2">
      <c r="A1170" s="172"/>
    </row>
    <row r="1171" spans="1:1" x14ac:dyDescent="0.2">
      <c r="A1171" s="172"/>
    </row>
    <row r="1172" spans="1:1" x14ac:dyDescent="0.2">
      <c r="A1172" s="172"/>
    </row>
    <row r="1173" spans="1:1" x14ac:dyDescent="0.2">
      <c r="A1173" s="172"/>
    </row>
    <row r="1174" spans="1:1" x14ac:dyDescent="0.2">
      <c r="A1174" s="172"/>
    </row>
    <row r="1175" spans="1:1" x14ac:dyDescent="0.2">
      <c r="A1175" s="172"/>
    </row>
    <row r="1176" spans="1:1" x14ac:dyDescent="0.2">
      <c r="A1176" s="172"/>
    </row>
    <row r="1177" spans="1:1" x14ac:dyDescent="0.2">
      <c r="A1177" s="172"/>
    </row>
    <row r="1178" spans="1:1" x14ac:dyDescent="0.2">
      <c r="A1178" s="172"/>
    </row>
    <row r="1179" spans="1:1" x14ac:dyDescent="0.2">
      <c r="A1179" s="172"/>
    </row>
    <row r="1180" spans="1:1" x14ac:dyDescent="0.2">
      <c r="A1180" s="172"/>
    </row>
    <row r="1181" spans="1:1" x14ac:dyDescent="0.2">
      <c r="A1181" s="172"/>
    </row>
    <row r="1182" spans="1:1" x14ac:dyDescent="0.2">
      <c r="A1182" s="172"/>
    </row>
    <row r="1183" spans="1:1" x14ac:dyDescent="0.2">
      <c r="A1183" s="172"/>
    </row>
    <row r="1184" spans="1:1" x14ac:dyDescent="0.2">
      <c r="A1184" s="172"/>
    </row>
    <row r="1185" spans="1:1" x14ac:dyDescent="0.2">
      <c r="A1185" s="172"/>
    </row>
    <row r="1186" spans="1:1" x14ac:dyDescent="0.2">
      <c r="A1186" s="172"/>
    </row>
    <row r="1187" spans="1:1" x14ac:dyDescent="0.2">
      <c r="A1187" s="172"/>
    </row>
    <row r="1188" spans="1:1" x14ac:dyDescent="0.2">
      <c r="A1188" s="172"/>
    </row>
    <row r="1189" spans="1:1" x14ac:dyDescent="0.2">
      <c r="A1189" s="172"/>
    </row>
    <row r="1190" spans="1:1" x14ac:dyDescent="0.2">
      <c r="A1190" s="172"/>
    </row>
    <row r="1191" spans="1:1" x14ac:dyDescent="0.2">
      <c r="A1191" s="172"/>
    </row>
    <row r="1192" spans="1:1" x14ac:dyDescent="0.2">
      <c r="A1192" s="172"/>
    </row>
    <row r="1193" spans="1:1" x14ac:dyDescent="0.2">
      <c r="A1193" s="172"/>
    </row>
    <row r="1194" spans="1:1" x14ac:dyDescent="0.2">
      <c r="A1194" s="172"/>
    </row>
    <row r="1195" spans="1:1" x14ac:dyDescent="0.2">
      <c r="A1195" s="172"/>
    </row>
    <row r="1196" spans="1:1" x14ac:dyDescent="0.2">
      <c r="A1196" s="172"/>
    </row>
    <row r="1197" spans="1:1" x14ac:dyDescent="0.2">
      <c r="A1197" s="172"/>
    </row>
    <row r="1198" spans="1:1" x14ac:dyDescent="0.2">
      <c r="A1198" s="172"/>
    </row>
    <row r="1199" spans="1:1" x14ac:dyDescent="0.2">
      <c r="A1199" s="172"/>
    </row>
    <row r="1200" spans="1:1" x14ac:dyDescent="0.2">
      <c r="A1200" s="172"/>
    </row>
    <row r="1201" spans="1:1" x14ac:dyDescent="0.2">
      <c r="A1201" s="172"/>
    </row>
    <row r="1202" spans="1:1" x14ac:dyDescent="0.2">
      <c r="A1202" s="172"/>
    </row>
    <row r="1203" spans="1:1" x14ac:dyDescent="0.2">
      <c r="A1203" s="172"/>
    </row>
    <row r="1204" spans="1:1" x14ac:dyDescent="0.2">
      <c r="A1204" s="172"/>
    </row>
    <row r="1205" spans="1:1" x14ac:dyDescent="0.2">
      <c r="A1205" s="172"/>
    </row>
    <row r="1206" spans="1:1" x14ac:dyDescent="0.2">
      <c r="A1206" s="172"/>
    </row>
    <row r="1207" spans="1:1" x14ac:dyDescent="0.2">
      <c r="A1207" s="172"/>
    </row>
    <row r="1208" spans="1:1" x14ac:dyDescent="0.2">
      <c r="A1208" s="172"/>
    </row>
    <row r="1209" spans="1:1" x14ac:dyDescent="0.2">
      <c r="A1209" s="172"/>
    </row>
    <row r="1210" spans="1:1" x14ac:dyDescent="0.2">
      <c r="A1210" s="172"/>
    </row>
    <row r="1211" spans="1:1" x14ac:dyDescent="0.2">
      <c r="A1211" s="172"/>
    </row>
    <row r="1212" spans="1:1" x14ac:dyDescent="0.2">
      <c r="A1212" s="172"/>
    </row>
    <row r="1213" spans="1:1" x14ac:dyDescent="0.2">
      <c r="A1213" s="172"/>
    </row>
    <row r="1214" spans="1:1" x14ac:dyDescent="0.2">
      <c r="A1214" s="172"/>
    </row>
    <row r="1215" spans="1:1" x14ac:dyDescent="0.2">
      <c r="A1215" s="172"/>
    </row>
    <row r="1216" spans="1:1" x14ac:dyDescent="0.2">
      <c r="A1216" s="172"/>
    </row>
    <row r="1217" spans="1:1" x14ac:dyDescent="0.2">
      <c r="A1217" s="172"/>
    </row>
    <row r="1218" spans="1:1" x14ac:dyDescent="0.2">
      <c r="A1218" s="172"/>
    </row>
    <row r="1219" spans="1:1" x14ac:dyDescent="0.2">
      <c r="A1219" s="172"/>
    </row>
    <row r="1220" spans="1:1" x14ac:dyDescent="0.2">
      <c r="A1220" s="172"/>
    </row>
    <row r="1221" spans="1:1" x14ac:dyDescent="0.2">
      <c r="A1221" s="172"/>
    </row>
    <row r="1222" spans="1:1" x14ac:dyDescent="0.2">
      <c r="A1222" s="172"/>
    </row>
    <row r="1223" spans="1:1" x14ac:dyDescent="0.2">
      <c r="A1223" s="172"/>
    </row>
    <row r="1224" spans="1:1" x14ac:dyDescent="0.2">
      <c r="A1224" s="172"/>
    </row>
    <row r="1225" spans="1:1" x14ac:dyDescent="0.2">
      <c r="A1225" s="172"/>
    </row>
    <row r="1226" spans="1:1" x14ac:dyDescent="0.2">
      <c r="A1226" s="172"/>
    </row>
    <row r="1227" spans="1:1" x14ac:dyDescent="0.2">
      <c r="A1227" s="172"/>
    </row>
    <row r="1228" spans="1:1" x14ac:dyDescent="0.2">
      <c r="A1228" s="172"/>
    </row>
    <row r="1229" spans="1:1" x14ac:dyDescent="0.2">
      <c r="A1229" s="172"/>
    </row>
    <row r="1230" spans="1:1" x14ac:dyDescent="0.2">
      <c r="A1230" s="172"/>
    </row>
    <row r="1231" spans="1:1" x14ac:dyDescent="0.2">
      <c r="A1231" s="172"/>
    </row>
    <row r="1232" spans="1:1" x14ac:dyDescent="0.2">
      <c r="A1232" s="172"/>
    </row>
    <row r="1233" spans="1:1" x14ac:dyDescent="0.2">
      <c r="A1233" s="172"/>
    </row>
    <row r="1234" spans="1:1" x14ac:dyDescent="0.2">
      <c r="A1234" s="172"/>
    </row>
    <row r="1235" spans="1:1" x14ac:dyDescent="0.2">
      <c r="A1235" s="172"/>
    </row>
    <row r="1236" spans="1:1" x14ac:dyDescent="0.2">
      <c r="A1236" s="172"/>
    </row>
    <row r="1237" spans="1:1" x14ac:dyDescent="0.2">
      <c r="A1237" s="172"/>
    </row>
    <row r="1238" spans="1:1" x14ac:dyDescent="0.2">
      <c r="A1238" s="172"/>
    </row>
    <row r="1239" spans="1:1" x14ac:dyDescent="0.2">
      <c r="A1239" s="172"/>
    </row>
    <row r="1240" spans="1:1" x14ac:dyDescent="0.2">
      <c r="A1240" s="172"/>
    </row>
    <row r="1241" spans="1:1" x14ac:dyDescent="0.2">
      <c r="A1241" s="172"/>
    </row>
    <row r="1242" spans="1:1" x14ac:dyDescent="0.2">
      <c r="A1242" s="172"/>
    </row>
    <row r="1243" spans="1:1" x14ac:dyDescent="0.2">
      <c r="A1243" s="172"/>
    </row>
    <row r="1244" spans="1:1" x14ac:dyDescent="0.2">
      <c r="A1244" s="172"/>
    </row>
    <row r="1245" spans="1:1" x14ac:dyDescent="0.2">
      <c r="A1245" s="172"/>
    </row>
    <row r="1246" spans="1:1" x14ac:dyDescent="0.2">
      <c r="A1246" s="172"/>
    </row>
    <row r="1247" spans="1:1" x14ac:dyDescent="0.2">
      <c r="A1247" s="172"/>
    </row>
    <row r="1248" spans="1:1" x14ac:dyDescent="0.2">
      <c r="A1248" s="172"/>
    </row>
    <row r="1249" spans="1:1" x14ac:dyDescent="0.2">
      <c r="A1249" s="172"/>
    </row>
    <row r="1250" spans="1:1" x14ac:dyDescent="0.2">
      <c r="A1250" s="172"/>
    </row>
    <row r="1251" spans="1:1" x14ac:dyDescent="0.2">
      <c r="A1251" s="172"/>
    </row>
    <row r="1252" spans="1:1" x14ac:dyDescent="0.2">
      <c r="A1252" s="172"/>
    </row>
    <row r="1253" spans="1:1" x14ac:dyDescent="0.2">
      <c r="A1253" s="172"/>
    </row>
    <row r="1254" spans="1:1" x14ac:dyDescent="0.2">
      <c r="A1254" s="172"/>
    </row>
    <row r="1255" spans="1:1" x14ac:dyDescent="0.2">
      <c r="A1255" s="172"/>
    </row>
    <row r="1256" spans="1:1" x14ac:dyDescent="0.2">
      <c r="A1256" s="172"/>
    </row>
    <row r="1257" spans="1:1" x14ac:dyDescent="0.2">
      <c r="A1257" s="172"/>
    </row>
    <row r="1258" spans="1:1" x14ac:dyDescent="0.2">
      <c r="A1258" s="172"/>
    </row>
    <row r="1259" spans="1:1" x14ac:dyDescent="0.2">
      <c r="A1259" s="172"/>
    </row>
    <row r="1260" spans="1:1" x14ac:dyDescent="0.2">
      <c r="A1260" s="172"/>
    </row>
    <row r="1261" spans="1:1" x14ac:dyDescent="0.2">
      <c r="A1261" s="172"/>
    </row>
    <row r="1262" spans="1:1" x14ac:dyDescent="0.2">
      <c r="A1262" s="172"/>
    </row>
    <row r="1263" spans="1:1" x14ac:dyDescent="0.2">
      <c r="A1263" s="172"/>
    </row>
    <row r="1264" spans="1:1" x14ac:dyDescent="0.2">
      <c r="A1264" s="172"/>
    </row>
    <row r="1265" spans="1:1" x14ac:dyDescent="0.2">
      <c r="A1265" s="172"/>
    </row>
    <row r="1266" spans="1:1" x14ac:dyDescent="0.2">
      <c r="A1266" s="172"/>
    </row>
    <row r="1267" spans="1:1" x14ac:dyDescent="0.2">
      <c r="A1267" s="172"/>
    </row>
    <row r="1268" spans="1:1" x14ac:dyDescent="0.2">
      <c r="A1268" s="172"/>
    </row>
    <row r="1269" spans="1:1" x14ac:dyDescent="0.2">
      <c r="A1269" s="172"/>
    </row>
    <row r="1270" spans="1:1" x14ac:dyDescent="0.2">
      <c r="A1270" s="172"/>
    </row>
    <row r="1271" spans="1:1" x14ac:dyDescent="0.2">
      <c r="A1271" s="172"/>
    </row>
    <row r="1272" spans="1:1" x14ac:dyDescent="0.2">
      <c r="A1272" s="172"/>
    </row>
    <row r="1273" spans="1:1" x14ac:dyDescent="0.2">
      <c r="A1273" s="172"/>
    </row>
    <row r="1274" spans="1:1" x14ac:dyDescent="0.2">
      <c r="A1274" s="172"/>
    </row>
    <row r="1275" spans="1:1" x14ac:dyDescent="0.2">
      <c r="A1275" s="172"/>
    </row>
    <row r="1276" spans="1:1" x14ac:dyDescent="0.2">
      <c r="A1276" s="172"/>
    </row>
    <row r="1277" spans="1:1" x14ac:dyDescent="0.2">
      <c r="A1277" s="172"/>
    </row>
    <row r="1278" spans="1:1" x14ac:dyDescent="0.2">
      <c r="A1278" s="172"/>
    </row>
    <row r="1279" spans="1:1" x14ac:dyDescent="0.2">
      <c r="A1279" s="172"/>
    </row>
    <row r="1280" spans="1:1" x14ac:dyDescent="0.2">
      <c r="A1280" s="172"/>
    </row>
    <row r="1281" spans="1:1" x14ac:dyDescent="0.2">
      <c r="A1281" s="172"/>
    </row>
    <row r="1282" spans="1:1" x14ac:dyDescent="0.2">
      <c r="A1282" s="172"/>
    </row>
    <row r="1283" spans="1:1" x14ac:dyDescent="0.2">
      <c r="A1283" s="172"/>
    </row>
    <row r="1284" spans="1:1" x14ac:dyDescent="0.2">
      <c r="A1284" s="172"/>
    </row>
    <row r="1285" spans="1:1" x14ac:dyDescent="0.2">
      <c r="A1285" s="172"/>
    </row>
    <row r="1286" spans="1:1" x14ac:dyDescent="0.2">
      <c r="A1286" s="172"/>
    </row>
    <row r="1287" spans="1:1" x14ac:dyDescent="0.2">
      <c r="A1287" s="172"/>
    </row>
    <row r="1288" spans="1:1" x14ac:dyDescent="0.2">
      <c r="A1288" s="172"/>
    </row>
    <row r="1289" spans="1:1" x14ac:dyDescent="0.2">
      <c r="A1289" s="172"/>
    </row>
    <row r="1290" spans="1:1" x14ac:dyDescent="0.2">
      <c r="A1290" s="172"/>
    </row>
    <row r="1291" spans="1:1" x14ac:dyDescent="0.2">
      <c r="A1291" s="172"/>
    </row>
    <row r="1292" spans="1:1" x14ac:dyDescent="0.2">
      <c r="A1292" s="172"/>
    </row>
    <row r="1293" spans="1:1" x14ac:dyDescent="0.2">
      <c r="A1293" s="172"/>
    </row>
    <row r="1294" spans="1:1" x14ac:dyDescent="0.2">
      <c r="A1294" s="172"/>
    </row>
    <row r="1295" spans="1:1" x14ac:dyDescent="0.2">
      <c r="A1295" s="172"/>
    </row>
    <row r="1296" spans="1:1" x14ac:dyDescent="0.2">
      <c r="A1296" s="172"/>
    </row>
    <row r="1297" spans="1:1" x14ac:dyDescent="0.2">
      <c r="A1297" s="172"/>
    </row>
    <row r="1298" spans="1:1" x14ac:dyDescent="0.2">
      <c r="A1298" s="172"/>
    </row>
    <row r="1299" spans="1:1" x14ac:dyDescent="0.2">
      <c r="A1299" s="172"/>
    </row>
    <row r="1300" spans="1:1" x14ac:dyDescent="0.2">
      <c r="A1300" s="172"/>
    </row>
    <row r="1301" spans="1:1" x14ac:dyDescent="0.2">
      <c r="A1301" s="172"/>
    </row>
    <row r="1302" spans="1:1" x14ac:dyDescent="0.2">
      <c r="A1302" s="172"/>
    </row>
    <row r="1303" spans="1:1" x14ac:dyDescent="0.2">
      <c r="A1303" s="172"/>
    </row>
    <row r="1304" spans="1:1" x14ac:dyDescent="0.2">
      <c r="A1304" s="172"/>
    </row>
    <row r="1305" spans="1:1" x14ac:dyDescent="0.2">
      <c r="A1305" s="172"/>
    </row>
    <row r="1306" spans="1:1" x14ac:dyDescent="0.2">
      <c r="A1306" s="172"/>
    </row>
    <row r="1307" spans="1:1" x14ac:dyDescent="0.2">
      <c r="A1307" s="172"/>
    </row>
    <row r="1308" spans="1:1" x14ac:dyDescent="0.2">
      <c r="A1308" s="172"/>
    </row>
    <row r="1309" spans="1:1" x14ac:dyDescent="0.2">
      <c r="A1309" s="172"/>
    </row>
    <row r="1310" spans="1:1" x14ac:dyDescent="0.2">
      <c r="A1310" s="172"/>
    </row>
    <row r="1311" spans="1:1" x14ac:dyDescent="0.2">
      <c r="A1311" s="172"/>
    </row>
    <row r="1312" spans="1:1" x14ac:dyDescent="0.2">
      <c r="A1312" s="172"/>
    </row>
    <row r="1313" spans="1:1" x14ac:dyDescent="0.2">
      <c r="A1313" s="172"/>
    </row>
    <row r="1314" spans="1:1" x14ac:dyDescent="0.2">
      <c r="A1314" s="172"/>
    </row>
    <row r="1315" spans="1:1" x14ac:dyDescent="0.2">
      <c r="A1315" s="172"/>
    </row>
    <row r="1316" spans="1:1" x14ac:dyDescent="0.2">
      <c r="A1316" s="172"/>
    </row>
    <row r="1317" spans="1:1" x14ac:dyDescent="0.2">
      <c r="A1317" s="172"/>
    </row>
    <row r="1318" spans="1:1" x14ac:dyDescent="0.2">
      <c r="A1318" s="172"/>
    </row>
    <row r="1319" spans="1:1" x14ac:dyDescent="0.2">
      <c r="A1319" s="172"/>
    </row>
    <row r="1320" spans="1:1" x14ac:dyDescent="0.2">
      <c r="A1320" s="172"/>
    </row>
    <row r="1321" spans="1:1" x14ac:dyDescent="0.2">
      <c r="A1321" s="172"/>
    </row>
    <row r="1322" spans="1:1" x14ac:dyDescent="0.2">
      <c r="A1322" s="172"/>
    </row>
    <row r="1323" spans="1:1" x14ac:dyDescent="0.2">
      <c r="A1323" s="172"/>
    </row>
    <row r="1324" spans="1:1" x14ac:dyDescent="0.2">
      <c r="A1324" s="172"/>
    </row>
    <row r="1325" spans="1:1" x14ac:dyDescent="0.2">
      <c r="A1325" s="172"/>
    </row>
    <row r="1326" spans="1:1" x14ac:dyDescent="0.2">
      <c r="A1326" s="172"/>
    </row>
    <row r="1327" spans="1:1" x14ac:dyDescent="0.2">
      <c r="A1327" s="172"/>
    </row>
    <row r="1328" spans="1:1" x14ac:dyDescent="0.2">
      <c r="A1328" s="172"/>
    </row>
    <row r="1329" spans="1:1" x14ac:dyDescent="0.2">
      <c r="A1329" s="172"/>
    </row>
    <row r="1330" spans="1:1" x14ac:dyDescent="0.2">
      <c r="A1330" s="172"/>
    </row>
    <row r="1331" spans="1:1" x14ac:dyDescent="0.2">
      <c r="A1331" s="172"/>
    </row>
    <row r="1332" spans="1:1" x14ac:dyDescent="0.2">
      <c r="A1332" s="172"/>
    </row>
    <row r="1333" spans="1:1" x14ac:dyDescent="0.2">
      <c r="A1333" s="172"/>
    </row>
    <row r="1334" spans="1:1" x14ac:dyDescent="0.2">
      <c r="A1334" s="172"/>
    </row>
    <row r="1335" spans="1:1" x14ac:dyDescent="0.2">
      <c r="A1335" s="172"/>
    </row>
    <row r="1336" spans="1:1" x14ac:dyDescent="0.2">
      <c r="A1336" s="172"/>
    </row>
    <row r="1337" spans="1:1" x14ac:dyDescent="0.2">
      <c r="A1337" s="172"/>
    </row>
    <row r="1338" spans="1:1" x14ac:dyDescent="0.2">
      <c r="A1338" s="172"/>
    </row>
    <row r="1339" spans="1:1" x14ac:dyDescent="0.2">
      <c r="A1339" s="172"/>
    </row>
    <row r="1340" spans="1:1" x14ac:dyDescent="0.2">
      <c r="A1340" s="172"/>
    </row>
    <row r="1341" spans="1:1" x14ac:dyDescent="0.2">
      <c r="A1341" s="172"/>
    </row>
    <row r="1342" spans="1:1" x14ac:dyDescent="0.2">
      <c r="A1342" s="172"/>
    </row>
    <row r="1343" spans="1:1" x14ac:dyDescent="0.2">
      <c r="A1343" s="172"/>
    </row>
    <row r="1344" spans="1:1" x14ac:dyDescent="0.2">
      <c r="A1344" s="172"/>
    </row>
    <row r="1345" spans="1:1" x14ac:dyDescent="0.2">
      <c r="A1345" s="172"/>
    </row>
    <row r="1346" spans="1:1" x14ac:dyDescent="0.2">
      <c r="A1346" s="172"/>
    </row>
    <row r="1347" spans="1:1" x14ac:dyDescent="0.2">
      <c r="A1347" s="172"/>
    </row>
    <row r="1348" spans="1:1" x14ac:dyDescent="0.2">
      <c r="A1348" s="172"/>
    </row>
    <row r="1349" spans="1:1" x14ac:dyDescent="0.2">
      <c r="A1349" s="172"/>
    </row>
    <row r="1350" spans="1:1" x14ac:dyDescent="0.2">
      <c r="A1350" s="172"/>
    </row>
    <row r="1351" spans="1:1" x14ac:dyDescent="0.2">
      <c r="A1351" s="172"/>
    </row>
    <row r="1352" spans="1:1" x14ac:dyDescent="0.2">
      <c r="A1352" s="172"/>
    </row>
    <row r="1353" spans="1:1" x14ac:dyDescent="0.2">
      <c r="A1353" s="172"/>
    </row>
    <row r="1354" spans="1:1" x14ac:dyDescent="0.2">
      <c r="A1354" s="172"/>
    </row>
    <row r="1355" spans="1:1" x14ac:dyDescent="0.2">
      <c r="A1355" s="172"/>
    </row>
    <row r="1356" spans="1:1" x14ac:dyDescent="0.2">
      <c r="A1356" s="172"/>
    </row>
    <row r="1357" spans="1:1" x14ac:dyDescent="0.2">
      <c r="A1357" s="172"/>
    </row>
    <row r="1358" spans="1:1" x14ac:dyDescent="0.2">
      <c r="A1358" s="172"/>
    </row>
    <row r="1359" spans="1:1" x14ac:dyDescent="0.2">
      <c r="A1359" s="172"/>
    </row>
    <row r="1360" spans="1:1" x14ac:dyDescent="0.2">
      <c r="A1360" s="172"/>
    </row>
    <row r="1361" spans="1:1" x14ac:dyDescent="0.2">
      <c r="A1361" s="172"/>
    </row>
    <row r="1362" spans="1:1" x14ac:dyDescent="0.2">
      <c r="A1362" s="172"/>
    </row>
    <row r="1363" spans="1:1" x14ac:dyDescent="0.2">
      <c r="A1363" s="172"/>
    </row>
    <row r="1364" spans="1:1" x14ac:dyDescent="0.2">
      <c r="A1364" s="172"/>
    </row>
    <row r="1365" spans="1:1" x14ac:dyDescent="0.2">
      <c r="A1365" s="172"/>
    </row>
    <row r="1366" spans="1:1" x14ac:dyDescent="0.2">
      <c r="A1366" s="172"/>
    </row>
    <row r="1367" spans="1:1" x14ac:dyDescent="0.2">
      <c r="A1367" s="172"/>
    </row>
    <row r="1368" spans="1:1" x14ac:dyDescent="0.2">
      <c r="A1368" s="172"/>
    </row>
    <row r="1369" spans="1:1" x14ac:dyDescent="0.2">
      <c r="A1369" s="172"/>
    </row>
    <row r="1370" spans="1:1" x14ac:dyDescent="0.2">
      <c r="A1370" s="172"/>
    </row>
    <row r="1371" spans="1:1" x14ac:dyDescent="0.2">
      <c r="A1371" s="172"/>
    </row>
    <row r="1372" spans="1:1" x14ac:dyDescent="0.2">
      <c r="A1372" s="172"/>
    </row>
    <row r="1373" spans="1:1" x14ac:dyDescent="0.2">
      <c r="A1373" s="172"/>
    </row>
    <row r="1374" spans="1:1" x14ac:dyDescent="0.2">
      <c r="A1374" s="172"/>
    </row>
    <row r="1375" spans="1:1" x14ac:dyDescent="0.2">
      <c r="A1375" s="172"/>
    </row>
    <row r="1376" spans="1:1" x14ac:dyDescent="0.2">
      <c r="A1376" s="172"/>
    </row>
    <row r="1377" spans="1:1" x14ac:dyDescent="0.2">
      <c r="A1377" s="172"/>
    </row>
    <row r="1378" spans="1:1" x14ac:dyDescent="0.2">
      <c r="A1378" s="172"/>
    </row>
    <row r="1379" spans="1:1" x14ac:dyDescent="0.2">
      <c r="A1379" s="172"/>
    </row>
  </sheetData>
  <mergeCells count="11">
    <mergeCell ref="A48:B48"/>
    <mergeCell ref="A4:D4"/>
    <mergeCell ref="A6:A7"/>
    <mergeCell ref="B6:B7"/>
    <mergeCell ref="C6:C7"/>
    <mergeCell ref="D6:D7"/>
    <mergeCell ref="A21:B21"/>
    <mergeCell ref="A27:B27"/>
    <mergeCell ref="A14:B14"/>
    <mergeCell ref="A41:B41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37" orientation="portrait" r:id="rId1"/>
  <headerFooter>
    <oddHeader>&amp;CTaksony Nagyközség Önkormányzat 2018. évi zárszámadás&amp;R12.sz. melléklet</oddHeader>
    <oddFooter xml:space="preserve">&amp;LKészült: &amp;D
&amp;C&amp;P&amp;R/:Kreisz László://:Dr.Micheller Anita:/
/:Szelecki N.Andrea:/      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6"/>
  <sheetViews>
    <sheetView view="pageBreakPreview" topLeftCell="A6" zoomScaleNormal="100" zoomScaleSheetLayoutView="100" workbookViewId="0">
      <pane ySplit="4" topLeftCell="A10" activePane="bottomLeft" state="frozen"/>
      <selection activeCell="L86" sqref="L86"/>
      <selection pane="bottomLeft" activeCell="L86" sqref="L86"/>
    </sheetView>
  </sheetViews>
  <sheetFormatPr defaultRowHeight="12.75" x14ac:dyDescent="0.2"/>
  <cols>
    <col min="1" max="1" width="33.42578125" style="210" customWidth="1"/>
    <col min="2" max="2" width="12.28515625" style="210" customWidth="1"/>
    <col min="3" max="3" width="11.7109375" style="210" customWidth="1"/>
    <col min="4" max="4" width="14.28515625" style="176" bestFit="1" customWidth="1"/>
    <col min="5" max="6" width="14.28515625" style="176" customWidth="1"/>
    <col min="7" max="7" width="4.140625" style="210" customWidth="1"/>
    <col min="8" max="8" width="42.5703125" style="210" customWidth="1"/>
    <col min="9" max="9" width="12.140625" style="210" customWidth="1"/>
    <col min="10" max="10" width="11" style="210" customWidth="1"/>
    <col min="11" max="11" width="14.7109375" style="176" customWidth="1"/>
    <col min="12" max="12" width="12.5703125" style="210" customWidth="1"/>
    <col min="13" max="13" width="13" style="210" customWidth="1"/>
    <col min="14" max="16384" width="9.140625" style="210"/>
  </cols>
  <sheetData>
    <row r="4" spans="1:13" ht="30" customHeight="1" x14ac:dyDescent="0.25">
      <c r="A4" s="891" t="s">
        <v>565</v>
      </c>
      <c r="B4" s="891"/>
      <c r="C4" s="891"/>
      <c r="D4" s="891"/>
      <c r="E4" s="438"/>
      <c r="F4" s="438"/>
    </row>
    <row r="5" spans="1:13" s="179" customFormat="1" x14ac:dyDescent="0.2">
      <c r="A5" s="177"/>
      <c r="B5" s="177"/>
      <c r="C5" s="177"/>
      <c r="D5" s="178"/>
      <c r="E5" s="178"/>
      <c r="F5" s="178"/>
      <c r="K5" s="180"/>
    </row>
    <row r="6" spans="1:13" s="181" customFormat="1" ht="15.75" x14ac:dyDescent="0.25">
      <c r="A6" s="182" t="s">
        <v>159</v>
      </c>
      <c r="B6" s="182"/>
      <c r="C6" s="182"/>
      <c r="D6" s="182"/>
      <c r="E6" s="182"/>
      <c r="F6" s="182"/>
      <c r="H6" s="182" t="s">
        <v>566</v>
      </c>
      <c r="I6" s="182"/>
      <c r="J6" s="182"/>
      <c r="K6" s="182"/>
    </row>
    <row r="7" spans="1:13" s="183" customFormat="1" ht="13.5" thickBot="1" x14ac:dyDescent="0.25">
      <c r="D7" s="184"/>
      <c r="E7" s="184"/>
      <c r="F7" s="184"/>
      <c r="K7" s="202"/>
      <c r="M7" s="183" t="s">
        <v>754</v>
      </c>
    </row>
    <row r="8" spans="1:13" ht="24.75" customHeight="1" x14ac:dyDescent="0.2">
      <c r="A8" s="892" t="s">
        <v>515</v>
      </c>
      <c r="B8" s="894" t="s">
        <v>1120</v>
      </c>
      <c r="C8" s="894" t="s">
        <v>1194</v>
      </c>
      <c r="D8" s="894" t="s">
        <v>1129</v>
      </c>
      <c r="E8" s="894" t="s">
        <v>1130</v>
      </c>
      <c r="F8" s="896" t="s">
        <v>1763</v>
      </c>
      <c r="H8" s="889" t="s">
        <v>515</v>
      </c>
      <c r="I8" s="898" t="s">
        <v>1120</v>
      </c>
      <c r="J8" s="894" t="s">
        <v>1194</v>
      </c>
      <c r="K8" s="894" t="s">
        <v>1195</v>
      </c>
      <c r="L8" s="894" t="s">
        <v>1196</v>
      </c>
      <c r="M8" s="896" t="s">
        <v>1763</v>
      </c>
    </row>
    <row r="9" spans="1:13" ht="28.5" customHeight="1" thickBot="1" x14ac:dyDescent="0.25">
      <c r="A9" s="893"/>
      <c r="B9" s="895"/>
      <c r="C9" s="895"/>
      <c r="D9" s="895"/>
      <c r="E9" s="895"/>
      <c r="F9" s="897"/>
      <c r="H9" s="890"/>
      <c r="I9" s="899"/>
      <c r="J9" s="895"/>
      <c r="K9" s="895"/>
      <c r="L9" s="895"/>
      <c r="M9" s="897"/>
    </row>
    <row r="10" spans="1:13" x14ac:dyDescent="0.2">
      <c r="A10" s="271" t="s">
        <v>574</v>
      </c>
      <c r="B10" s="272">
        <v>188611232</v>
      </c>
      <c r="C10" s="272">
        <v>183944961</v>
      </c>
      <c r="D10" s="273">
        <f>+'1. 2018. mindösszesen'!C3</f>
        <v>150475269.86500001</v>
      </c>
      <c r="E10" s="273">
        <f>+'1. 2018. mindösszesen'!D3</f>
        <v>153559207</v>
      </c>
      <c r="F10" s="273">
        <f>+'1. 2018. mindösszesen'!E3</f>
        <v>154033347</v>
      </c>
      <c r="H10" s="499" t="s">
        <v>80</v>
      </c>
      <c r="I10" s="314">
        <v>177854254</v>
      </c>
      <c r="J10" s="314">
        <v>205125205</v>
      </c>
      <c r="K10" s="187">
        <f>+'1. 2018. mindösszesen'!I3</f>
        <v>243557960.33333331</v>
      </c>
      <c r="L10" s="187">
        <f>+'1. 2018. mindösszesen'!J3</f>
        <v>240793120</v>
      </c>
      <c r="M10" s="187">
        <f>+'1. 2018. mindösszesen'!K3</f>
        <v>221861315</v>
      </c>
    </row>
    <row r="11" spans="1:13" x14ac:dyDescent="0.2">
      <c r="A11" s="190" t="s">
        <v>9</v>
      </c>
      <c r="B11" s="218">
        <v>348905678</v>
      </c>
      <c r="C11" s="218">
        <v>414320839</v>
      </c>
      <c r="D11" s="274">
        <f>+'1. 2018. mindösszesen'!C18</f>
        <v>324600000</v>
      </c>
      <c r="E11" s="274">
        <f>+'1. 2018. mindösszesen'!D18</f>
        <v>347048698</v>
      </c>
      <c r="F11" s="274">
        <f>+'1. 2018. mindösszesen'!E18</f>
        <v>347048698</v>
      </c>
      <c r="H11" s="188" t="s">
        <v>81</v>
      </c>
      <c r="I11" s="265">
        <v>47232953</v>
      </c>
      <c r="J11" s="265">
        <v>46080258</v>
      </c>
      <c r="K11" s="187">
        <f>+'1. 2018. mindösszesen'!I7</f>
        <v>47782994.606800005</v>
      </c>
      <c r="L11" s="187">
        <f>+'1. 2018. mindösszesen'!J7</f>
        <v>48213920.326399997</v>
      </c>
      <c r="M11" s="187">
        <f>+'1. 2018. mindösszesen'!K7</f>
        <v>46540494</v>
      </c>
    </row>
    <row r="12" spans="1:13" x14ac:dyDescent="0.2">
      <c r="A12" s="190" t="s">
        <v>575</v>
      </c>
      <c r="B12" s="218">
        <v>121754760</v>
      </c>
      <c r="C12" s="218">
        <v>107261566</v>
      </c>
      <c r="D12" s="274">
        <f>+'1. 2018. mindösszesen'!C25</f>
        <v>96099337.045000002</v>
      </c>
      <c r="E12" s="274">
        <f>+'1. 2018. mindösszesen'!D25</f>
        <v>102307481</v>
      </c>
      <c r="F12" s="274">
        <f>+'1. 2018. mindösszesen'!E25</f>
        <v>101899900</v>
      </c>
      <c r="H12" s="189" t="s">
        <v>83</v>
      </c>
      <c r="I12" s="266">
        <v>290267607</v>
      </c>
      <c r="J12" s="266">
        <v>249828659</v>
      </c>
      <c r="K12" s="187">
        <f>+'1. 2018. mindösszesen'!I18</f>
        <v>297101219.63254595</v>
      </c>
      <c r="L12" s="187">
        <f>+'1. 2018. mindösszesen'!J18</f>
        <v>313438727</v>
      </c>
      <c r="M12" s="187">
        <f>+'1. 2018. mindösszesen'!K18</f>
        <v>291163010</v>
      </c>
    </row>
    <row r="13" spans="1:13" x14ac:dyDescent="0.2">
      <c r="A13" s="190" t="s">
        <v>33</v>
      </c>
      <c r="B13" s="218">
        <v>12189800</v>
      </c>
      <c r="C13" s="218">
        <v>856100</v>
      </c>
      <c r="D13" s="275">
        <f>+'1. 2018. mindösszesen'!C39</f>
        <v>0</v>
      </c>
      <c r="E13" s="275">
        <f>+'1. 2018. mindösszesen'!D39</f>
        <v>4364800</v>
      </c>
      <c r="F13" s="275">
        <f>+'1. 2018. mindösszesen'!E39</f>
        <v>4364800</v>
      </c>
      <c r="H13" s="189" t="s">
        <v>84</v>
      </c>
      <c r="I13" s="266">
        <v>5739501</v>
      </c>
      <c r="J13" s="266">
        <v>3735824</v>
      </c>
      <c r="K13" s="187">
        <f>+'1. 2018. mindösszesen'!I25</f>
        <v>5267280</v>
      </c>
      <c r="L13" s="187">
        <f>+'1. 2018. mindösszesen'!J25</f>
        <v>3556080</v>
      </c>
      <c r="M13" s="187">
        <f>+'1. 2018. mindösszesen'!K25</f>
        <v>3225218</v>
      </c>
    </row>
    <row r="14" spans="1:13" x14ac:dyDescent="0.2">
      <c r="A14" s="190" t="s">
        <v>578</v>
      </c>
      <c r="B14" s="218"/>
      <c r="C14" s="218"/>
      <c r="D14" s="275"/>
      <c r="E14" s="275"/>
      <c r="F14" s="275"/>
      <c r="H14" s="191" t="s">
        <v>85</v>
      </c>
      <c r="I14" s="265">
        <v>80988749</v>
      </c>
      <c r="J14" s="265">
        <v>58827259</v>
      </c>
      <c r="K14" s="187">
        <f>+'1. 2018. mindösszesen'!I36-K15</f>
        <v>31981620</v>
      </c>
      <c r="L14" s="187">
        <f>+'1. 2018. mindösszesen'!J36-L15</f>
        <v>42315240</v>
      </c>
      <c r="M14" s="187">
        <f>+'1. 2018. mindösszesen'!K36-M15</f>
        <v>42315228</v>
      </c>
    </row>
    <row r="15" spans="1:13" ht="12.75" customHeight="1" x14ac:dyDescent="0.2">
      <c r="A15" s="190" t="s">
        <v>579</v>
      </c>
      <c r="B15" s="276"/>
      <c r="C15" s="276"/>
      <c r="D15" s="277"/>
      <c r="E15" s="277"/>
      <c r="F15" s="277"/>
      <c r="H15" s="188" t="s">
        <v>95</v>
      </c>
      <c r="I15" s="265">
        <v>0</v>
      </c>
      <c r="J15" s="265">
        <v>0</v>
      </c>
      <c r="K15" s="187">
        <f>+'1. 2018. mindösszesen'!I42</f>
        <v>25452924</v>
      </c>
      <c r="L15" s="187">
        <f>+'1. 2018. mindösszesen'!J42</f>
        <v>3499094</v>
      </c>
      <c r="M15" s="187">
        <f>+'1. 2018. mindösszesen'!K42</f>
        <v>0</v>
      </c>
    </row>
    <row r="16" spans="1:13" x14ac:dyDescent="0.2">
      <c r="A16" s="185"/>
      <c r="B16" s="219"/>
      <c r="C16" s="219"/>
      <c r="D16" s="187"/>
      <c r="E16" s="187"/>
      <c r="F16" s="187"/>
      <c r="H16" s="188"/>
      <c r="I16" s="265"/>
      <c r="J16" s="265"/>
      <c r="K16" s="187"/>
      <c r="L16" s="187"/>
      <c r="M16" s="187"/>
    </row>
    <row r="17" spans="1:13" s="192" customFormat="1" ht="13.5" x14ac:dyDescent="0.25">
      <c r="A17" s="278" t="s">
        <v>569</v>
      </c>
      <c r="B17" s="279">
        <f>SUM(B10:B16)</f>
        <v>671461470</v>
      </c>
      <c r="C17" s="279">
        <f>SUM(C10:C16)</f>
        <v>706383466</v>
      </c>
      <c r="D17" s="193">
        <f>SUM(D10:D16)</f>
        <v>571174606.90999997</v>
      </c>
      <c r="E17" s="193">
        <f>SUM(E10:E16)</f>
        <v>607280186</v>
      </c>
      <c r="F17" s="193">
        <f>SUM(F10:F16)</f>
        <v>607346745</v>
      </c>
      <c r="H17" s="278" t="s">
        <v>570</v>
      </c>
      <c r="I17" s="281">
        <f>SUM(I10:I16)</f>
        <v>602083064</v>
      </c>
      <c r="J17" s="281">
        <f>SUM(J10:J16)</f>
        <v>563597205</v>
      </c>
      <c r="K17" s="193">
        <f>SUM(K10:K16)</f>
        <v>651143998.57267928</v>
      </c>
      <c r="L17" s="193">
        <f>SUM(L10:L16)</f>
        <v>651816181.32640004</v>
      </c>
      <c r="M17" s="193">
        <f>SUM(M10:M16)</f>
        <v>605105265</v>
      </c>
    </row>
    <row r="18" spans="1:13" ht="13.5" thickBot="1" x14ac:dyDescent="0.25">
      <c r="A18" s="185"/>
      <c r="B18" s="219"/>
      <c r="C18" s="219"/>
      <c r="D18" s="187"/>
      <c r="E18" s="187"/>
      <c r="F18" s="187"/>
      <c r="H18" s="263"/>
      <c r="I18" s="267"/>
      <c r="J18" s="267"/>
      <c r="K18" s="489"/>
      <c r="L18" s="489"/>
      <c r="M18" s="489"/>
    </row>
    <row r="19" spans="1:13" s="183" customFormat="1" ht="12.75" customHeight="1" thickBot="1" x14ac:dyDescent="0.25">
      <c r="A19" s="286" t="s">
        <v>648</v>
      </c>
      <c r="B19" s="285"/>
      <c r="C19" s="287">
        <f>C17-J17</f>
        <v>142786261</v>
      </c>
      <c r="D19" s="287">
        <f>D17-K17</f>
        <v>-79969391.662679315</v>
      </c>
      <c r="E19" s="287">
        <f>E17-L17</f>
        <v>-44535995.326400042</v>
      </c>
      <c r="F19" s="287">
        <f>F17-M17</f>
        <v>2241480</v>
      </c>
      <c r="I19" s="197"/>
      <c r="J19" s="197"/>
      <c r="K19" s="184"/>
      <c r="L19" s="184"/>
      <c r="M19" s="184"/>
    </row>
    <row r="20" spans="1:13" s="183" customFormat="1" ht="11.25" x14ac:dyDescent="0.2">
      <c r="A20" s="197"/>
      <c r="B20" s="197"/>
      <c r="C20" s="197"/>
      <c r="D20" s="198"/>
      <c r="E20" s="198"/>
      <c r="F20" s="198"/>
      <c r="I20" s="197"/>
      <c r="J20" s="197"/>
      <c r="K20" s="184"/>
      <c r="L20" s="184"/>
      <c r="M20" s="184"/>
    </row>
    <row r="21" spans="1:13" s="181" customFormat="1" ht="15.75" x14ac:dyDescent="0.25">
      <c r="A21" s="182" t="s">
        <v>39</v>
      </c>
      <c r="B21" s="220"/>
      <c r="C21" s="220"/>
      <c r="D21" s="182"/>
      <c r="E21" s="182"/>
      <c r="F21" s="182"/>
      <c r="H21" s="182" t="s">
        <v>571</v>
      </c>
      <c r="I21" s="220"/>
      <c r="J21" s="220"/>
      <c r="K21" s="182"/>
      <c r="L21" s="182"/>
      <c r="M21" s="182"/>
    </row>
    <row r="22" spans="1:13" s="183" customFormat="1" ht="12" thickBot="1" x14ac:dyDescent="0.25">
      <c r="B22" s="197"/>
      <c r="C22" s="197"/>
      <c r="D22" s="184"/>
      <c r="E22" s="184"/>
      <c r="F22" s="184"/>
      <c r="I22" s="197"/>
      <c r="J22" s="197"/>
      <c r="K22" s="184"/>
      <c r="L22" s="184"/>
      <c r="M22" s="184"/>
    </row>
    <row r="23" spans="1:13" x14ac:dyDescent="0.2">
      <c r="A23" s="199" t="s">
        <v>576</v>
      </c>
      <c r="B23" s="215">
        <v>194000</v>
      </c>
      <c r="C23" s="215">
        <v>820651844</v>
      </c>
      <c r="D23" s="273">
        <f>+'1. 2018. mindösszesen'!C46</f>
        <v>41186399</v>
      </c>
      <c r="E23" s="273">
        <f>+'1. 2018. mindösszesen'!D46</f>
        <v>325703880</v>
      </c>
      <c r="F23" s="273">
        <f>+'1. 2018. mindösszesen'!E46</f>
        <v>325703880</v>
      </c>
      <c r="H23" s="199" t="s">
        <v>125</v>
      </c>
      <c r="I23" s="215">
        <v>70449104</v>
      </c>
      <c r="J23" s="215">
        <v>82873124.510000005</v>
      </c>
      <c r="K23" s="490">
        <f>+'1. 2018. mindösszesen'!I46</f>
        <v>214788275.51181105</v>
      </c>
      <c r="L23" s="490">
        <f>+'1. 2018. mindösszesen'!J46</f>
        <v>89998576.543307096</v>
      </c>
      <c r="M23" s="490">
        <f>+'1. 2018. mindösszesen'!K46</f>
        <v>57907967</v>
      </c>
    </row>
    <row r="24" spans="1:13" x14ac:dyDescent="0.2">
      <c r="A24" s="186" t="s">
        <v>39</v>
      </c>
      <c r="B24" s="491">
        <v>1944108</v>
      </c>
      <c r="C24" s="266">
        <v>56076</v>
      </c>
      <c r="D24" s="187">
        <f>+'1. 2018. mindösszesen'!C52</f>
        <v>0</v>
      </c>
      <c r="E24" s="187">
        <f>+'1. 2018. mindösszesen'!D52</f>
        <v>283293</v>
      </c>
      <c r="F24" s="187">
        <f>+'1. 2018. mindösszesen'!E52</f>
        <v>283293</v>
      </c>
      <c r="H24" s="186" t="s">
        <v>87</v>
      </c>
      <c r="I24" s="491">
        <v>35939645</v>
      </c>
      <c r="J24" s="314">
        <v>1174330</v>
      </c>
      <c r="K24" s="500">
        <f>+'1. 2018. mindösszesen'!I54</f>
        <v>234376696.57480314</v>
      </c>
      <c r="L24" s="500">
        <f>+'1. 2018. mindösszesen'!J54</f>
        <v>1004885617</v>
      </c>
      <c r="M24" s="500">
        <f>+'1. 2018. mindösszesen'!K54</f>
        <v>552976444</v>
      </c>
    </row>
    <row r="25" spans="1:13" x14ac:dyDescent="0.2">
      <c r="A25" s="186" t="s">
        <v>42</v>
      </c>
      <c r="B25" s="491">
        <v>20013700</v>
      </c>
      <c r="C25" s="266">
        <v>5002900</v>
      </c>
      <c r="D25" s="187">
        <f>+'1. 2018. mindösszesen'!C58</f>
        <v>0</v>
      </c>
      <c r="E25" s="187">
        <f>+'1. 2018. mindösszesen'!D58</f>
        <v>500000</v>
      </c>
      <c r="F25" s="187">
        <f>+'1. 2018. mindösszesen'!E58</f>
        <v>500000</v>
      </c>
      <c r="H25" s="186" t="s">
        <v>577</v>
      </c>
      <c r="I25" s="491">
        <v>600000</v>
      </c>
      <c r="J25" s="314">
        <v>10100000</v>
      </c>
      <c r="K25" s="187">
        <f>+'1. 2018. mindösszesen'!I59</f>
        <v>10000000</v>
      </c>
      <c r="L25" s="187">
        <f>+'1. 2018. mindösszesen'!J59</f>
        <v>23395480</v>
      </c>
      <c r="M25" s="187">
        <f>+'1. 2018. mindösszesen'!K59</f>
        <v>23395480</v>
      </c>
    </row>
    <row r="26" spans="1:13" x14ac:dyDescent="0.2">
      <c r="A26" s="185"/>
      <c r="B26" s="314"/>
      <c r="C26" s="492"/>
      <c r="D26" s="187"/>
      <c r="E26" s="187"/>
      <c r="F26" s="187"/>
      <c r="H26" s="185"/>
      <c r="I26" s="314"/>
      <c r="J26" s="492"/>
      <c r="K26" s="187"/>
      <c r="L26" s="187"/>
      <c r="M26" s="187"/>
    </row>
    <row r="27" spans="1:13" x14ac:dyDescent="0.2">
      <c r="A27" s="190"/>
      <c r="B27" s="266"/>
      <c r="C27" s="493"/>
      <c r="D27" s="187"/>
      <c r="E27" s="187"/>
      <c r="F27" s="187"/>
      <c r="H27" s="190"/>
      <c r="I27" s="266"/>
      <c r="J27" s="493"/>
      <c r="K27" s="187"/>
      <c r="L27" s="187"/>
      <c r="M27" s="187"/>
    </row>
    <row r="28" spans="1:13" ht="13.5" x14ac:dyDescent="0.25">
      <c r="A28" s="278" t="s">
        <v>572</v>
      </c>
      <c r="B28" s="281">
        <f>SUM(B23:B27)</f>
        <v>22151808</v>
      </c>
      <c r="C28" s="281">
        <f>SUM(C23:C27)</f>
        <v>825710820</v>
      </c>
      <c r="D28" s="193">
        <f>SUM(D23:D27)</f>
        <v>41186399</v>
      </c>
      <c r="E28" s="193">
        <f>SUM(E23:E27)</f>
        <v>326487173</v>
      </c>
      <c r="F28" s="193">
        <f>SUM(F23:F27)</f>
        <v>326487173</v>
      </c>
      <c r="H28" s="278" t="s">
        <v>573</v>
      </c>
      <c r="I28" s="281">
        <f>SUM(I23:I27)</f>
        <v>106988749</v>
      </c>
      <c r="J28" s="281">
        <f>SUM(J23:J27)</f>
        <v>94147454.510000005</v>
      </c>
      <c r="K28" s="193">
        <f>SUM(K23:K27)+1</f>
        <v>459164973.08661419</v>
      </c>
      <c r="L28" s="193">
        <f>SUM(L23:L27)</f>
        <v>1118279673.5433071</v>
      </c>
      <c r="M28" s="193">
        <f>SUM(M23:M27)</f>
        <v>634279891</v>
      </c>
    </row>
    <row r="29" spans="1:13" ht="13.5" x14ac:dyDescent="0.25">
      <c r="A29" s="494"/>
      <c r="B29" s="495"/>
      <c r="C29" s="495"/>
      <c r="D29" s="193"/>
      <c r="E29" s="193"/>
      <c r="F29" s="193"/>
      <c r="H29" s="494"/>
      <c r="I29" s="495"/>
      <c r="J29" s="495"/>
      <c r="K29" s="193"/>
      <c r="L29" s="193"/>
      <c r="M29" s="193"/>
    </row>
    <row r="30" spans="1:13" s="194" customFormat="1" ht="13.5" thickBot="1" x14ac:dyDescent="0.25">
      <c r="A30" s="284" t="s">
        <v>649</v>
      </c>
      <c r="B30" s="287"/>
      <c r="C30" s="287">
        <f>C28-J28</f>
        <v>731563365.49000001</v>
      </c>
      <c r="D30" s="287">
        <f>D28-K28</f>
        <v>-417978574.08661419</v>
      </c>
      <c r="E30" s="287">
        <f>E28-L28</f>
        <v>-791792500.54330707</v>
      </c>
      <c r="F30" s="287">
        <f>F28-M28</f>
        <v>-307792718</v>
      </c>
      <c r="H30" s="196"/>
      <c r="I30" s="496"/>
      <c r="J30" s="496"/>
      <c r="K30" s="496"/>
      <c r="L30" s="496"/>
      <c r="M30" s="496"/>
    </row>
    <row r="31" spans="1:13" s="201" customFormat="1" ht="21" customHeight="1" x14ac:dyDescent="0.25">
      <c r="A31" s="282" t="s">
        <v>650</v>
      </c>
      <c r="B31" s="283"/>
      <c r="C31" s="283">
        <f>C17+C28-J17-J28</f>
        <v>874349626.49000001</v>
      </c>
      <c r="D31" s="283">
        <f>D17+D28-K17-K28</f>
        <v>-497947965.74929351</v>
      </c>
      <c r="E31" s="283">
        <f>E17+E28-L17-L28</f>
        <v>-836328495.86970711</v>
      </c>
      <c r="F31" s="283">
        <f>F17+F28-M17-M28</f>
        <v>-305551238</v>
      </c>
      <c r="G31" s="200"/>
      <c r="H31" s="175"/>
      <c r="I31" s="175"/>
      <c r="J31" s="175"/>
      <c r="K31" s="176"/>
      <c r="L31" s="176"/>
      <c r="M31" s="176"/>
    </row>
    <row r="32" spans="1:13" ht="13.5" thickBot="1" x14ac:dyDescent="0.25">
      <c r="L32" s="176"/>
      <c r="M32" s="176"/>
    </row>
    <row r="33" spans="1:13" x14ac:dyDescent="0.2">
      <c r="A33" s="264" t="s">
        <v>652</v>
      </c>
      <c r="B33" s="215">
        <v>423587678</v>
      </c>
      <c r="C33" s="215">
        <v>209635830</v>
      </c>
      <c r="D33" s="497">
        <f>+'1. 2018. mindösszesen'!C71+'1. 2018. mindösszesen'!C72+'1. 2018. mindösszesen'!C73</f>
        <v>287795946</v>
      </c>
      <c r="E33" s="497">
        <f>+'1. 2018. mindösszesen'!D71+'1. 2018. mindösszesen'!D72+'1. 2018. mindösszesen'!D73</f>
        <v>251053230</v>
      </c>
      <c r="F33" s="497">
        <f>+'1. 2018. mindösszesen'!E71+'1. 2018. mindösszesen'!E72+'1. 2018. mindösszesen'!E73</f>
        <v>251053230</v>
      </c>
      <c r="H33" s="264" t="s">
        <v>654</v>
      </c>
      <c r="I33" s="498">
        <v>314993536</v>
      </c>
      <c r="J33" s="498">
        <v>146689916</v>
      </c>
      <c r="K33" s="498">
        <f>'1. 2018. mindösszesen'!I72</f>
        <v>4296852</v>
      </c>
      <c r="L33" s="498">
        <f>'1. 2018. mindösszesen'!J72</f>
        <v>8189821</v>
      </c>
      <c r="M33" s="498">
        <f>'1. 2018. mindösszesen'!K72</f>
        <v>8189821</v>
      </c>
    </row>
    <row r="34" spans="1:13" x14ac:dyDescent="0.2">
      <c r="A34" s="190" t="s">
        <v>653</v>
      </c>
      <c r="B34" s="314">
        <v>9774000</v>
      </c>
      <c r="C34" s="270"/>
      <c r="D34" s="277">
        <f>+'1. 2018. mindösszesen'!C85</f>
        <v>354448872</v>
      </c>
      <c r="E34" s="277">
        <f>+'1. 2018. mindösszesen'!D85</f>
        <v>932915087</v>
      </c>
      <c r="F34" s="277">
        <f>+'1. 2018. mindösszesen'!E85</f>
        <v>932915087</v>
      </c>
      <c r="H34" s="190" t="s">
        <v>655</v>
      </c>
      <c r="I34" s="266">
        <v>9774000</v>
      </c>
      <c r="J34" s="266">
        <v>0</v>
      </c>
      <c r="K34" s="266">
        <v>0</v>
      </c>
      <c r="L34" s="266">
        <v>0</v>
      </c>
      <c r="M34" s="266">
        <v>0</v>
      </c>
    </row>
    <row r="35" spans="1:13" x14ac:dyDescent="0.2">
      <c r="A35" s="190"/>
      <c r="B35" s="270"/>
      <c r="C35" s="270"/>
      <c r="D35" s="277"/>
      <c r="E35" s="277"/>
      <c r="F35" s="277"/>
      <c r="H35" s="190" t="s">
        <v>751</v>
      </c>
      <c r="I35" s="266">
        <v>110000000</v>
      </c>
      <c r="J35" s="266">
        <v>0</v>
      </c>
      <c r="K35" s="501">
        <f>+'1. 2018. mindösszesen'!I71</f>
        <v>140000000</v>
      </c>
      <c r="L35" s="501">
        <f>+'1. 2018. mindösszesen'!J71</f>
        <v>339450000</v>
      </c>
      <c r="M35" s="501">
        <f>+'1. 2018. mindösszesen'!K71</f>
        <v>339450000</v>
      </c>
    </row>
    <row r="36" spans="1:13" ht="13.5" x14ac:dyDescent="0.25">
      <c r="A36" s="278" t="s">
        <v>567</v>
      </c>
      <c r="B36" s="280">
        <f>SUM(B33:B34)</f>
        <v>433361678</v>
      </c>
      <c r="C36" s="280">
        <f>SUM(C33:C34)</f>
        <v>209635830</v>
      </c>
      <c r="D36" s="193">
        <f>SUM(D33:D34)</f>
        <v>642244818</v>
      </c>
      <c r="E36" s="193">
        <f>SUM(E33:E34)</f>
        <v>1183968317</v>
      </c>
      <c r="F36" s="193">
        <f>SUM(F33:F34)</f>
        <v>1183968317</v>
      </c>
      <c r="H36" s="278" t="s">
        <v>568</v>
      </c>
      <c r="I36" s="280">
        <f>I34+I35+I33</f>
        <v>434767536</v>
      </c>
      <c r="J36" s="280">
        <f>J34+J35+J33</f>
        <v>146689916</v>
      </c>
      <c r="K36" s="280">
        <f>K34+K35+K33</f>
        <v>144296852</v>
      </c>
      <c r="L36" s="280">
        <f>L34+L35+L33</f>
        <v>347639821</v>
      </c>
      <c r="M36" s="280">
        <f>M34+M35+M33</f>
        <v>347639821</v>
      </c>
    </row>
    <row r="37" spans="1:13" ht="13.5" x14ac:dyDescent="0.25">
      <c r="A37" s="269"/>
      <c r="B37" s="262"/>
      <c r="C37" s="262"/>
      <c r="D37" s="193"/>
      <c r="E37" s="193"/>
      <c r="F37" s="193"/>
      <c r="H37" s="269"/>
      <c r="I37" s="262"/>
      <c r="J37" s="262"/>
      <c r="K37" s="193"/>
      <c r="L37" s="193"/>
      <c r="M37" s="193"/>
    </row>
    <row r="38" spans="1:13" ht="17.25" customHeight="1" thickBot="1" x14ac:dyDescent="0.25">
      <c r="A38" s="288" t="s">
        <v>651</v>
      </c>
      <c r="B38" s="289"/>
      <c r="C38" s="289">
        <f>C36-J36</f>
        <v>62945914</v>
      </c>
      <c r="D38" s="289">
        <f>D36-K36</f>
        <v>497947966</v>
      </c>
      <c r="E38" s="289">
        <f>E36-L36</f>
        <v>836328496</v>
      </c>
      <c r="F38" s="289">
        <f>F36-M36</f>
        <v>836328496</v>
      </c>
      <c r="G38" s="194"/>
      <c r="H38" s="195"/>
      <c r="I38" s="268"/>
      <c r="J38" s="268"/>
      <c r="K38" s="268"/>
      <c r="L38" s="268"/>
      <c r="M38" s="268"/>
    </row>
    <row r="39" spans="1:13" x14ac:dyDescent="0.2">
      <c r="C39" s="176"/>
    </row>
    <row r="40" spans="1:13" x14ac:dyDescent="0.2">
      <c r="B40" s="176"/>
      <c r="C40" s="176">
        <f>C17+C36+C28</f>
        <v>1741730116</v>
      </c>
      <c r="D40" s="176">
        <f>D17+D36+D28</f>
        <v>1254605823.9099998</v>
      </c>
      <c r="E40" s="176">
        <f t="shared" ref="E40" si="0">E17+E36+E28</f>
        <v>2117735676</v>
      </c>
      <c r="F40" s="176">
        <f>F17+F36+F28</f>
        <v>2117802235</v>
      </c>
      <c r="G40" s="176"/>
      <c r="H40" s="176"/>
      <c r="I40" s="176"/>
      <c r="J40" s="176">
        <f>J17+J28+J36</f>
        <v>804434575.50999999</v>
      </c>
      <c r="K40" s="176">
        <f>K17+K28+K36</f>
        <v>1254605823.6592934</v>
      </c>
      <c r="L40" s="176">
        <f t="shared" ref="L40" si="1">L17+L28+L36</f>
        <v>2117735675.8697071</v>
      </c>
      <c r="M40" s="176">
        <f>M17+M28+M36</f>
        <v>1587024977</v>
      </c>
    </row>
    <row r="41" spans="1:13" x14ac:dyDescent="0.2">
      <c r="C41" s="176"/>
      <c r="J41" s="176"/>
      <c r="M41" s="176">
        <f>+F40-M40</f>
        <v>530777258</v>
      </c>
    </row>
    <row r="44" spans="1:13" x14ac:dyDescent="0.2">
      <c r="I44" s="401"/>
    </row>
    <row r="46" spans="1:13" x14ac:dyDescent="0.2">
      <c r="I46" s="400"/>
    </row>
  </sheetData>
  <mergeCells count="13">
    <mergeCell ref="I8:I9"/>
    <mergeCell ref="J8:J9"/>
    <mergeCell ref="K8:K9"/>
    <mergeCell ref="L8:L9"/>
    <mergeCell ref="M8:M9"/>
    <mergeCell ref="H8:H9"/>
    <mergeCell ref="A4:D4"/>
    <mergeCell ref="A8:A9"/>
    <mergeCell ref="B8:B9"/>
    <mergeCell ref="C8:C9"/>
    <mergeCell ref="D8:D9"/>
    <mergeCell ref="F8:F9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rstPageNumber="36" orientation="landscape" r:id="rId1"/>
  <headerFooter>
    <oddHeader>&amp;CTaksony Nagyközség Önkormányzat 2018. évi zárszámadás&amp;R13.sz. melléklet</oddHeader>
    <oddFooter xml:space="preserve">&amp;LKészült: &amp;D
&amp;C&amp;P&amp;R/:Kreisz László://:Dr.Micheller Anita:/
/:Szelecki N.Andrea:/   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L86" sqref="L86"/>
    </sheetView>
  </sheetViews>
  <sheetFormatPr defaultRowHeight="15" x14ac:dyDescent="0.25"/>
  <cols>
    <col min="1" max="1" width="5.42578125" customWidth="1"/>
    <col min="2" max="2" width="99.85546875" bestFit="1" customWidth="1"/>
    <col min="3" max="3" width="22.7109375" customWidth="1"/>
  </cols>
  <sheetData>
    <row r="1" spans="1:3" ht="15" customHeight="1" x14ac:dyDescent="0.25">
      <c r="A1" s="902" t="s">
        <v>1210</v>
      </c>
      <c r="B1" s="902"/>
      <c r="C1" s="902"/>
    </row>
    <row r="2" spans="1:3" ht="15" customHeight="1" x14ac:dyDescent="0.25">
      <c r="A2" s="902" t="s">
        <v>1764</v>
      </c>
      <c r="B2" s="902"/>
      <c r="C2" s="902"/>
    </row>
    <row r="3" spans="1:3" ht="15.75" thickBot="1" x14ac:dyDescent="0.3">
      <c r="A3" s="903"/>
      <c r="B3" s="903"/>
      <c r="C3" s="521"/>
    </row>
    <row r="4" spans="1:3" ht="15" customHeight="1" x14ac:dyDescent="0.25">
      <c r="A4" s="904" t="s">
        <v>1211</v>
      </c>
      <c r="B4" s="906" t="s">
        <v>1212</v>
      </c>
      <c r="C4" s="908" t="s">
        <v>1213</v>
      </c>
    </row>
    <row r="5" spans="1:3" ht="15.75" thickBot="1" x14ac:dyDescent="0.3">
      <c r="A5" s="905"/>
      <c r="B5" s="907"/>
      <c r="C5" s="909"/>
    </row>
    <row r="6" spans="1:3" x14ac:dyDescent="0.25">
      <c r="A6" s="522">
        <v>1</v>
      </c>
      <c r="B6" s="523" t="s">
        <v>1214</v>
      </c>
      <c r="C6" s="524">
        <v>0</v>
      </c>
    </row>
    <row r="7" spans="1:3" x14ac:dyDescent="0.25">
      <c r="A7" s="522">
        <f>+A6+1</f>
        <v>2</v>
      </c>
      <c r="B7" s="523" t="s">
        <v>1215</v>
      </c>
      <c r="C7" s="524">
        <v>0</v>
      </c>
    </row>
    <row r="8" spans="1:3" x14ac:dyDescent="0.25">
      <c r="A8" s="522">
        <f>+A7+1</f>
        <v>3</v>
      </c>
      <c r="B8" s="525" t="s">
        <v>1216</v>
      </c>
      <c r="C8" s="524">
        <f>SUM(C9:C14)</f>
        <v>2156831</v>
      </c>
    </row>
    <row r="9" spans="1:3" x14ac:dyDescent="0.25">
      <c r="A9" s="526"/>
      <c r="B9" s="527" t="s">
        <v>1777</v>
      </c>
      <c r="C9" s="528">
        <v>1116500</v>
      </c>
    </row>
    <row r="10" spans="1:3" x14ac:dyDescent="0.25">
      <c r="A10" s="526"/>
      <c r="B10" s="529" t="s">
        <v>1778</v>
      </c>
      <c r="C10" s="528">
        <v>20000</v>
      </c>
    </row>
    <row r="11" spans="1:3" x14ac:dyDescent="0.25">
      <c r="A11" s="526"/>
      <c r="B11" s="529" t="s">
        <v>1779</v>
      </c>
      <c r="C11" s="528">
        <v>331320</v>
      </c>
    </row>
    <row r="12" spans="1:3" x14ac:dyDescent="0.25">
      <c r="A12" s="526"/>
      <c r="B12" s="529" t="s">
        <v>1780</v>
      </c>
      <c r="C12" s="528">
        <v>689011</v>
      </c>
    </row>
    <row r="13" spans="1:3" x14ac:dyDescent="0.25">
      <c r="A13" s="526"/>
      <c r="B13" s="530" t="s">
        <v>1217</v>
      </c>
      <c r="C13" s="528">
        <v>0</v>
      </c>
    </row>
    <row r="14" spans="1:3" x14ac:dyDescent="0.25">
      <c r="A14" s="526"/>
      <c r="B14" s="530" t="s">
        <v>484</v>
      </c>
      <c r="C14" s="528">
        <v>0</v>
      </c>
    </row>
    <row r="15" spans="1:3" x14ac:dyDescent="0.25">
      <c r="A15" s="526"/>
      <c r="B15" s="530" t="s">
        <v>1218</v>
      </c>
      <c r="C15" s="528">
        <v>0</v>
      </c>
    </row>
    <row r="16" spans="1:3" x14ac:dyDescent="0.25">
      <c r="A16" s="522">
        <f>+A8+1</f>
        <v>4</v>
      </c>
      <c r="B16" s="523" t="s">
        <v>1219</v>
      </c>
      <c r="C16" s="524">
        <f>676800+42900+63300+3400+75400+58000</f>
        <v>919800</v>
      </c>
    </row>
    <row r="17" spans="1:3" ht="15.75" thickBot="1" x14ac:dyDescent="0.3">
      <c r="A17" s="522">
        <f>+A16+1</f>
        <v>5</v>
      </c>
      <c r="B17" s="523" t="s">
        <v>1220</v>
      </c>
      <c r="C17" s="524"/>
    </row>
    <row r="18" spans="1:3" ht="15.75" thickBot="1" x14ac:dyDescent="0.3">
      <c r="A18" s="900" t="s">
        <v>1221</v>
      </c>
      <c r="B18" s="901"/>
      <c r="C18" s="531">
        <f>C6+C7+C8+C16+C17</f>
        <v>3076631</v>
      </c>
    </row>
  </sheetData>
  <mergeCells count="7">
    <mergeCell ref="A18:B18"/>
    <mergeCell ref="A1:C1"/>
    <mergeCell ref="A2:C2"/>
    <mergeCell ref="A3:B3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&amp;CTaksony Nagyközség Önkormányzat 2018. évi zárszámadás&amp;R14.sz. melléklet</oddHeader>
    <oddFooter xml:space="preserve">&amp;LKészült: &amp;D
&amp;C&amp;P&amp;R/:Kreisz László://:Dr.Micheller Anita:/
/:Szelecki N.Andrea:/      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"/>
    </sheetView>
  </sheetViews>
  <sheetFormatPr defaultRowHeight="15" x14ac:dyDescent="0.25"/>
  <cols>
    <col min="1" max="1" width="59" bestFit="1" customWidth="1"/>
    <col min="2" max="2" width="15.7109375" customWidth="1"/>
    <col min="3" max="3" width="13.7109375" customWidth="1"/>
  </cols>
  <sheetData>
    <row r="1" spans="1:3" x14ac:dyDescent="0.25">
      <c r="A1" s="910" t="s">
        <v>1222</v>
      </c>
      <c r="B1" s="910"/>
      <c r="C1" s="910"/>
    </row>
    <row r="2" spans="1:3" x14ac:dyDescent="0.25">
      <c r="A2" s="910" t="s">
        <v>1764</v>
      </c>
      <c r="B2" s="910"/>
      <c r="C2" s="910"/>
    </row>
    <row r="3" spans="1:3" ht="15.75" thickBot="1" x14ac:dyDescent="0.3">
      <c r="A3" s="532"/>
      <c r="B3" s="911"/>
      <c r="C3" s="911"/>
    </row>
    <row r="4" spans="1:3" ht="28.5" x14ac:dyDescent="0.25">
      <c r="A4" s="533" t="s">
        <v>535</v>
      </c>
      <c r="B4" s="534" t="s">
        <v>1223</v>
      </c>
      <c r="C4" s="535" t="s">
        <v>1224</v>
      </c>
    </row>
    <row r="5" spans="1:3" x14ac:dyDescent="0.25">
      <c r="A5" s="536"/>
      <c r="B5" s="537"/>
      <c r="C5" s="538"/>
    </row>
    <row r="6" spans="1:3" x14ac:dyDescent="0.25">
      <c r="A6" s="539"/>
      <c r="B6" s="537"/>
      <c r="C6" s="538"/>
    </row>
    <row r="7" spans="1:3" ht="15.75" thickBot="1" x14ac:dyDescent="0.3">
      <c r="A7" s="540"/>
      <c r="B7" s="541"/>
      <c r="C7" s="542"/>
    </row>
    <row r="8" spans="1:3" ht="15.75" thickBot="1" x14ac:dyDescent="0.3">
      <c r="A8" s="543" t="s">
        <v>1225</v>
      </c>
      <c r="B8" s="544">
        <f>+B6-B7</f>
        <v>0</v>
      </c>
      <c r="C8" s="544">
        <f>+C6-C7</f>
        <v>0</v>
      </c>
    </row>
    <row r="9" spans="1:3" x14ac:dyDescent="0.25">
      <c r="A9" s="545"/>
      <c r="B9" s="545"/>
      <c r="C9" s="545"/>
    </row>
    <row r="10" spans="1:3" x14ac:dyDescent="0.25">
      <c r="A10" s="545"/>
      <c r="B10" s="545"/>
      <c r="C10" s="545"/>
    </row>
    <row r="11" spans="1:3" x14ac:dyDescent="0.25">
      <c r="A11" s="545" t="s">
        <v>1765</v>
      </c>
      <c r="B11" s="545"/>
      <c r="C11" s="545"/>
    </row>
  </sheetData>
  <mergeCells count="3">
    <mergeCell ref="A1:C1"/>
    <mergeCell ref="A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&amp;CTaksony Nagyközség Önkormányzat 2018. évi zárszámadás&amp;R15.sz. melléklet</oddHeader>
    <oddFooter xml:space="preserve">&amp;LKészült: &amp;D
&amp;C&amp;P&amp;R/:Kreisz László://:Dr.Micheller Anita:/
/:Szelecki N.Andrea:/   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L86" sqref="L86"/>
    </sheetView>
  </sheetViews>
  <sheetFormatPr defaultRowHeight="15" x14ac:dyDescent="0.25"/>
  <cols>
    <col min="1" max="1" width="42.42578125" style="545" customWidth="1"/>
    <col min="2" max="2" width="25.42578125" style="545" customWidth="1"/>
    <col min="3" max="3" width="18" style="545" customWidth="1"/>
    <col min="4" max="4" width="17.5703125" style="545" customWidth="1"/>
    <col min="5" max="5" width="24" style="545" customWidth="1"/>
    <col min="6" max="6" width="18" style="545" customWidth="1"/>
    <col min="7" max="8" width="9.140625" style="545"/>
    <col min="9" max="16384" width="9.140625" style="321"/>
  </cols>
  <sheetData>
    <row r="1" spans="1:6" x14ac:dyDescent="0.25">
      <c r="A1" s="912" t="s">
        <v>1226</v>
      </c>
      <c r="B1" s="912"/>
      <c r="C1" s="912"/>
      <c r="D1" s="912"/>
      <c r="E1" s="912"/>
      <c r="F1" s="912"/>
    </row>
    <row r="2" spans="1:6" x14ac:dyDescent="0.25">
      <c r="A2" s="912" t="s">
        <v>1764</v>
      </c>
      <c r="B2" s="912"/>
      <c r="C2" s="912"/>
      <c r="D2" s="912"/>
      <c r="E2" s="912"/>
      <c r="F2" s="912"/>
    </row>
    <row r="3" spans="1:6" ht="15.75" thickBot="1" x14ac:dyDescent="0.3">
      <c r="A3" s="546"/>
      <c r="B3" s="546"/>
      <c r="C3" s="546"/>
      <c r="D3" s="546"/>
      <c r="E3" s="913"/>
      <c r="F3" s="913"/>
    </row>
    <row r="4" spans="1:6" ht="45" x14ac:dyDescent="0.25">
      <c r="A4" s="547" t="s">
        <v>1227</v>
      </c>
      <c r="B4" s="548" t="s">
        <v>1228</v>
      </c>
      <c r="C4" s="548" t="s">
        <v>1229</v>
      </c>
      <c r="D4" s="548" t="s">
        <v>1769</v>
      </c>
      <c r="E4" s="548" t="s">
        <v>1230</v>
      </c>
      <c r="F4" s="549" t="s">
        <v>1770</v>
      </c>
    </row>
    <row r="5" spans="1:6" x14ac:dyDescent="0.25">
      <c r="A5" s="550" t="s">
        <v>1231</v>
      </c>
      <c r="B5" s="551">
        <v>1</v>
      </c>
      <c r="C5" s="552">
        <v>65710000</v>
      </c>
      <c r="D5" s="553">
        <v>0</v>
      </c>
      <c r="E5" s="552">
        <v>32671000</v>
      </c>
      <c r="F5" s="554">
        <f>+C5-E5</f>
        <v>33039000</v>
      </c>
    </row>
    <row r="6" spans="1:6" x14ac:dyDescent="0.25">
      <c r="A6" s="550" t="s">
        <v>1232</v>
      </c>
      <c r="B6" s="555">
        <v>1</v>
      </c>
      <c r="C6" s="552">
        <v>3000000</v>
      </c>
      <c r="D6" s="553">
        <v>0</v>
      </c>
      <c r="E6" s="552">
        <v>0</v>
      </c>
      <c r="F6" s="554">
        <f>+C6-E6</f>
        <v>3000000</v>
      </c>
    </row>
    <row r="7" spans="1:6" ht="15.75" thickBot="1" x14ac:dyDescent="0.3">
      <c r="A7" s="556" t="s">
        <v>1233</v>
      </c>
      <c r="B7" s="557" t="s">
        <v>1234</v>
      </c>
      <c r="C7" s="558">
        <v>100000</v>
      </c>
      <c r="D7" s="559">
        <v>0</v>
      </c>
      <c r="E7" s="558">
        <v>0</v>
      </c>
      <c r="F7" s="560">
        <f>+C7-E7</f>
        <v>100000</v>
      </c>
    </row>
    <row r="8" spans="1:6" ht="23.25" customHeight="1" thickTop="1" thickBot="1" x14ac:dyDescent="0.3">
      <c r="A8" s="914" t="s">
        <v>539</v>
      </c>
      <c r="B8" s="915"/>
      <c r="C8" s="561">
        <f>SUM(C5:C7)</f>
        <v>68810000</v>
      </c>
      <c r="D8" s="561">
        <f>SUM(D5:D7)</f>
        <v>0</v>
      </c>
      <c r="E8" s="561">
        <f>SUM(E5:E7)</f>
        <v>32671000</v>
      </c>
      <c r="F8" s="562">
        <f>SUM(F5:F7)</f>
        <v>36139000</v>
      </c>
    </row>
    <row r="11" spans="1:6" x14ac:dyDescent="0.25">
      <c r="C11" s="563"/>
    </row>
  </sheetData>
  <mergeCells count="4">
    <mergeCell ref="A1:F1"/>
    <mergeCell ref="A2:F2"/>
    <mergeCell ref="E3:F3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&amp;CTaksony Nagyközség Önkormányzat 2018. évi zárszámadás&amp;R16.sz. melléklet</oddHeader>
    <oddFooter xml:space="preserve">&amp;LKészült: &amp;D
&amp;C&amp;P&amp;R/:Kreisz László://:Dr.Micheller Anita:/
/:Szelecki N.Andrea:/   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workbookViewId="0">
      <selection activeCell="B16" sqref="B16"/>
    </sheetView>
  </sheetViews>
  <sheetFormatPr defaultRowHeight="15" x14ac:dyDescent="0.25"/>
  <cols>
    <col min="1" max="1" width="59.140625" style="545" bestFit="1" customWidth="1"/>
    <col min="2" max="8" width="18.42578125" style="545" customWidth="1"/>
    <col min="9" max="9" width="9.140625" style="545"/>
    <col min="10" max="10" width="10.7109375" style="545" bestFit="1" customWidth="1"/>
  </cols>
  <sheetData>
    <row r="2" spans="1:10" x14ac:dyDescent="0.25">
      <c r="A2" s="916" t="s">
        <v>1235</v>
      </c>
      <c r="B2" s="916"/>
      <c r="C2" s="916"/>
      <c r="D2" s="916"/>
      <c r="E2" s="916"/>
      <c r="F2" s="916"/>
      <c r="G2" s="916"/>
      <c r="H2" s="916"/>
    </row>
    <row r="3" spans="1:10" x14ac:dyDescent="0.25">
      <c r="A3" s="916" t="s">
        <v>1764</v>
      </c>
      <c r="B3" s="916"/>
      <c r="C3" s="916"/>
      <c r="D3" s="916"/>
      <c r="E3" s="916"/>
      <c r="F3" s="916"/>
      <c r="G3" s="916"/>
      <c r="H3" s="916"/>
    </row>
    <row r="4" spans="1:10" ht="15.75" thickBot="1" x14ac:dyDescent="0.3">
      <c r="H4" s="564"/>
    </row>
    <row r="5" spans="1:10" ht="43.5" thickBot="1" x14ac:dyDescent="0.3">
      <c r="A5" s="565" t="s">
        <v>535</v>
      </c>
      <c r="B5" s="804" t="s">
        <v>519</v>
      </c>
      <c r="C5" s="804" t="s">
        <v>532</v>
      </c>
      <c r="D5" s="804" t="s">
        <v>1236</v>
      </c>
      <c r="E5" s="804" t="s">
        <v>1237</v>
      </c>
      <c r="F5" s="804" t="s">
        <v>1238</v>
      </c>
      <c r="G5" s="805" t="s">
        <v>742</v>
      </c>
      <c r="H5" s="806" t="s">
        <v>1224</v>
      </c>
    </row>
    <row r="6" spans="1:10" x14ac:dyDescent="0.25">
      <c r="A6" s="566" t="s">
        <v>1766</v>
      </c>
      <c r="B6" s="798">
        <v>354975764</v>
      </c>
      <c r="C6" s="567">
        <v>7972</v>
      </c>
      <c r="D6" s="567">
        <v>2043086</v>
      </c>
      <c r="E6" s="567">
        <v>401889</v>
      </c>
      <c r="F6" s="567">
        <v>71656</v>
      </c>
      <c r="G6" s="568">
        <v>63238</v>
      </c>
      <c r="H6" s="569">
        <f t="shared" ref="H6:H11" si="0">SUM(B6:G6)</f>
        <v>357563605</v>
      </c>
    </row>
    <row r="7" spans="1:10" x14ac:dyDescent="0.25">
      <c r="A7" s="570" t="s">
        <v>1239</v>
      </c>
      <c r="B7" s="799">
        <v>2024562597</v>
      </c>
      <c r="C7" s="571">
        <v>115288176</v>
      </c>
      <c r="D7" s="571">
        <v>152894932</v>
      </c>
      <c r="E7" s="571">
        <v>24783891</v>
      </c>
      <c r="F7" s="571">
        <v>43410624</v>
      </c>
      <c r="G7" s="572">
        <v>25195170</v>
      </c>
      <c r="H7" s="569">
        <f t="shared" si="0"/>
        <v>2386135390</v>
      </c>
    </row>
    <row r="8" spans="1:10" ht="15" customHeight="1" x14ac:dyDescent="0.25">
      <c r="A8" s="570" t="s">
        <v>104</v>
      </c>
      <c r="B8" s="799">
        <v>1495161161</v>
      </c>
      <c r="C8" s="571">
        <v>115214248</v>
      </c>
      <c r="D8" s="571">
        <v>151717911</v>
      </c>
      <c r="E8" s="571">
        <v>24738678</v>
      </c>
      <c r="F8" s="571">
        <v>43377917</v>
      </c>
      <c r="G8" s="572">
        <v>25148217</v>
      </c>
      <c r="H8" s="569">
        <f t="shared" si="0"/>
        <v>1855358132</v>
      </c>
    </row>
    <row r="9" spans="1:10" x14ac:dyDescent="0.25">
      <c r="A9" s="570" t="s">
        <v>1240</v>
      </c>
      <c r="B9" s="799">
        <f>114356169+12500+19288565+4166996</f>
        <v>137824230</v>
      </c>
      <c r="C9" s="571">
        <v>0</v>
      </c>
      <c r="D9" s="571">
        <f>213759+791700</f>
        <v>1005459</v>
      </c>
      <c r="E9" s="571">
        <v>0</v>
      </c>
      <c r="F9" s="571">
        <v>0</v>
      </c>
      <c r="G9" s="572">
        <v>0</v>
      </c>
      <c r="H9" s="569">
        <f t="shared" si="0"/>
        <v>138829689</v>
      </c>
    </row>
    <row r="10" spans="1:10" x14ac:dyDescent="0.25">
      <c r="A10" s="570" t="s">
        <v>1241</v>
      </c>
      <c r="B10" s="799">
        <f>935844181+50000+382700</f>
        <v>936276881</v>
      </c>
      <c r="C10" s="571">
        <v>71423</v>
      </c>
      <c r="D10" s="571">
        <f>943428+52521</f>
        <v>995949</v>
      </c>
      <c r="E10" s="571">
        <v>382515</v>
      </c>
      <c r="F10" s="571">
        <v>40755</v>
      </c>
      <c r="G10" s="572">
        <v>63238</v>
      </c>
      <c r="H10" s="569">
        <f t="shared" si="0"/>
        <v>937830761</v>
      </c>
    </row>
    <row r="11" spans="1:10" s="405" customFormat="1" ht="15.75" thickBot="1" x14ac:dyDescent="0.3">
      <c r="A11" s="573" t="s">
        <v>1767</v>
      </c>
      <c r="B11" s="800">
        <f>B6+B7-B8+B9-B10</f>
        <v>85924549</v>
      </c>
      <c r="C11" s="574">
        <f>+C6+C7-C8+C9-C10</f>
        <v>10477</v>
      </c>
      <c r="D11" s="574">
        <f>+D6+D7-D8+D9-D10</f>
        <v>3229617</v>
      </c>
      <c r="E11" s="574">
        <f>+E6+E7-E8+E9-E10</f>
        <v>64587</v>
      </c>
      <c r="F11" s="574">
        <f>+F6+F7-F8+F9-F10</f>
        <v>63608</v>
      </c>
      <c r="G11" s="574">
        <f>+G6+G7-G8+G9-G10</f>
        <v>46953</v>
      </c>
      <c r="H11" s="575">
        <f t="shared" si="0"/>
        <v>89339791</v>
      </c>
      <c r="I11" s="21"/>
      <c r="J11" s="21"/>
    </row>
    <row r="13" spans="1:10" x14ac:dyDescent="0.25">
      <c r="A13" s="801" t="s">
        <v>1242</v>
      </c>
      <c r="B13" s="801">
        <v>69990000</v>
      </c>
      <c r="C13" s="801"/>
      <c r="D13" s="801"/>
      <c r="E13" s="801"/>
      <c r="F13" s="801"/>
      <c r="G13" s="801"/>
      <c r="H13" s="802">
        <f>SUM(B13:G13)</f>
        <v>69990000</v>
      </c>
    </row>
    <row r="14" spans="1:10" x14ac:dyDescent="0.25">
      <c r="A14" s="801" t="s">
        <v>1768</v>
      </c>
      <c r="B14" s="801">
        <v>169450000</v>
      </c>
      <c r="C14" s="801"/>
      <c r="D14" s="801"/>
      <c r="E14" s="801"/>
      <c r="F14" s="801"/>
      <c r="G14" s="801"/>
      <c r="H14" s="802">
        <f>SUM(B14:G14)</f>
        <v>169450000</v>
      </c>
    </row>
    <row r="16" spans="1:10" x14ac:dyDescent="0.25">
      <c r="B16" s="577"/>
    </row>
    <row r="17" spans="8:8" x14ac:dyDescent="0.25">
      <c r="H17" s="577"/>
    </row>
  </sheetData>
  <mergeCells count="2"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&amp;CTaksony Nagyközség Önkormányzat 2018. évi zárszámadás&amp;R17.sz. melléklet</oddHeader>
    <oddFooter xml:space="preserve">&amp;LKészült: &amp;D
&amp;C&amp;P&amp;R/:Kreisz László://:Dr.Micheller Anita:/
/:Szelecki N.Andrea:/     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view="pageBreakPreview" topLeftCell="A60" zoomScale="90" zoomScaleNormal="100" zoomScaleSheetLayoutView="90" workbookViewId="0">
      <selection activeCell="C18" sqref="C18"/>
    </sheetView>
  </sheetViews>
  <sheetFormatPr defaultRowHeight="15" x14ac:dyDescent="0.25"/>
  <cols>
    <col min="1" max="1" width="9.42578125" style="21" customWidth="1"/>
    <col min="2" max="2" width="79" style="640" customWidth="1"/>
    <col min="3" max="3" width="15.5703125" style="545" customWidth="1"/>
    <col min="4" max="4" width="18.42578125" style="545" customWidth="1"/>
    <col min="5" max="5" width="22" style="578" customWidth="1"/>
    <col min="6" max="6" width="24.42578125" style="579" bestFit="1" customWidth="1"/>
    <col min="7" max="8" width="18.7109375" style="409" bestFit="1" customWidth="1"/>
    <col min="9" max="9" width="18.7109375" style="579" bestFit="1" customWidth="1"/>
    <col min="10" max="11" width="18.7109375" style="409" bestFit="1" customWidth="1"/>
    <col min="12" max="16384" width="9.140625" style="578"/>
  </cols>
  <sheetData>
    <row r="1" spans="1:11" x14ac:dyDescent="0.25">
      <c r="A1" s="917" t="s">
        <v>1243</v>
      </c>
      <c r="B1" s="917"/>
      <c r="C1" s="917"/>
      <c r="D1" s="917"/>
    </row>
    <row r="2" spans="1:11" x14ac:dyDescent="0.25">
      <c r="A2" s="917" t="s">
        <v>1764</v>
      </c>
      <c r="B2" s="917"/>
      <c r="C2" s="917"/>
      <c r="D2" s="917"/>
    </row>
    <row r="3" spans="1:11" ht="15.75" thickBot="1" x14ac:dyDescent="0.3">
      <c r="A3" s="580"/>
      <c r="B3" s="581"/>
      <c r="C3" s="918"/>
      <c r="D3" s="918"/>
    </row>
    <row r="4" spans="1:11" ht="33.75" customHeight="1" thickBot="1" x14ac:dyDescent="0.3">
      <c r="A4" s="582" t="s">
        <v>1244</v>
      </c>
      <c r="B4" s="582" t="s">
        <v>535</v>
      </c>
      <c r="C4" s="582" t="s">
        <v>1245</v>
      </c>
      <c r="D4" s="583" t="s">
        <v>1246</v>
      </c>
    </row>
    <row r="5" spans="1:11" ht="15" customHeight="1" thickBot="1" x14ac:dyDescent="0.3">
      <c r="A5" s="584"/>
      <c r="B5" s="585" t="s">
        <v>1247</v>
      </c>
      <c r="C5" s="586"/>
      <c r="D5" s="587"/>
    </row>
    <row r="6" spans="1:11" ht="15" customHeight="1" thickTop="1" x14ac:dyDescent="0.25">
      <c r="A6" s="588" t="s">
        <v>105</v>
      </c>
      <c r="B6" s="589" t="s">
        <v>1248</v>
      </c>
      <c r="C6" s="590">
        <v>97522803</v>
      </c>
      <c r="D6" s="591">
        <v>6417066</v>
      </c>
    </row>
    <row r="7" spans="1:11" s="1" customFormat="1" ht="15" customHeight="1" x14ac:dyDescent="0.25">
      <c r="A7" s="592" t="s">
        <v>106</v>
      </c>
      <c r="B7" s="593" t="s">
        <v>1249</v>
      </c>
      <c r="C7" s="594">
        <f>SUM(C6:C6)</f>
        <v>97522803</v>
      </c>
      <c r="D7" s="595">
        <f>SUM(D6:D6)</f>
        <v>6417066</v>
      </c>
      <c r="F7" s="579"/>
      <c r="G7" s="409"/>
      <c r="H7" s="409"/>
      <c r="I7" s="579"/>
      <c r="J7" s="409"/>
      <c r="K7" s="409"/>
    </row>
    <row r="8" spans="1:11" ht="15" customHeight="1" x14ac:dyDescent="0.25">
      <c r="A8" s="596" t="s">
        <v>107</v>
      </c>
      <c r="B8" s="597" t="s">
        <v>1250</v>
      </c>
      <c r="C8" s="598">
        <f>+C9+C13</f>
        <v>4140846357</v>
      </c>
      <c r="D8" s="599">
        <f>+D9+D13</f>
        <v>3311890505</v>
      </c>
      <c r="F8" s="409"/>
    </row>
    <row r="9" spans="1:11" ht="15" customHeight="1" x14ac:dyDescent="0.25">
      <c r="A9" s="596" t="s">
        <v>108</v>
      </c>
      <c r="B9" s="597" t="s">
        <v>1251</v>
      </c>
      <c r="C9" s="598">
        <f>+C10+C11</f>
        <v>2861752622</v>
      </c>
      <c r="D9" s="599">
        <f>+D10+D11</f>
        <v>2246868485</v>
      </c>
      <c r="F9" s="409"/>
    </row>
    <row r="10" spans="1:11" ht="15" customHeight="1" x14ac:dyDescent="0.25">
      <c r="A10" s="588" t="s">
        <v>109</v>
      </c>
      <c r="B10" s="589" t="s">
        <v>1252</v>
      </c>
      <c r="C10" s="600">
        <f>2483009627+356402995</f>
        <v>2839412622</v>
      </c>
      <c r="D10" s="601">
        <f>1919733981+304794504</f>
        <v>2224528485</v>
      </c>
      <c r="F10" s="409"/>
    </row>
    <row r="11" spans="1:11" ht="15" customHeight="1" x14ac:dyDescent="0.25">
      <c r="A11" s="588" t="s">
        <v>110</v>
      </c>
      <c r="B11" s="589" t="s">
        <v>1253</v>
      </c>
      <c r="C11" s="600">
        <f>19740000+2600000</f>
        <v>22340000</v>
      </c>
      <c r="D11" s="601">
        <f>+C11</f>
        <v>22340000</v>
      </c>
      <c r="E11" s="602"/>
      <c r="F11" s="603"/>
      <c r="G11" s="603"/>
      <c r="H11" s="603"/>
      <c r="I11" s="603"/>
      <c r="J11" s="603"/>
    </row>
    <row r="12" spans="1:11" ht="15" customHeight="1" x14ac:dyDescent="0.25">
      <c r="A12" s="596" t="s">
        <v>111</v>
      </c>
      <c r="B12" s="597" t="s">
        <v>1254</v>
      </c>
      <c r="C12" s="598">
        <v>0</v>
      </c>
      <c r="D12" s="599">
        <v>0</v>
      </c>
    </row>
    <row r="13" spans="1:11" ht="15" customHeight="1" x14ac:dyDescent="0.25">
      <c r="A13" s="596" t="s">
        <v>1255</v>
      </c>
      <c r="B13" s="597" t="s">
        <v>1256</v>
      </c>
      <c r="C13" s="598">
        <f>+C14+C15</f>
        <v>1279093735</v>
      </c>
      <c r="D13" s="599">
        <f>+D14+D15</f>
        <v>1065022020</v>
      </c>
      <c r="F13" s="409"/>
    </row>
    <row r="14" spans="1:11" ht="15" customHeight="1" x14ac:dyDescent="0.25">
      <c r="A14" s="588" t="s">
        <v>1257</v>
      </c>
      <c r="B14" s="589" t="s">
        <v>1258</v>
      </c>
      <c r="C14" s="600">
        <v>1029320197</v>
      </c>
      <c r="D14" s="601">
        <v>815248482</v>
      </c>
      <c r="F14" s="603"/>
      <c r="G14" s="603"/>
      <c r="H14" s="603"/>
      <c r="I14" s="603"/>
    </row>
    <row r="15" spans="1:11" ht="15" customHeight="1" x14ac:dyDescent="0.25">
      <c r="A15" s="588" t="s">
        <v>1259</v>
      </c>
      <c r="B15" s="589" t="s">
        <v>1260</v>
      </c>
      <c r="C15" s="600">
        <v>249773538</v>
      </c>
      <c r="D15" s="601">
        <f>+C15</f>
        <v>249773538</v>
      </c>
    </row>
    <row r="16" spans="1:11" ht="15" customHeight="1" x14ac:dyDescent="0.25">
      <c r="A16" s="596" t="s">
        <v>1261</v>
      </c>
      <c r="B16" s="597" t="s">
        <v>1262</v>
      </c>
      <c r="C16" s="598">
        <f>SUM(C17,C20)</f>
        <v>530635025</v>
      </c>
      <c r="D16" s="599">
        <f>SUM(D17,D20)</f>
        <v>308395971</v>
      </c>
    </row>
    <row r="17" spans="1:7" ht="15" customHeight="1" x14ac:dyDescent="0.25">
      <c r="A17" s="596" t="s">
        <v>1263</v>
      </c>
      <c r="B17" s="597" t="s">
        <v>1264</v>
      </c>
      <c r="C17" s="598">
        <f>SUM(C18:C19)</f>
        <v>328792430</v>
      </c>
      <c r="D17" s="599">
        <f>SUM(D18:D19)</f>
        <v>278287567</v>
      </c>
    </row>
    <row r="18" spans="1:7" ht="15" customHeight="1" x14ac:dyDescent="0.25">
      <c r="A18" s="588" t="s">
        <v>1265</v>
      </c>
      <c r="B18" s="589" t="s">
        <v>1266</v>
      </c>
      <c r="C18" s="600">
        <v>327861273</v>
      </c>
      <c r="D18" s="601">
        <v>277356410</v>
      </c>
      <c r="F18" s="603"/>
      <c r="G18" s="603"/>
    </row>
    <row r="19" spans="1:7" ht="15" customHeight="1" x14ac:dyDescent="0.25">
      <c r="A19" s="588" t="s">
        <v>1267</v>
      </c>
      <c r="B19" s="589" t="s">
        <v>1268</v>
      </c>
      <c r="C19" s="600">
        <f>431157+500000</f>
        <v>931157</v>
      </c>
      <c r="D19" s="601">
        <f>+C19</f>
        <v>931157</v>
      </c>
    </row>
    <row r="20" spans="1:7" ht="15" customHeight="1" x14ac:dyDescent="0.25">
      <c r="A20" s="596" t="s">
        <v>1269</v>
      </c>
      <c r="B20" s="597" t="s">
        <v>1270</v>
      </c>
      <c r="C20" s="598">
        <f>SUM(C21:C24)</f>
        <v>201842595</v>
      </c>
      <c r="D20" s="599">
        <f>SUM(D21:D24)</f>
        <v>30108404</v>
      </c>
    </row>
    <row r="21" spans="1:7" ht="15" customHeight="1" x14ac:dyDescent="0.25">
      <c r="A21" s="588" t="s">
        <v>1271</v>
      </c>
      <c r="B21" s="589" t="s">
        <v>1272</v>
      </c>
      <c r="C21" s="600">
        <v>201132000</v>
      </c>
      <c r="D21" s="601">
        <v>29397809</v>
      </c>
    </row>
    <row r="22" spans="1:7" ht="15" customHeight="1" x14ac:dyDescent="0.25">
      <c r="A22" s="588" t="s">
        <v>1273</v>
      </c>
      <c r="B22" s="589" t="s">
        <v>1274</v>
      </c>
      <c r="C22" s="600"/>
      <c r="D22" s="601"/>
    </row>
    <row r="23" spans="1:7" ht="15" customHeight="1" x14ac:dyDescent="0.25">
      <c r="A23" s="588" t="s">
        <v>1275</v>
      </c>
      <c r="B23" s="589" t="s">
        <v>1276</v>
      </c>
      <c r="C23" s="600">
        <f>710595</f>
        <v>710595</v>
      </c>
      <c r="D23" s="601">
        <f>+C23</f>
        <v>710595</v>
      </c>
    </row>
    <row r="24" spans="1:7" ht="15" customHeight="1" x14ac:dyDescent="0.25">
      <c r="A24" s="588" t="s">
        <v>1277</v>
      </c>
      <c r="B24" s="589" t="s">
        <v>1278</v>
      </c>
      <c r="C24" s="600"/>
      <c r="D24" s="601"/>
      <c r="E24" s="579"/>
    </row>
    <row r="25" spans="1:7" ht="15" customHeight="1" x14ac:dyDescent="0.25">
      <c r="A25" s="604" t="s">
        <v>1279</v>
      </c>
      <c r="B25" s="593" t="s">
        <v>1280</v>
      </c>
      <c r="C25" s="605">
        <f>+C8+C16</f>
        <v>4671481382</v>
      </c>
      <c r="D25" s="606">
        <f>+D8+D16</f>
        <v>3620286476</v>
      </c>
    </row>
    <row r="26" spans="1:7" ht="15" customHeight="1" x14ac:dyDescent="0.25">
      <c r="A26" s="596" t="s">
        <v>1281</v>
      </c>
      <c r="B26" s="597" t="s">
        <v>1282</v>
      </c>
      <c r="C26" s="598">
        <f>SUM(C27:C28)</f>
        <v>68810000</v>
      </c>
      <c r="D26" s="599">
        <f>SUM(D27:D28)</f>
        <v>36139000</v>
      </c>
    </row>
    <row r="27" spans="1:7" ht="15" customHeight="1" x14ac:dyDescent="0.25">
      <c r="A27" s="596" t="s">
        <v>1283</v>
      </c>
      <c r="B27" s="597" t="s">
        <v>1284</v>
      </c>
      <c r="C27" s="598"/>
      <c r="D27" s="599"/>
    </row>
    <row r="28" spans="1:7" ht="15" customHeight="1" x14ac:dyDescent="0.25">
      <c r="A28" s="596" t="s">
        <v>1285</v>
      </c>
      <c r="B28" s="597" t="s">
        <v>1286</v>
      </c>
      <c r="C28" s="598">
        <f>SUM(C29)</f>
        <v>68810000</v>
      </c>
      <c r="D28" s="599">
        <f>SUM(D29)</f>
        <v>36139000</v>
      </c>
    </row>
    <row r="29" spans="1:7" ht="15" customHeight="1" x14ac:dyDescent="0.25">
      <c r="A29" s="588" t="s">
        <v>1287</v>
      </c>
      <c r="B29" s="589" t="s">
        <v>1288</v>
      </c>
      <c r="C29" s="600">
        <f>65710000+3000000+100000</f>
        <v>68810000</v>
      </c>
      <c r="D29" s="601">
        <f>33039000+3000000+100000</f>
        <v>36139000</v>
      </c>
    </row>
    <row r="30" spans="1:7" ht="15" customHeight="1" x14ac:dyDescent="0.25">
      <c r="A30" s="596" t="s">
        <v>1289</v>
      </c>
      <c r="B30" s="597" t="s">
        <v>1290</v>
      </c>
      <c r="C30" s="598">
        <f>SUM(C31:C32)</f>
        <v>169450000</v>
      </c>
      <c r="D30" s="599">
        <f>SUM(D31:D32)</f>
        <v>169450000</v>
      </c>
    </row>
    <row r="31" spans="1:7" ht="15" customHeight="1" x14ac:dyDescent="0.25">
      <c r="A31" s="588" t="s">
        <v>1291</v>
      </c>
      <c r="B31" s="589" t="s">
        <v>1292</v>
      </c>
      <c r="C31" s="600">
        <v>169450000</v>
      </c>
      <c r="D31" s="601">
        <f>+C31</f>
        <v>169450000</v>
      </c>
    </row>
    <row r="32" spans="1:7" ht="15" customHeight="1" x14ac:dyDescent="0.25">
      <c r="A32" s="588" t="s">
        <v>1293</v>
      </c>
      <c r="B32" s="589" t="s">
        <v>1294</v>
      </c>
      <c r="C32" s="600">
        <v>0</v>
      </c>
      <c r="D32" s="601">
        <v>0</v>
      </c>
    </row>
    <row r="33" spans="1:5" ht="15" customHeight="1" x14ac:dyDescent="0.25">
      <c r="A33" s="604" t="s">
        <v>1295</v>
      </c>
      <c r="B33" s="593" t="s">
        <v>1296</v>
      </c>
      <c r="C33" s="605">
        <f>+C26+C30</f>
        <v>238260000</v>
      </c>
      <c r="D33" s="606">
        <f>+D26+D30</f>
        <v>205589000</v>
      </c>
    </row>
    <row r="34" spans="1:5" ht="15" customHeight="1" x14ac:dyDescent="0.25">
      <c r="A34" s="604" t="s">
        <v>1297</v>
      </c>
      <c r="B34" s="593" t="s">
        <v>1298</v>
      </c>
      <c r="C34" s="605">
        <v>3682480849</v>
      </c>
      <c r="D34" s="606">
        <v>3380633125</v>
      </c>
      <c r="E34" s="602"/>
    </row>
    <row r="35" spans="1:5" ht="15" customHeight="1" x14ac:dyDescent="0.25">
      <c r="A35" s="607" t="s">
        <v>1299</v>
      </c>
      <c r="B35" s="608" t="s">
        <v>1300</v>
      </c>
      <c r="C35" s="609">
        <f>+C34+C33+C25+C7</f>
        <v>8689745034</v>
      </c>
      <c r="D35" s="610">
        <f>+D34+D33+D25+D7</f>
        <v>7212925667</v>
      </c>
    </row>
    <row r="36" spans="1:5" ht="15" customHeight="1" x14ac:dyDescent="0.25">
      <c r="A36" s="588" t="s">
        <v>1301</v>
      </c>
      <c r="B36" s="611" t="s">
        <v>1302</v>
      </c>
      <c r="C36" s="600">
        <v>3824976</v>
      </c>
      <c r="D36" s="601">
        <f>+C36</f>
        <v>3824976</v>
      </c>
    </row>
    <row r="37" spans="1:5" ht="15" customHeight="1" x14ac:dyDescent="0.25">
      <c r="A37" s="588" t="s">
        <v>1303</v>
      </c>
      <c r="B37" s="611" t="s">
        <v>1304</v>
      </c>
      <c r="C37" s="600">
        <v>69990000</v>
      </c>
      <c r="D37" s="601">
        <f>+C37</f>
        <v>69990000</v>
      </c>
    </row>
    <row r="38" spans="1:5" ht="15" customHeight="1" x14ac:dyDescent="0.25">
      <c r="A38" s="607" t="s">
        <v>1305</v>
      </c>
      <c r="B38" s="608" t="s">
        <v>1306</v>
      </c>
      <c r="C38" s="609">
        <f>SUM(C36:C37)</f>
        <v>73814976</v>
      </c>
      <c r="D38" s="610">
        <f>SUM(D36:D37)</f>
        <v>73814976</v>
      </c>
    </row>
    <row r="39" spans="1:5" ht="15" customHeight="1" x14ac:dyDescent="0.25">
      <c r="A39" s="588" t="s">
        <v>1307</v>
      </c>
      <c r="B39" s="611" t="s">
        <v>1308</v>
      </c>
      <c r="C39" s="600">
        <v>0</v>
      </c>
      <c r="D39" s="601">
        <f>+C39</f>
        <v>0</v>
      </c>
    </row>
    <row r="40" spans="1:5" ht="15" customHeight="1" x14ac:dyDescent="0.25">
      <c r="A40" s="588" t="s">
        <v>1309</v>
      </c>
      <c r="B40" s="611" t="s">
        <v>1310</v>
      </c>
      <c r="C40" s="600">
        <v>267465</v>
      </c>
      <c r="D40" s="601">
        <f>+C40</f>
        <v>267465</v>
      </c>
    </row>
    <row r="41" spans="1:5" ht="15" customHeight="1" x14ac:dyDescent="0.25">
      <c r="A41" s="588" t="s">
        <v>1311</v>
      </c>
      <c r="B41" s="611" t="s">
        <v>1312</v>
      </c>
      <c r="C41" s="600">
        <f>89068819+3507</f>
        <v>89072326</v>
      </c>
      <c r="D41" s="601">
        <f>+C41</f>
        <v>89072326</v>
      </c>
    </row>
    <row r="42" spans="1:5" ht="15" customHeight="1" x14ac:dyDescent="0.25">
      <c r="A42" s="588" t="s">
        <v>1313</v>
      </c>
      <c r="B42" s="611" t="s">
        <v>1314</v>
      </c>
      <c r="C42" s="600">
        <v>0</v>
      </c>
      <c r="D42" s="601">
        <f>+C42</f>
        <v>0</v>
      </c>
    </row>
    <row r="43" spans="1:5" ht="15" customHeight="1" x14ac:dyDescent="0.25">
      <c r="A43" s="607" t="s">
        <v>1315</v>
      </c>
      <c r="B43" s="608" t="s">
        <v>1316</v>
      </c>
      <c r="C43" s="609">
        <f>SUM(C39:C42)</f>
        <v>89339791</v>
      </c>
      <c r="D43" s="610">
        <f>SUM(D39:D42)</f>
        <v>89339791</v>
      </c>
    </row>
    <row r="44" spans="1:5" ht="30" x14ac:dyDescent="0.25">
      <c r="A44" s="588" t="s">
        <v>1317</v>
      </c>
      <c r="B44" s="589" t="s">
        <v>1318</v>
      </c>
      <c r="C44" s="600">
        <v>0</v>
      </c>
      <c r="D44" s="601">
        <v>0</v>
      </c>
    </row>
    <row r="45" spans="1:5" ht="30" x14ac:dyDescent="0.25">
      <c r="A45" s="588" t="s">
        <v>1319</v>
      </c>
      <c r="B45" s="589" t="s">
        <v>1320</v>
      </c>
      <c r="C45" s="600">
        <v>0</v>
      </c>
      <c r="D45" s="601">
        <v>0</v>
      </c>
    </row>
    <row r="46" spans="1:5" x14ac:dyDescent="0.25">
      <c r="A46" s="588" t="s">
        <v>1321</v>
      </c>
      <c r="B46" s="589" t="s">
        <v>1322</v>
      </c>
      <c r="C46" s="600">
        <v>212932028</v>
      </c>
      <c r="D46" s="601">
        <v>176933697</v>
      </c>
      <c r="E46" s="602"/>
    </row>
    <row r="47" spans="1:5" x14ac:dyDescent="0.25">
      <c r="A47" s="588" t="s">
        <v>1323</v>
      </c>
      <c r="B47" s="589" t="s">
        <v>1324</v>
      </c>
      <c r="C47" s="600">
        <f>2297571+53190+270400+126410+47000</f>
        <v>2794571</v>
      </c>
      <c r="D47" s="601">
        <f>1449557+53190+260320+82050+47000</f>
        <v>1892117</v>
      </c>
      <c r="E47" s="602"/>
    </row>
    <row r="48" spans="1:5" x14ac:dyDescent="0.25">
      <c r="A48" s="588" t="s">
        <v>1325</v>
      </c>
      <c r="B48" s="589" t="s">
        <v>1326</v>
      </c>
      <c r="C48" s="600">
        <f>1555080</f>
        <v>1555080</v>
      </c>
      <c r="D48" s="601">
        <v>466500</v>
      </c>
      <c r="E48" s="602"/>
    </row>
    <row r="49" spans="1:5" x14ac:dyDescent="0.25">
      <c r="A49" s="588" t="s">
        <v>1327</v>
      </c>
      <c r="B49" s="589" t="s">
        <v>1328</v>
      </c>
      <c r="C49" s="600">
        <v>975200</v>
      </c>
      <c r="D49" s="601">
        <v>292560</v>
      </c>
      <c r="E49" s="602"/>
    </row>
    <row r="50" spans="1:5" x14ac:dyDescent="0.25">
      <c r="A50" s="588" t="s">
        <v>1329</v>
      </c>
      <c r="B50" s="589" t="s">
        <v>1330</v>
      </c>
      <c r="C50" s="600">
        <v>6541350</v>
      </c>
      <c r="D50" s="601">
        <v>1962405</v>
      </c>
      <c r="E50" s="602"/>
    </row>
    <row r="51" spans="1:5" x14ac:dyDescent="0.25">
      <c r="A51" s="588" t="s">
        <v>1331</v>
      </c>
      <c r="B51" s="589" t="s">
        <v>1332</v>
      </c>
      <c r="C51" s="600"/>
      <c r="D51" s="601"/>
    </row>
    <row r="52" spans="1:5" x14ac:dyDescent="0.25">
      <c r="A52" s="604" t="s">
        <v>1333</v>
      </c>
      <c r="B52" s="593" t="s">
        <v>1334</v>
      </c>
      <c r="C52" s="605">
        <f>SUM(C44:C51)</f>
        <v>224798229</v>
      </c>
      <c r="D52" s="606">
        <f>SUM(D44:D51)</f>
        <v>181547279</v>
      </c>
      <c r="E52" s="602"/>
    </row>
    <row r="53" spans="1:5" ht="30" x14ac:dyDescent="0.25">
      <c r="A53" s="588" t="s">
        <v>1335</v>
      </c>
      <c r="B53" s="589" t="s">
        <v>1336</v>
      </c>
      <c r="C53" s="600"/>
      <c r="D53" s="601"/>
    </row>
    <row r="54" spans="1:5" ht="30" x14ac:dyDescent="0.25">
      <c r="A54" s="588" t="s">
        <v>1337</v>
      </c>
      <c r="B54" s="589" t="s">
        <v>1338</v>
      </c>
      <c r="C54" s="600"/>
      <c r="D54" s="601"/>
    </row>
    <row r="55" spans="1:5" x14ac:dyDescent="0.25">
      <c r="A55" s="588" t="s">
        <v>1339</v>
      </c>
      <c r="B55" s="589" t="s">
        <v>1340</v>
      </c>
      <c r="C55" s="600"/>
      <c r="D55" s="601"/>
    </row>
    <row r="56" spans="1:5" x14ac:dyDescent="0.25">
      <c r="A56" s="588" t="s">
        <v>1341</v>
      </c>
      <c r="B56" s="589" t="s">
        <v>1342</v>
      </c>
      <c r="C56" s="600">
        <v>566533</v>
      </c>
      <c r="D56" s="601">
        <f>+C56</f>
        <v>566533</v>
      </c>
    </row>
    <row r="57" spans="1:5" x14ac:dyDescent="0.25">
      <c r="A57" s="588" t="s">
        <v>1343</v>
      </c>
      <c r="B57" s="589" t="s">
        <v>1344</v>
      </c>
      <c r="C57" s="600"/>
      <c r="D57" s="601"/>
    </row>
    <row r="58" spans="1:5" x14ac:dyDescent="0.25">
      <c r="A58" s="588" t="s">
        <v>1345</v>
      </c>
      <c r="B58" s="589" t="s">
        <v>1346</v>
      </c>
      <c r="C58" s="600"/>
      <c r="D58" s="601"/>
    </row>
    <row r="59" spans="1:5" ht="18" customHeight="1" x14ac:dyDescent="0.25">
      <c r="A59" s="588" t="s">
        <v>1347</v>
      </c>
      <c r="B59" s="589" t="s">
        <v>1348</v>
      </c>
      <c r="C59" s="600"/>
      <c r="D59" s="601"/>
    </row>
    <row r="60" spans="1:5" x14ac:dyDescent="0.25">
      <c r="A60" s="588" t="s">
        <v>1349</v>
      </c>
      <c r="B60" s="589" t="s">
        <v>1350</v>
      </c>
      <c r="C60" s="600"/>
      <c r="D60" s="601"/>
    </row>
    <row r="61" spans="1:5" x14ac:dyDescent="0.25">
      <c r="A61" s="604" t="s">
        <v>1351</v>
      </c>
      <c r="B61" s="593" t="s">
        <v>1352</v>
      </c>
      <c r="C61" s="605">
        <f>SUM(C53:C60)</f>
        <v>566533</v>
      </c>
      <c r="D61" s="606">
        <f>SUM(D53:D60)</f>
        <v>566533</v>
      </c>
    </row>
    <row r="62" spans="1:5" ht="15" customHeight="1" x14ac:dyDescent="0.25">
      <c r="A62" s="604" t="s">
        <v>1353</v>
      </c>
      <c r="B62" s="593" t="s">
        <v>1354</v>
      </c>
      <c r="C62" s="605">
        <v>536861654</v>
      </c>
      <c r="D62" s="606">
        <f>+C62</f>
        <v>536861654</v>
      </c>
    </row>
    <row r="63" spans="1:5" ht="15" customHeight="1" x14ac:dyDescent="0.25">
      <c r="A63" s="607" t="s">
        <v>1355</v>
      </c>
      <c r="B63" s="608" t="s">
        <v>1356</v>
      </c>
      <c r="C63" s="609">
        <f>+C62+C61+C52</f>
        <v>762226416</v>
      </c>
      <c r="D63" s="610">
        <f>+D62+D61+D52</f>
        <v>718975466</v>
      </c>
    </row>
    <row r="64" spans="1:5" ht="15" customHeight="1" x14ac:dyDescent="0.25">
      <c r="A64" s="607" t="s">
        <v>1357</v>
      </c>
      <c r="B64" s="608" t="s">
        <v>1358</v>
      </c>
      <c r="C64" s="609">
        <v>-799669</v>
      </c>
      <c r="D64" s="610">
        <f>+C64</f>
        <v>-799669</v>
      </c>
    </row>
    <row r="65" spans="1:5" ht="15" customHeight="1" x14ac:dyDescent="0.25">
      <c r="A65" s="607" t="s">
        <v>1359</v>
      </c>
      <c r="B65" s="612" t="s">
        <v>1360</v>
      </c>
      <c r="C65" s="613">
        <v>1562383</v>
      </c>
      <c r="D65" s="614">
        <f>+C65</f>
        <v>1562383</v>
      </c>
    </row>
    <row r="66" spans="1:5" ht="25.5" customHeight="1" thickBot="1" x14ac:dyDescent="0.3">
      <c r="A66" s="615" t="s">
        <v>1361</v>
      </c>
      <c r="B66" s="616" t="s">
        <v>1362</v>
      </c>
      <c r="C66" s="617">
        <f>+C65+C64+C63+C43+C38+C35</f>
        <v>9615888931</v>
      </c>
      <c r="D66" s="618">
        <f>+D65+D64+D63+D43+D38+D35</f>
        <v>8095818614</v>
      </c>
      <c r="E66" s="602"/>
    </row>
    <row r="67" spans="1:5" ht="15" customHeight="1" thickTop="1" thickBot="1" x14ac:dyDescent="0.3">
      <c r="A67" s="619" t="s">
        <v>1363</v>
      </c>
      <c r="B67" s="620" t="s">
        <v>1364</v>
      </c>
      <c r="C67" s="621"/>
      <c r="D67" s="622"/>
    </row>
    <row r="68" spans="1:5" ht="15" customHeight="1" thickTop="1" x14ac:dyDescent="0.25">
      <c r="A68" s="623" t="s">
        <v>1365</v>
      </c>
      <c r="B68" s="624" t="s">
        <v>1366</v>
      </c>
      <c r="C68" s="625"/>
      <c r="D68" s="591">
        <f>+'20. egyszerűsített mérleg'!E70</f>
        <v>4969664551</v>
      </c>
    </row>
    <row r="69" spans="1:5" ht="15" customHeight="1" x14ac:dyDescent="0.25">
      <c r="A69" s="588" t="s">
        <v>1367</v>
      </c>
      <c r="B69" s="611" t="s">
        <v>1368</v>
      </c>
      <c r="C69" s="626"/>
      <c r="D69" s="591">
        <f>+'20. egyszerűsített mérleg'!E71</f>
        <v>2224629031</v>
      </c>
    </row>
    <row r="70" spans="1:5" ht="15" customHeight="1" x14ac:dyDescent="0.25">
      <c r="A70" s="588" t="s">
        <v>1369</v>
      </c>
      <c r="B70" s="611" t="s">
        <v>1370</v>
      </c>
      <c r="C70" s="626"/>
      <c r="D70" s="591">
        <f>+'20. egyszerűsített mérleg'!E72</f>
        <v>59953905</v>
      </c>
    </row>
    <row r="71" spans="1:5" ht="15" customHeight="1" x14ac:dyDescent="0.25">
      <c r="A71" s="588" t="s">
        <v>1371</v>
      </c>
      <c r="B71" s="611" t="s">
        <v>1372</v>
      </c>
      <c r="C71" s="626"/>
      <c r="D71" s="591">
        <f>+'20. egyszerűsített mérleg'!E74</f>
        <v>-146954694</v>
      </c>
    </row>
    <row r="72" spans="1:5" ht="15" customHeight="1" x14ac:dyDescent="0.25">
      <c r="A72" s="588" t="s">
        <v>1373</v>
      </c>
      <c r="B72" s="611" t="s">
        <v>1374</v>
      </c>
      <c r="C72" s="626"/>
      <c r="D72" s="591"/>
    </row>
    <row r="73" spans="1:5" ht="15" customHeight="1" x14ac:dyDescent="0.25">
      <c r="A73" s="588" t="s">
        <v>1375</v>
      </c>
      <c r="B73" s="611" t="s">
        <v>1376</v>
      </c>
      <c r="C73" s="626"/>
      <c r="D73" s="591">
        <f>+'20. egyszerűsített mérleg'!E75</f>
        <v>297954909</v>
      </c>
    </row>
    <row r="74" spans="1:5" ht="15" customHeight="1" x14ac:dyDescent="0.25">
      <c r="A74" s="607" t="s">
        <v>1377</v>
      </c>
      <c r="B74" s="608" t="s">
        <v>1378</v>
      </c>
      <c r="C74" s="609"/>
      <c r="D74" s="627">
        <f>SUM(D68:D73)</f>
        <v>7405247702</v>
      </c>
    </row>
    <row r="75" spans="1:5" x14ac:dyDescent="0.25">
      <c r="A75" s="588" t="s">
        <v>1379</v>
      </c>
      <c r="B75" s="589" t="s">
        <v>1380</v>
      </c>
      <c r="C75" s="628"/>
      <c r="D75" s="629"/>
    </row>
    <row r="76" spans="1:5" ht="30" x14ac:dyDescent="0.25">
      <c r="A76" s="588" t="s">
        <v>1381</v>
      </c>
      <c r="B76" s="589" t="s">
        <v>1382</v>
      </c>
      <c r="C76" s="628"/>
      <c r="D76" s="629"/>
    </row>
    <row r="77" spans="1:5" x14ac:dyDescent="0.25">
      <c r="A77" s="588" t="s">
        <v>1383</v>
      </c>
      <c r="B77" s="589" t="s">
        <v>1384</v>
      </c>
      <c r="C77" s="628"/>
      <c r="D77" s="629">
        <f>+'20. egyszerűsített mérleg'!E77</f>
        <v>8937811</v>
      </c>
    </row>
    <row r="78" spans="1:5" x14ac:dyDescent="0.25">
      <c r="A78" s="588" t="s">
        <v>1385</v>
      </c>
      <c r="B78" s="589" t="s">
        <v>1386</v>
      </c>
      <c r="C78" s="628"/>
      <c r="D78" s="629">
        <f>+'20. egyszerűsített mérleg'!E78</f>
        <v>330000</v>
      </c>
    </row>
    <row r="79" spans="1:5" x14ac:dyDescent="0.25">
      <c r="A79" s="588" t="s">
        <v>1387</v>
      </c>
      <c r="B79" s="589" t="s">
        <v>1388</v>
      </c>
      <c r="C79" s="628"/>
      <c r="D79" s="629"/>
    </row>
    <row r="80" spans="1:5" x14ac:dyDescent="0.25">
      <c r="A80" s="588" t="s">
        <v>1389</v>
      </c>
      <c r="B80" s="589" t="s">
        <v>1390</v>
      </c>
      <c r="C80" s="628"/>
      <c r="D80" s="629">
        <f>+'20. egyszerűsített mérleg'!E79</f>
        <v>399883</v>
      </c>
    </row>
    <row r="81" spans="1:4" x14ac:dyDescent="0.25">
      <c r="A81" s="588" t="s">
        <v>1391</v>
      </c>
      <c r="B81" s="589" t="s">
        <v>1392</v>
      </c>
      <c r="C81" s="628"/>
      <c r="D81" s="629">
        <f>+'20. egyszerűsített mérleg'!E80</f>
        <v>7275222</v>
      </c>
    </row>
    <row r="82" spans="1:4" x14ac:dyDescent="0.25">
      <c r="A82" s="588" t="s">
        <v>1393</v>
      </c>
      <c r="B82" s="589" t="s">
        <v>1394</v>
      </c>
      <c r="C82" s="628"/>
      <c r="D82" s="629"/>
    </row>
    <row r="83" spans="1:4" x14ac:dyDescent="0.25">
      <c r="A83" s="588" t="s">
        <v>1395</v>
      </c>
      <c r="B83" s="589" t="s">
        <v>1396</v>
      </c>
      <c r="C83" s="628"/>
      <c r="D83" s="629"/>
    </row>
    <row r="84" spans="1:4" x14ac:dyDescent="0.25">
      <c r="A84" s="604" t="s">
        <v>1397</v>
      </c>
      <c r="B84" s="593" t="s">
        <v>1398</v>
      </c>
      <c r="C84" s="605"/>
      <c r="D84" s="630">
        <f>SUM(D75:D83)</f>
        <v>16942916</v>
      </c>
    </row>
    <row r="85" spans="1:4" x14ac:dyDescent="0.25">
      <c r="A85" s="588" t="s">
        <v>1399</v>
      </c>
      <c r="B85" s="589" t="s">
        <v>1400</v>
      </c>
      <c r="C85" s="626"/>
      <c r="D85" s="601"/>
    </row>
    <row r="86" spans="1:4" ht="30" x14ac:dyDescent="0.25">
      <c r="A86" s="588" t="s">
        <v>1401</v>
      </c>
      <c r="B86" s="589" t="s">
        <v>1402</v>
      </c>
      <c r="C86" s="626"/>
      <c r="D86" s="601"/>
    </row>
    <row r="87" spans="1:4" x14ac:dyDescent="0.25">
      <c r="A87" s="588" t="s">
        <v>1403</v>
      </c>
      <c r="B87" s="589" t="s">
        <v>1404</v>
      </c>
      <c r="C87" s="626"/>
      <c r="D87" s="601">
        <f>+'20. egyszerűsített mérleg'!E82</f>
        <v>6820046</v>
      </c>
    </row>
    <row r="88" spans="1:4" x14ac:dyDescent="0.25">
      <c r="A88" s="588" t="s">
        <v>1405</v>
      </c>
      <c r="B88" s="589" t="s">
        <v>1406</v>
      </c>
      <c r="C88" s="626"/>
      <c r="D88" s="601"/>
    </row>
    <row r="89" spans="1:4" x14ac:dyDescent="0.25">
      <c r="A89" s="588" t="s">
        <v>1407</v>
      </c>
      <c r="B89" s="589" t="s">
        <v>1408</v>
      </c>
      <c r="C89" s="626"/>
      <c r="D89" s="601"/>
    </row>
    <row r="90" spans="1:4" x14ac:dyDescent="0.25">
      <c r="A90" s="588" t="s">
        <v>1409</v>
      </c>
      <c r="B90" s="589" t="s">
        <v>1410</v>
      </c>
      <c r="C90" s="626"/>
      <c r="D90" s="601">
        <f>+'20. egyszerűsített mérleg'!E84</f>
        <v>3657600</v>
      </c>
    </row>
    <row r="91" spans="1:4" x14ac:dyDescent="0.25">
      <c r="A91" s="588" t="s">
        <v>1411</v>
      </c>
      <c r="B91" s="589" t="s">
        <v>1412</v>
      </c>
      <c r="C91" s="626"/>
      <c r="D91" s="601"/>
    </row>
    <row r="92" spans="1:4" ht="18.75" customHeight="1" x14ac:dyDescent="0.25">
      <c r="A92" s="588" t="s">
        <v>1413</v>
      </c>
      <c r="B92" s="589" t="s">
        <v>1414</v>
      </c>
      <c r="C92" s="626"/>
      <c r="D92" s="601"/>
    </row>
    <row r="93" spans="1:4" x14ac:dyDescent="0.25">
      <c r="A93" s="588" t="s">
        <v>1415</v>
      </c>
      <c r="B93" s="589" t="s">
        <v>1416</v>
      </c>
      <c r="C93" s="626"/>
      <c r="D93" s="601">
        <f>+'20. egyszerűsített mérleg'!E85</f>
        <v>2769808</v>
      </c>
    </row>
    <row r="94" spans="1:4" ht="15" customHeight="1" x14ac:dyDescent="0.25">
      <c r="A94" s="604" t="s">
        <v>1417</v>
      </c>
      <c r="B94" s="631" t="s">
        <v>1418</v>
      </c>
      <c r="C94" s="605"/>
      <c r="D94" s="606">
        <f>SUM(D85:D93)</f>
        <v>13247454</v>
      </c>
    </row>
    <row r="95" spans="1:4" ht="15" customHeight="1" x14ac:dyDescent="0.25">
      <c r="A95" s="604" t="s">
        <v>1419</v>
      </c>
      <c r="B95" s="631" t="s">
        <v>1420</v>
      </c>
      <c r="C95" s="605"/>
      <c r="D95" s="606">
        <v>40362945</v>
      </c>
    </row>
    <row r="96" spans="1:4" ht="15" customHeight="1" x14ac:dyDescent="0.25">
      <c r="A96" s="607" t="s">
        <v>1421</v>
      </c>
      <c r="B96" s="632" t="s">
        <v>1422</v>
      </c>
      <c r="C96" s="609"/>
      <c r="D96" s="610">
        <f>+D95+D94+D84</f>
        <v>70553315</v>
      </c>
    </row>
    <row r="97" spans="1:4" ht="15" customHeight="1" x14ac:dyDescent="0.25">
      <c r="A97" s="607" t="s">
        <v>1423</v>
      </c>
      <c r="B97" s="633" t="s">
        <v>1424</v>
      </c>
      <c r="C97" s="634"/>
      <c r="D97" s="635">
        <v>0</v>
      </c>
    </row>
    <row r="98" spans="1:4" ht="15" customHeight="1" x14ac:dyDescent="0.25">
      <c r="A98" s="607" t="s">
        <v>1425</v>
      </c>
      <c r="B98" s="633" t="s">
        <v>1426</v>
      </c>
      <c r="C98" s="634"/>
      <c r="D98" s="635">
        <v>620017597</v>
      </c>
    </row>
    <row r="99" spans="1:4" ht="22.5" customHeight="1" thickBot="1" x14ac:dyDescent="0.3">
      <c r="A99" s="636" t="s">
        <v>1427</v>
      </c>
      <c r="B99" s="637" t="s">
        <v>1428</v>
      </c>
      <c r="C99" s="638"/>
      <c r="D99" s="639">
        <f>SUM(D74,D96:D98)</f>
        <v>8095818614</v>
      </c>
    </row>
    <row r="101" spans="1:4" x14ac:dyDescent="0.25">
      <c r="C101" s="577"/>
      <c r="D101" s="577">
        <f>D99-D66</f>
        <v>0</v>
      </c>
    </row>
  </sheetData>
  <mergeCells count="3">
    <mergeCell ref="A1:D1"/>
    <mergeCell ref="A2:D2"/>
    <mergeCell ref="C3:D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&amp;CTaksony Nagyközség Önkormányzat 2018. évi zárszámadás&amp;R18.sz. melléklet</oddHeader>
    <oddFooter xml:space="preserve">&amp;LKészült: &amp;D
&amp;C&amp;P&amp;R/:Kreisz László://:Dr.Micheller Anita:/
/:Szelecki N.Andrea:/       </oddFooter>
  </headerFooter>
  <rowBreaks count="1" manualBreakCount="1">
    <brk id="6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1" workbookViewId="0">
      <selection activeCell="L86" sqref="L86"/>
    </sheetView>
  </sheetViews>
  <sheetFormatPr defaultRowHeight="15" x14ac:dyDescent="0.25"/>
  <cols>
    <col min="1" max="1" width="61.5703125" style="545" customWidth="1"/>
    <col min="2" max="2" width="9.140625" style="545"/>
    <col min="3" max="3" width="16.5703125" style="545" customWidth="1"/>
    <col min="4" max="4" width="14" style="545" bestFit="1" customWidth="1"/>
    <col min="5" max="5" width="9.85546875" style="545" bestFit="1" customWidth="1"/>
    <col min="6" max="16384" width="9.140625" style="641"/>
  </cols>
  <sheetData>
    <row r="1" spans="1:4" x14ac:dyDescent="0.25">
      <c r="A1" s="919" t="s">
        <v>1243</v>
      </c>
      <c r="B1" s="919"/>
      <c r="C1" s="919"/>
      <c r="D1" s="919"/>
    </row>
    <row r="2" spans="1:4" x14ac:dyDescent="0.25">
      <c r="A2" s="920"/>
      <c r="B2" s="920"/>
      <c r="C2" s="920"/>
      <c r="D2" s="920"/>
    </row>
    <row r="3" spans="1:4" x14ac:dyDescent="0.25">
      <c r="A3" s="642"/>
      <c r="B3" s="643"/>
      <c r="C3" s="644"/>
      <c r="D3" s="644"/>
    </row>
    <row r="4" spans="1:4" ht="15.75" thickBot="1" x14ac:dyDescent="0.3">
      <c r="A4" s="645"/>
      <c r="B4" s="646"/>
      <c r="C4" s="647"/>
      <c r="D4" s="647"/>
    </row>
    <row r="5" spans="1:4" ht="27.75" customHeight="1" thickBot="1" x14ac:dyDescent="0.3">
      <c r="A5" s="582" t="s">
        <v>1429</v>
      </c>
      <c r="B5" s="582" t="s">
        <v>1430</v>
      </c>
      <c r="C5" s="582" t="s">
        <v>1245</v>
      </c>
      <c r="D5" s="648"/>
    </row>
    <row r="6" spans="1:4" ht="15.95" customHeight="1" thickBot="1" x14ac:dyDescent="0.3">
      <c r="A6" s="921" t="s">
        <v>1431</v>
      </c>
      <c r="B6" s="922"/>
      <c r="C6" s="923"/>
      <c r="D6" s="649"/>
    </row>
    <row r="7" spans="1:4" ht="15.95" customHeight="1" thickBot="1" x14ac:dyDescent="0.3">
      <c r="A7" s="650" t="s">
        <v>1432</v>
      </c>
      <c r="B7" s="651">
        <v>1</v>
      </c>
      <c r="C7" s="652">
        <f>C8+C9</f>
        <v>84326048</v>
      </c>
      <c r="D7" s="653"/>
    </row>
    <row r="8" spans="1:4" ht="15.95" customHeight="1" x14ac:dyDescent="0.25">
      <c r="A8" s="654" t="s">
        <v>1433</v>
      </c>
      <c r="B8" s="655">
        <v>2</v>
      </c>
      <c r="C8" s="656">
        <v>84326048</v>
      </c>
      <c r="D8" s="657"/>
    </row>
    <row r="9" spans="1:4" ht="15.95" customHeight="1" thickBot="1" x14ac:dyDescent="0.3">
      <c r="A9" s="658" t="s">
        <v>1434</v>
      </c>
      <c r="B9" s="659">
        <v>3</v>
      </c>
      <c r="C9" s="660"/>
      <c r="D9" s="657"/>
    </row>
    <row r="10" spans="1:4" ht="15.95" customHeight="1" thickBot="1" x14ac:dyDescent="0.3">
      <c r="A10" s="650" t="s">
        <v>1435</v>
      </c>
      <c r="B10" s="651">
        <v>4</v>
      </c>
      <c r="C10" s="652">
        <f>C11+C14+C17</f>
        <v>90387613</v>
      </c>
      <c r="D10" s="653"/>
    </row>
    <row r="11" spans="1:4" ht="15.95" customHeight="1" x14ac:dyDescent="0.25">
      <c r="A11" s="661" t="s">
        <v>1436</v>
      </c>
      <c r="B11" s="662">
        <v>5</v>
      </c>
      <c r="C11" s="663">
        <f>SUM(C12:C13)</f>
        <v>13095399</v>
      </c>
      <c r="D11" s="657"/>
    </row>
    <row r="12" spans="1:4" ht="15.95" customHeight="1" x14ac:dyDescent="0.25">
      <c r="A12" s="654" t="s">
        <v>1433</v>
      </c>
      <c r="B12" s="655">
        <v>6</v>
      </c>
      <c r="C12" s="656">
        <v>13095399</v>
      </c>
      <c r="D12" s="657"/>
    </row>
    <row r="13" spans="1:4" ht="15.95" customHeight="1" x14ac:dyDescent="0.25">
      <c r="A13" s="664" t="s">
        <v>1434</v>
      </c>
      <c r="B13" s="665">
        <v>7</v>
      </c>
      <c r="C13" s="666"/>
      <c r="D13" s="657"/>
    </row>
    <row r="14" spans="1:4" ht="15.95" customHeight="1" x14ac:dyDescent="0.25">
      <c r="A14" s="664" t="s">
        <v>1437</v>
      </c>
      <c r="B14" s="665">
        <v>8</v>
      </c>
      <c r="C14" s="666">
        <f>SUM(C15:C16)</f>
        <v>77292214</v>
      </c>
      <c r="D14" s="657"/>
    </row>
    <row r="15" spans="1:4" ht="15.95" customHeight="1" x14ac:dyDescent="0.25">
      <c r="A15" s="664" t="s">
        <v>1433</v>
      </c>
      <c r="B15" s="665">
        <v>9</v>
      </c>
      <c r="C15" s="666">
        <v>77292214</v>
      </c>
      <c r="D15" s="657"/>
    </row>
    <row r="16" spans="1:4" ht="15.95" customHeight="1" x14ac:dyDescent="0.25">
      <c r="A16" s="664" t="s">
        <v>1434</v>
      </c>
      <c r="B16" s="665">
        <v>10</v>
      </c>
      <c r="C16" s="666"/>
      <c r="D16" s="657"/>
    </row>
    <row r="17" spans="1:5" ht="15.95" customHeight="1" x14ac:dyDescent="0.25">
      <c r="A17" s="664" t="s">
        <v>1438</v>
      </c>
      <c r="B17" s="665">
        <v>11</v>
      </c>
      <c r="C17" s="666"/>
      <c r="D17" s="657"/>
    </row>
    <row r="18" spans="1:5" ht="15.95" customHeight="1" x14ac:dyDescent="0.25">
      <c r="A18" s="664" t="s">
        <v>1433</v>
      </c>
      <c r="B18" s="665">
        <v>12</v>
      </c>
      <c r="C18" s="666"/>
      <c r="D18" s="657"/>
    </row>
    <row r="19" spans="1:5" ht="15.95" customHeight="1" thickBot="1" x14ac:dyDescent="0.3">
      <c r="A19" s="658" t="s">
        <v>1434</v>
      </c>
      <c r="B19" s="659">
        <v>13</v>
      </c>
      <c r="C19" s="660"/>
      <c r="D19" s="657"/>
    </row>
    <row r="20" spans="1:5" ht="15.95" customHeight="1" thickBot="1" x14ac:dyDescent="0.3">
      <c r="A20" s="667" t="s">
        <v>1439</v>
      </c>
      <c r="B20" s="651">
        <v>14</v>
      </c>
      <c r="C20" s="652">
        <f>C21+C22</f>
        <v>0</v>
      </c>
      <c r="D20" s="653"/>
    </row>
    <row r="21" spans="1:5" ht="15.95" customHeight="1" x14ac:dyDescent="0.25">
      <c r="A21" s="654" t="s">
        <v>1433</v>
      </c>
      <c r="B21" s="655">
        <v>15</v>
      </c>
      <c r="C21" s="656">
        <v>0</v>
      </c>
      <c r="D21" s="657"/>
    </row>
    <row r="22" spans="1:5" ht="15.95" customHeight="1" thickBot="1" x14ac:dyDescent="0.3">
      <c r="A22" s="668" t="s">
        <v>1434</v>
      </c>
      <c r="B22" s="669">
        <v>16</v>
      </c>
      <c r="C22" s="670"/>
      <c r="D22" s="657"/>
    </row>
    <row r="23" spans="1:5" ht="15.95" customHeight="1" thickBot="1" x14ac:dyDescent="0.3">
      <c r="A23" s="671" t="s">
        <v>1440</v>
      </c>
      <c r="B23" s="672">
        <v>17</v>
      </c>
      <c r="C23" s="673">
        <f>C7+C10+C20</f>
        <v>174713661</v>
      </c>
      <c r="D23" s="674"/>
    </row>
    <row r="24" spans="1:5" ht="15.95" customHeight="1" x14ac:dyDescent="0.25">
      <c r="A24" s="675"/>
      <c r="B24" s="676"/>
      <c r="C24" s="677"/>
      <c r="D24" s="677"/>
    </row>
    <row r="25" spans="1:5" ht="15.95" customHeight="1" x14ac:dyDescent="0.25">
      <c r="A25" s="675"/>
      <c r="B25" s="676"/>
      <c r="C25" s="677"/>
      <c r="D25" s="677"/>
    </row>
    <row r="26" spans="1:5" ht="15.95" customHeight="1" x14ac:dyDescent="0.25">
      <c r="A26" s="675"/>
      <c r="B26" s="676"/>
      <c r="C26" s="677"/>
      <c r="D26" s="677"/>
    </row>
    <row r="27" spans="1:5" ht="15.95" customHeight="1" x14ac:dyDescent="0.25">
      <c r="A27" s="675"/>
      <c r="B27" s="676"/>
      <c r="C27" s="677"/>
      <c r="D27" s="677"/>
    </row>
    <row r="28" spans="1:5" ht="15.95" customHeight="1" x14ac:dyDescent="0.25">
      <c r="A28" s="642"/>
      <c r="B28" s="643"/>
      <c r="C28" s="678"/>
      <c r="D28" s="679"/>
    </row>
    <row r="29" spans="1:5" ht="15.95" customHeight="1" thickBot="1" x14ac:dyDescent="0.3">
      <c r="A29" s="645"/>
      <c r="B29" s="646"/>
      <c r="C29" s="647"/>
      <c r="D29" s="647"/>
    </row>
    <row r="30" spans="1:5" ht="30.75" customHeight="1" thickBot="1" x14ac:dyDescent="0.3">
      <c r="A30" s="680" t="s">
        <v>535</v>
      </c>
      <c r="B30" s="681" t="s">
        <v>1430</v>
      </c>
      <c r="C30" s="682" t="s">
        <v>1441</v>
      </c>
      <c r="D30" s="582" t="s">
        <v>1442</v>
      </c>
    </row>
    <row r="31" spans="1:5" ht="31.5" customHeight="1" thickBot="1" x14ac:dyDescent="0.3">
      <c r="A31" s="924" t="s">
        <v>1443</v>
      </c>
      <c r="B31" s="925"/>
      <c r="C31" s="925"/>
      <c r="D31" s="926"/>
    </row>
    <row r="32" spans="1:5" ht="15.95" customHeight="1" x14ac:dyDescent="0.25">
      <c r="A32" s="683" t="s">
        <v>1785</v>
      </c>
      <c r="B32" s="684">
        <v>1</v>
      </c>
      <c r="C32" s="685">
        <v>5</v>
      </c>
      <c r="D32" s="686">
        <v>4836002</v>
      </c>
      <c r="E32" s="748"/>
    </row>
    <row r="33" spans="1:4" ht="15.95" customHeight="1" x14ac:dyDescent="0.25">
      <c r="A33" s="687" t="s">
        <v>1444</v>
      </c>
      <c r="B33" s="688">
        <v>2</v>
      </c>
      <c r="C33" s="689"/>
      <c r="D33" s="690"/>
    </row>
    <row r="34" spans="1:4" ht="15.95" customHeight="1" x14ac:dyDescent="0.25">
      <c r="A34" s="691" t="s">
        <v>1445</v>
      </c>
      <c r="B34" s="688">
        <v>3</v>
      </c>
      <c r="C34" s="689"/>
      <c r="D34" s="690"/>
    </row>
    <row r="35" spans="1:4" ht="15.95" customHeight="1" x14ac:dyDescent="0.25">
      <c r="A35" s="687" t="s">
        <v>1446</v>
      </c>
      <c r="B35" s="688">
        <v>4</v>
      </c>
      <c r="C35" s="689"/>
      <c r="D35" s="690"/>
    </row>
    <row r="36" spans="1:4" ht="15.95" customHeight="1" thickBot="1" x14ac:dyDescent="0.3">
      <c r="A36" s="687" t="s">
        <v>1447</v>
      </c>
      <c r="B36" s="688">
        <v>5</v>
      </c>
      <c r="C36" s="689"/>
      <c r="D36" s="690"/>
    </row>
    <row r="37" spans="1:4" ht="15.95" customHeight="1" thickBot="1" x14ac:dyDescent="0.3">
      <c r="A37" s="671" t="s">
        <v>1448</v>
      </c>
      <c r="B37" s="672">
        <v>6</v>
      </c>
      <c r="C37" s="692">
        <f>SUM(C32:C35)</f>
        <v>5</v>
      </c>
      <c r="D37" s="693">
        <f>SUM(D32:D35)</f>
        <v>4836002</v>
      </c>
    </row>
    <row r="38" spans="1:4" ht="15.95" customHeight="1" x14ac:dyDescent="0.25">
      <c r="A38" s="694"/>
      <c r="B38" s="694"/>
      <c r="C38" s="695"/>
      <c r="D38" s="695"/>
    </row>
    <row r="39" spans="1:4" ht="15.95" customHeight="1" x14ac:dyDescent="0.25">
      <c r="A39" s="694"/>
      <c r="B39" s="694"/>
      <c r="C39" s="694"/>
      <c r="D39" s="694"/>
    </row>
    <row r="40" spans="1:4" ht="15.95" customHeight="1" x14ac:dyDescent="0.25">
      <c r="A40" s="694"/>
      <c r="B40" s="694"/>
      <c r="C40" s="694"/>
      <c r="D40" s="694"/>
    </row>
    <row r="41" spans="1:4" ht="15.95" customHeight="1" x14ac:dyDescent="0.25">
      <c r="A41" s="642"/>
      <c r="B41" s="643"/>
      <c r="C41" s="678"/>
      <c r="D41" s="679"/>
    </row>
    <row r="42" spans="1:4" ht="15.95" customHeight="1" thickBot="1" x14ac:dyDescent="0.3">
      <c r="A42" s="645"/>
      <c r="B42" s="646"/>
      <c r="C42" s="647"/>
      <c r="D42" s="647"/>
    </row>
    <row r="43" spans="1:4" ht="36" customHeight="1" thickBot="1" x14ac:dyDescent="0.3">
      <c r="A43" s="696" t="s">
        <v>535</v>
      </c>
      <c r="B43" s="697" t="s">
        <v>1430</v>
      </c>
      <c r="C43" s="698" t="s">
        <v>1441</v>
      </c>
      <c r="D43" s="582" t="s">
        <v>1442</v>
      </c>
    </row>
    <row r="44" spans="1:4" ht="31.5" customHeight="1" thickBot="1" x14ac:dyDescent="0.3">
      <c r="A44" s="924" t="s">
        <v>1449</v>
      </c>
      <c r="B44" s="925"/>
      <c r="C44" s="925"/>
      <c r="D44" s="926"/>
    </row>
    <row r="45" spans="1:4" ht="15.95" customHeight="1" thickBot="1" x14ac:dyDescent="0.3">
      <c r="A45" s="650" t="s">
        <v>1450</v>
      </c>
      <c r="B45" s="699">
        <v>1</v>
      </c>
      <c r="C45" s="652">
        <f>SUM(C46:C47)</f>
        <v>0</v>
      </c>
      <c r="D45" s="700">
        <f>SUM(D46:D47)</f>
        <v>0</v>
      </c>
    </row>
    <row r="46" spans="1:4" ht="15.95" customHeight="1" x14ac:dyDescent="0.25">
      <c r="A46" s="654" t="s">
        <v>1451</v>
      </c>
      <c r="B46" s="701">
        <v>2</v>
      </c>
      <c r="C46" s="656"/>
      <c r="D46" s="702"/>
    </row>
    <row r="47" spans="1:4" ht="15.95" customHeight="1" thickBot="1" x14ac:dyDescent="0.3">
      <c r="A47" s="703" t="s">
        <v>1452</v>
      </c>
      <c r="B47" s="704">
        <v>3</v>
      </c>
      <c r="C47" s="705"/>
      <c r="D47" s="706"/>
    </row>
    <row r="48" spans="1:4" ht="15.95" customHeight="1" thickBot="1" x14ac:dyDescent="0.3">
      <c r="A48" s="707" t="s">
        <v>1453</v>
      </c>
      <c r="B48" s="708">
        <v>4</v>
      </c>
      <c r="C48" s="709"/>
      <c r="D48" s="710"/>
    </row>
    <row r="49" spans="1:4" ht="15.95" customHeight="1" thickBot="1" x14ac:dyDescent="0.3">
      <c r="A49" s="650" t="s">
        <v>1454</v>
      </c>
      <c r="B49" s="699">
        <v>5</v>
      </c>
      <c r="C49" s="652">
        <f>SUM(C50:C54)</f>
        <v>0</v>
      </c>
      <c r="D49" s="700">
        <f>SUM(D50:D54)</f>
        <v>0</v>
      </c>
    </row>
    <row r="50" spans="1:4" ht="15.95" customHeight="1" x14ac:dyDescent="0.25">
      <c r="A50" s="654" t="s">
        <v>1455</v>
      </c>
      <c r="B50" s="701">
        <v>6</v>
      </c>
      <c r="C50" s="656"/>
      <c r="D50" s="702"/>
    </row>
    <row r="51" spans="1:4" ht="15.95" customHeight="1" x14ac:dyDescent="0.25">
      <c r="A51" s="654" t="s">
        <v>1456</v>
      </c>
      <c r="B51" s="701">
        <v>7</v>
      </c>
      <c r="C51" s="656"/>
      <c r="D51" s="702"/>
    </row>
    <row r="52" spans="1:4" ht="15.95" customHeight="1" x14ac:dyDescent="0.25">
      <c r="A52" s="654" t="s">
        <v>1457</v>
      </c>
      <c r="B52" s="701">
        <v>8</v>
      </c>
      <c r="C52" s="656"/>
      <c r="D52" s="702"/>
    </row>
    <row r="53" spans="1:4" ht="15.95" customHeight="1" x14ac:dyDescent="0.25">
      <c r="A53" s="654" t="s">
        <v>1458</v>
      </c>
      <c r="B53" s="701">
        <v>9</v>
      </c>
      <c r="C53" s="656"/>
      <c r="D53" s="702"/>
    </row>
    <row r="54" spans="1:4" ht="15.95" customHeight="1" thickBot="1" x14ac:dyDescent="0.3">
      <c r="A54" s="654" t="s">
        <v>1459</v>
      </c>
      <c r="B54" s="701">
        <v>10</v>
      </c>
      <c r="C54" s="656"/>
      <c r="D54" s="702"/>
    </row>
    <row r="55" spans="1:4" ht="15.95" customHeight="1" thickBot="1" x14ac:dyDescent="0.3">
      <c r="A55" s="711" t="s">
        <v>1460</v>
      </c>
      <c r="B55" s="672">
        <v>11</v>
      </c>
      <c r="C55" s="673">
        <f>SUM(C45,C48:C49)</f>
        <v>0</v>
      </c>
      <c r="D55" s="673">
        <f>SUM(D45,D48:D49)</f>
        <v>0</v>
      </c>
    </row>
    <row r="56" spans="1:4" x14ac:dyDescent="0.25">
      <c r="A56" s="675"/>
      <c r="B56" s="675"/>
      <c r="C56" s="677"/>
      <c r="D56" s="677"/>
    </row>
    <row r="57" spans="1:4" x14ac:dyDescent="0.25">
      <c r="A57" s="712"/>
      <c r="B57" s="675"/>
      <c r="C57" s="677"/>
      <c r="D57" s="677"/>
    </row>
  </sheetData>
  <mergeCells count="5">
    <mergeCell ref="A1:D1"/>
    <mergeCell ref="A2:D2"/>
    <mergeCell ref="A6:C6"/>
    <mergeCell ref="A31:D31"/>
    <mergeCell ref="A44:D4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&amp;CTaksony Nagyközség Önkormányzat 2018. évi zárszámadás&amp;R19.sz. melléklet</oddHeader>
    <oddFooter xml:space="preserve">&amp;LKészült: &amp;D
&amp;C&amp;P&amp;R/:Kreisz László://:Dr.Micheller Anita:/
/:Szelecki N.Andrea:/      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view="pageBreakPreview" topLeftCell="A49" zoomScale="90" zoomScaleNormal="100" zoomScaleSheetLayoutView="90" workbookViewId="0">
      <selection activeCell="K16" sqref="K16:K17"/>
    </sheetView>
  </sheetViews>
  <sheetFormatPr defaultRowHeight="15" x14ac:dyDescent="0.25"/>
  <cols>
    <col min="1" max="1" width="9.140625" style="545" customWidth="1"/>
    <col min="2" max="2" width="76.5703125" style="545" customWidth="1"/>
    <col min="3" max="3" width="16.7109375" style="545" customWidth="1"/>
    <col min="4" max="4" width="13.5703125" style="545" customWidth="1"/>
    <col min="5" max="5" width="16.7109375" style="545" customWidth="1"/>
    <col min="6" max="6" width="9.140625" style="545"/>
    <col min="257" max="257" width="8.140625" customWidth="1"/>
    <col min="258" max="258" width="82" customWidth="1"/>
    <col min="259" max="261" width="19.140625" customWidth="1"/>
    <col min="513" max="513" width="8.140625" customWidth="1"/>
    <col min="514" max="514" width="82" customWidth="1"/>
    <col min="515" max="517" width="19.140625" customWidth="1"/>
    <col min="769" max="769" width="8.140625" customWidth="1"/>
    <col min="770" max="770" width="82" customWidth="1"/>
    <col min="771" max="773" width="19.140625" customWidth="1"/>
    <col min="1025" max="1025" width="8.140625" customWidth="1"/>
    <col min="1026" max="1026" width="82" customWidth="1"/>
    <col min="1027" max="1029" width="19.140625" customWidth="1"/>
    <col min="1281" max="1281" width="8.140625" customWidth="1"/>
    <col min="1282" max="1282" width="82" customWidth="1"/>
    <col min="1283" max="1285" width="19.140625" customWidth="1"/>
    <col min="1537" max="1537" width="8.140625" customWidth="1"/>
    <col min="1538" max="1538" width="82" customWidth="1"/>
    <col min="1539" max="1541" width="19.140625" customWidth="1"/>
    <col min="1793" max="1793" width="8.140625" customWidth="1"/>
    <col min="1794" max="1794" width="82" customWidth="1"/>
    <col min="1795" max="1797" width="19.140625" customWidth="1"/>
    <col min="2049" max="2049" width="8.140625" customWidth="1"/>
    <col min="2050" max="2050" width="82" customWidth="1"/>
    <col min="2051" max="2053" width="19.140625" customWidth="1"/>
    <col min="2305" max="2305" width="8.140625" customWidth="1"/>
    <col min="2306" max="2306" width="82" customWidth="1"/>
    <col min="2307" max="2309" width="19.140625" customWidth="1"/>
    <col min="2561" max="2561" width="8.140625" customWidth="1"/>
    <col min="2562" max="2562" width="82" customWidth="1"/>
    <col min="2563" max="2565" width="19.140625" customWidth="1"/>
    <col min="2817" max="2817" width="8.140625" customWidth="1"/>
    <col min="2818" max="2818" width="82" customWidth="1"/>
    <col min="2819" max="2821" width="19.140625" customWidth="1"/>
    <col min="3073" max="3073" width="8.140625" customWidth="1"/>
    <col min="3074" max="3074" width="82" customWidth="1"/>
    <col min="3075" max="3077" width="19.140625" customWidth="1"/>
    <col min="3329" max="3329" width="8.140625" customWidth="1"/>
    <col min="3330" max="3330" width="82" customWidth="1"/>
    <col min="3331" max="3333" width="19.140625" customWidth="1"/>
    <col min="3585" max="3585" width="8.140625" customWidth="1"/>
    <col min="3586" max="3586" width="82" customWidth="1"/>
    <col min="3587" max="3589" width="19.140625" customWidth="1"/>
    <col min="3841" max="3841" width="8.140625" customWidth="1"/>
    <col min="3842" max="3842" width="82" customWidth="1"/>
    <col min="3843" max="3845" width="19.140625" customWidth="1"/>
    <col min="4097" max="4097" width="8.140625" customWidth="1"/>
    <col min="4098" max="4098" width="82" customWidth="1"/>
    <col min="4099" max="4101" width="19.140625" customWidth="1"/>
    <col min="4353" max="4353" width="8.140625" customWidth="1"/>
    <col min="4354" max="4354" width="82" customWidth="1"/>
    <col min="4355" max="4357" width="19.140625" customWidth="1"/>
    <col min="4609" max="4609" width="8.140625" customWidth="1"/>
    <col min="4610" max="4610" width="82" customWidth="1"/>
    <col min="4611" max="4613" width="19.140625" customWidth="1"/>
    <col min="4865" max="4865" width="8.140625" customWidth="1"/>
    <col min="4866" max="4866" width="82" customWidth="1"/>
    <col min="4867" max="4869" width="19.140625" customWidth="1"/>
    <col min="5121" max="5121" width="8.140625" customWidth="1"/>
    <col min="5122" max="5122" width="82" customWidth="1"/>
    <col min="5123" max="5125" width="19.140625" customWidth="1"/>
    <col min="5377" max="5377" width="8.140625" customWidth="1"/>
    <col min="5378" max="5378" width="82" customWidth="1"/>
    <col min="5379" max="5381" width="19.140625" customWidth="1"/>
    <col min="5633" max="5633" width="8.140625" customWidth="1"/>
    <col min="5634" max="5634" width="82" customWidth="1"/>
    <col min="5635" max="5637" width="19.140625" customWidth="1"/>
    <col min="5889" max="5889" width="8.140625" customWidth="1"/>
    <col min="5890" max="5890" width="82" customWidth="1"/>
    <col min="5891" max="5893" width="19.140625" customWidth="1"/>
    <col min="6145" max="6145" width="8.140625" customWidth="1"/>
    <col min="6146" max="6146" width="82" customWidth="1"/>
    <col min="6147" max="6149" width="19.140625" customWidth="1"/>
    <col min="6401" max="6401" width="8.140625" customWidth="1"/>
    <col min="6402" max="6402" width="82" customWidth="1"/>
    <col min="6403" max="6405" width="19.140625" customWidth="1"/>
    <col min="6657" max="6657" width="8.140625" customWidth="1"/>
    <col min="6658" max="6658" width="82" customWidth="1"/>
    <col min="6659" max="6661" width="19.140625" customWidth="1"/>
    <col min="6913" max="6913" width="8.140625" customWidth="1"/>
    <col min="6914" max="6914" width="82" customWidth="1"/>
    <col min="6915" max="6917" width="19.140625" customWidth="1"/>
    <col min="7169" max="7169" width="8.140625" customWidth="1"/>
    <col min="7170" max="7170" width="82" customWidth="1"/>
    <col min="7171" max="7173" width="19.140625" customWidth="1"/>
    <col min="7425" max="7425" width="8.140625" customWidth="1"/>
    <col min="7426" max="7426" width="82" customWidth="1"/>
    <col min="7427" max="7429" width="19.140625" customWidth="1"/>
    <col min="7681" max="7681" width="8.140625" customWidth="1"/>
    <col min="7682" max="7682" width="82" customWidth="1"/>
    <col min="7683" max="7685" width="19.140625" customWidth="1"/>
    <col min="7937" max="7937" width="8.140625" customWidth="1"/>
    <col min="7938" max="7938" width="82" customWidth="1"/>
    <col min="7939" max="7941" width="19.140625" customWidth="1"/>
    <col min="8193" max="8193" width="8.140625" customWidth="1"/>
    <col min="8194" max="8194" width="82" customWidth="1"/>
    <col min="8195" max="8197" width="19.140625" customWidth="1"/>
    <col min="8449" max="8449" width="8.140625" customWidth="1"/>
    <col min="8450" max="8450" width="82" customWidth="1"/>
    <col min="8451" max="8453" width="19.140625" customWidth="1"/>
    <col min="8705" max="8705" width="8.140625" customWidth="1"/>
    <col min="8706" max="8706" width="82" customWidth="1"/>
    <col min="8707" max="8709" width="19.140625" customWidth="1"/>
    <col min="8961" max="8961" width="8.140625" customWidth="1"/>
    <col min="8962" max="8962" width="82" customWidth="1"/>
    <col min="8963" max="8965" width="19.140625" customWidth="1"/>
    <col min="9217" max="9217" width="8.140625" customWidth="1"/>
    <col min="9218" max="9218" width="82" customWidth="1"/>
    <col min="9219" max="9221" width="19.140625" customWidth="1"/>
    <col min="9473" max="9473" width="8.140625" customWidth="1"/>
    <col min="9474" max="9474" width="82" customWidth="1"/>
    <col min="9475" max="9477" width="19.140625" customWidth="1"/>
    <col min="9729" max="9729" width="8.140625" customWidth="1"/>
    <col min="9730" max="9730" width="82" customWidth="1"/>
    <col min="9731" max="9733" width="19.140625" customWidth="1"/>
    <col min="9985" max="9985" width="8.140625" customWidth="1"/>
    <col min="9986" max="9986" width="82" customWidth="1"/>
    <col min="9987" max="9989" width="19.140625" customWidth="1"/>
    <col min="10241" max="10241" width="8.140625" customWidth="1"/>
    <col min="10242" max="10242" width="82" customWidth="1"/>
    <col min="10243" max="10245" width="19.140625" customWidth="1"/>
    <col min="10497" max="10497" width="8.140625" customWidth="1"/>
    <col min="10498" max="10498" width="82" customWidth="1"/>
    <col min="10499" max="10501" width="19.140625" customWidth="1"/>
    <col min="10753" max="10753" width="8.140625" customWidth="1"/>
    <col min="10754" max="10754" width="82" customWidth="1"/>
    <col min="10755" max="10757" width="19.140625" customWidth="1"/>
    <col min="11009" max="11009" width="8.140625" customWidth="1"/>
    <col min="11010" max="11010" width="82" customWidth="1"/>
    <col min="11011" max="11013" width="19.140625" customWidth="1"/>
    <col min="11265" max="11265" width="8.140625" customWidth="1"/>
    <col min="11266" max="11266" width="82" customWidth="1"/>
    <col min="11267" max="11269" width="19.140625" customWidth="1"/>
    <col min="11521" max="11521" width="8.140625" customWidth="1"/>
    <col min="11522" max="11522" width="82" customWidth="1"/>
    <col min="11523" max="11525" width="19.140625" customWidth="1"/>
    <col min="11777" max="11777" width="8.140625" customWidth="1"/>
    <col min="11778" max="11778" width="82" customWidth="1"/>
    <col min="11779" max="11781" width="19.140625" customWidth="1"/>
    <col min="12033" max="12033" width="8.140625" customWidth="1"/>
    <col min="12034" max="12034" width="82" customWidth="1"/>
    <col min="12035" max="12037" width="19.140625" customWidth="1"/>
    <col min="12289" max="12289" width="8.140625" customWidth="1"/>
    <col min="12290" max="12290" width="82" customWidth="1"/>
    <col min="12291" max="12293" width="19.140625" customWidth="1"/>
    <col min="12545" max="12545" width="8.140625" customWidth="1"/>
    <col min="12546" max="12546" width="82" customWidth="1"/>
    <col min="12547" max="12549" width="19.140625" customWidth="1"/>
    <col min="12801" max="12801" width="8.140625" customWidth="1"/>
    <col min="12802" max="12802" width="82" customWidth="1"/>
    <col min="12803" max="12805" width="19.140625" customWidth="1"/>
    <col min="13057" max="13057" width="8.140625" customWidth="1"/>
    <col min="13058" max="13058" width="82" customWidth="1"/>
    <col min="13059" max="13061" width="19.140625" customWidth="1"/>
    <col min="13313" max="13313" width="8.140625" customWidth="1"/>
    <col min="13314" max="13314" width="82" customWidth="1"/>
    <col min="13315" max="13317" width="19.140625" customWidth="1"/>
    <col min="13569" max="13569" width="8.140625" customWidth="1"/>
    <col min="13570" max="13570" width="82" customWidth="1"/>
    <col min="13571" max="13573" width="19.140625" customWidth="1"/>
    <col min="13825" max="13825" width="8.140625" customWidth="1"/>
    <col min="13826" max="13826" width="82" customWidth="1"/>
    <col min="13827" max="13829" width="19.140625" customWidth="1"/>
    <col min="14081" max="14081" width="8.140625" customWidth="1"/>
    <col min="14082" max="14082" width="82" customWidth="1"/>
    <col min="14083" max="14085" width="19.140625" customWidth="1"/>
    <col min="14337" max="14337" width="8.140625" customWidth="1"/>
    <col min="14338" max="14338" width="82" customWidth="1"/>
    <col min="14339" max="14341" width="19.140625" customWidth="1"/>
    <col min="14593" max="14593" width="8.140625" customWidth="1"/>
    <col min="14594" max="14594" width="82" customWidth="1"/>
    <col min="14595" max="14597" width="19.140625" customWidth="1"/>
    <col min="14849" max="14849" width="8.140625" customWidth="1"/>
    <col min="14850" max="14850" width="82" customWidth="1"/>
    <col min="14851" max="14853" width="19.140625" customWidth="1"/>
    <col min="15105" max="15105" width="8.140625" customWidth="1"/>
    <col min="15106" max="15106" width="82" customWidth="1"/>
    <col min="15107" max="15109" width="19.140625" customWidth="1"/>
    <col min="15361" max="15361" width="8.140625" customWidth="1"/>
    <col min="15362" max="15362" width="82" customWidth="1"/>
    <col min="15363" max="15365" width="19.140625" customWidth="1"/>
    <col min="15617" max="15617" width="8.140625" customWidth="1"/>
    <col min="15618" max="15618" width="82" customWidth="1"/>
    <col min="15619" max="15621" width="19.140625" customWidth="1"/>
    <col min="15873" max="15873" width="8.140625" customWidth="1"/>
    <col min="15874" max="15874" width="82" customWidth="1"/>
    <col min="15875" max="15877" width="19.140625" customWidth="1"/>
    <col min="16129" max="16129" width="8.140625" customWidth="1"/>
    <col min="16130" max="16130" width="82" customWidth="1"/>
    <col min="16131" max="16133" width="19.140625" customWidth="1"/>
  </cols>
  <sheetData>
    <row r="1" spans="1:6" s="714" customFormat="1" ht="26.25" customHeight="1" thickBot="1" x14ac:dyDescent="0.3">
      <c r="A1" s="927" t="s">
        <v>1461</v>
      </c>
      <c r="B1" s="928"/>
      <c r="C1" s="928"/>
      <c r="D1" s="928"/>
      <c r="E1" s="928"/>
      <c r="F1" s="713"/>
    </row>
    <row r="2" spans="1:6" s="719" customFormat="1" ht="27" customHeight="1" x14ac:dyDescent="0.25">
      <c r="A2" s="715"/>
      <c r="B2" s="716" t="s">
        <v>535</v>
      </c>
      <c r="C2" s="717" t="s">
        <v>1781</v>
      </c>
      <c r="D2" s="716" t="s">
        <v>1462</v>
      </c>
      <c r="E2" s="717" t="s">
        <v>1463</v>
      </c>
      <c r="F2" s="718"/>
    </row>
    <row r="3" spans="1:6" x14ac:dyDescent="0.25">
      <c r="A3" s="720" t="s">
        <v>1464</v>
      </c>
      <c r="B3" s="721" t="s">
        <v>1465</v>
      </c>
      <c r="C3" s="723">
        <v>310159</v>
      </c>
      <c r="D3" s="722">
        <v>0</v>
      </c>
      <c r="E3" s="723">
        <v>0</v>
      </c>
    </row>
    <row r="4" spans="1:6" x14ac:dyDescent="0.25">
      <c r="A4" s="720" t="s">
        <v>1466</v>
      </c>
      <c r="B4" s="721" t="s">
        <v>1467</v>
      </c>
      <c r="C4" s="723">
        <v>5820088</v>
      </c>
      <c r="D4" s="722">
        <v>0</v>
      </c>
      <c r="E4" s="723">
        <v>6417066</v>
      </c>
    </row>
    <row r="5" spans="1:6" x14ac:dyDescent="0.25">
      <c r="A5" s="724" t="s">
        <v>1468</v>
      </c>
      <c r="B5" s="725" t="s">
        <v>1469</v>
      </c>
      <c r="C5" s="727">
        <f>+C3+C4</f>
        <v>6130247</v>
      </c>
      <c r="D5" s="726">
        <v>0</v>
      </c>
      <c r="E5" s="727">
        <f>+E3+E4</f>
        <v>6417066</v>
      </c>
    </row>
    <row r="6" spans="1:6" x14ac:dyDescent="0.25">
      <c r="A6" s="720" t="s">
        <v>1470</v>
      </c>
      <c r="B6" s="721" t="s">
        <v>1471</v>
      </c>
      <c r="C6" s="723">
        <v>3075387416</v>
      </c>
      <c r="D6" s="722">
        <v>0</v>
      </c>
      <c r="E6" s="723">
        <v>3317133377</v>
      </c>
    </row>
    <row r="7" spans="1:6" x14ac:dyDescent="0.25">
      <c r="A7" s="720" t="s">
        <v>1472</v>
      </c>
      <c r="B7" s="721" t="s">
        <v>1473</v>
      </c>
      <c r="C7" s="723">
        <v>44842238</v>
      </c>
      <c r="D7" s="722">
        <v>0</v>
      </c>
      <c r="E7" s="723">
        <v>29397809</v>
      </c>
    </row>
    <row r="8" spans="1:6" x14ac:dyDescent="0.25">
      <c r="A8" s="720" t="s">
        <v>1474</v>
      </c>
      <c r="B8" s="721" t="s">
        <v>1475</v>
      </c>
      <c r="C8" s="723">
        <v>87819571</v>
      </c>
      <c r="D8" s="722">
        <v>0</v>
      </c>
      <c r="E8" s="723">
        <v>273755290</v>
      </c>
    </row>
    <row r="9" spans="1:6" x14ac:dyDescent="0.25">
      <c r="A9" s="724" t="s">
        <v>1476</v>
      </c>
      <c r="B9" s="725" t="s">
        <v>1477</v>
      </c>
      <c r="C9" s="727">
        <f>SUM(C6:C8)</f>
        <v>3208049225</v>
      </c>
      <c r="D9" s="726">
        <f>SUM(D6:D8)</f>
        <v>0</v>
      </c>
      <c r="E9" s="727">
        <f>SUM(E6:E8)</f>
        <v>3620286476</v>
      </c>
    </row>
    <row r="10" spans="1:6" x14ac:dyDescent="0.25">
      <c r="A10" s="720" t="s">
        <v>1478</v>
      </c>
      <c r="B10" s="721" t="s">
        <v>1479</v>
      </c>
      <c r="C10" s="723">
        <v>39989000</v>
      </c>
      <c r="D10" s="722">
        <v>0</v>
      </c>
      <c r="E10" s="723">
        <f>+E11+E12</f>
        <v>36139000</v>
      </c>
    </row>
    <row r="11" spans="1:6" x14ac:dyDescent="0.25">
      <c r="A11" s="720" t="s">
        <v>1480</v>
      </c>
      <c r="B11" s="721" t="s">
        <v>1481</v>
      </c>
      <c r="C11" s="723">
        <v>0</v>
      </c>
      <c r="D11" s="722">
        <v>0</v>
      </c>
      <c r="E11" s="723">
        <v>3000000</v>
      </c>
    </row>
    <row r="12" spans="1:6" x14ac:dyDescent="0.25">
      <c r="A12" s="720" t="s">
        <v>1482</v>
      </c>
      <c r="B12" s="721" t="s">
        <v>1483</v>
      </c>
      <c r="C12" s="723">
        <v>39989000</v>
      </c>
      <c r="D12" s="722">
        <v>0</v>
      </c>
      <c r="E12" s="723">
        <v>33139000</v>
      </c>
    </row>
    <row r="13" spans="1:6" x14ac:dyDescent="0.25">
      <c r="A13" s="720"/>
      <c r="B13" s="721" t="s">
        <v>1782</v>
      </c>
      <c r="C13" s="723">
        <v>0</v>
      </c>
      <c r="D13" s="722"/>
      <c r="E13" s="723">
        <v>169450000</v>
      </c>
    </row>
    <row r="14" spans="1:6" x14ac:dyDescent="0.25">
      <c r="A14" s="724" t="s">
        <v>1484</v>
      </c>
      <c r="B14" s="725" t="s">
        <v>1485</v>
      </c>
      <c r="C14" s="727">
        <f>+C10+C13</f>
        <v>39989000</v>
      </c>
      <c r="D14" s="726">
        <v>0</v>
      </c>
      <c r="E14" s="727">
        <f>+E10+E13</f>
        <v>205589000</v>
      </c>
    </row>
    <row r="15" spans="1:6" x14ac:dyDescent="0.25">
      <c r="A15" s="720" t="s">
        <v>1486</v>
      </c>
      <c r="B15" s="721" t="s">
        <v>1487</v>
      </c>
      <c r="C15" s="723">
        <v>3364549514</v>
      </c>
      <c r="D15" s="722">
        <v>0</v>
      </c>
      <c r="E15" s="723">
        <v>3380633125</v>
      </c>
    </row>
    <row r="16" spans="1:6" x14ac:dyDescent="0.25">
      <c r="A16" s="720" t="s">
        <v>1488</v>
      </c>
      <c r="B16" s="721" t="s">
        <v>1489</v>
      </c>
      <c r="C16" s="723">
        <f>+C15</f>
        <v>3364549514</v>
      </c>
      <c r="D16" s="722">
        <v>0</v>
      </c>
      <c r="E16" s="723">
        <f>+E15</f>
        <v>3380633125</v>
      </c>
    </row>
    <row r="17" spans="1:5" x14ac:dyDescent="0.25">
      <c r="A17" s="724" t="s">
        <v>1490</v>
      </c>
      <c r="B17" s="725" t="s">
        <v>1491</v>
      </c>
      <c r="C17" s="727">
        <f>+C15</f>
        <v>3364549514</v>
      </c>
      <c r="D17" s="726">
        <f>+D15</f>
        <v>0</v>
      </c>
      <c r="E17" s="727">
        <f>+E15</f>
        <v>3380633125</v>
      </c>
    </row>
    <row r="18" spans="1:5" ht="28.5" x14ac:dyDescent="0.25">
      <c r="A18" s="728" t="s">
        <v>1492</v>
      </c>
      <c r="B18" s="729" t="s">
        <v>1493</v>
      </c>
      <c r="C18" s="731">
        <f>+C17+C14+C9+C5</f>
        <v>6618717986</v>
      </c>
      <c r="D18" s="730">
        <f>+D17+D14+D9</f>
        <v>0</v>
      </c>
      <c r="E18" s="731">
        <f>+E17+E14+E9+E5</f>
        <v>7212925667</v>
      </c>
    </row>
    <row r="19" spans="1:5" x14ac:dyDescent="0.25">
      <c r="A19" s="720" t="s">
        <v>1494</v>
      </c>
      <c r="B19" s="721" t="s">
        <v>1495</v>
      </c>
      <c r="C19" s="723">
        <v>1474220</v>
      </c>
      <c r="D19" s="722">
        <v>0</v>
      </c>
      <c r="E19" s="723">
        <v>3824976</v>
      </c>
    </row>
    <row r="20" spans="1:5" x14ac:dyDescent="0.25">
      <c r="A20" s="724" t="s">
        <v>1496</v>
      </c>
      <c r="B20" s="725" t="s">
        <v>1497</v>
      </c>
      <c r="C20" s="727">
        <f>+C19</f>
        <v>1474220</v>
      </c>
      <c r="D20" s="726">
        <v>0</v>
      </c>
      <c r="E20" s="727">
        <f>+E19</f>
        <v>3824976</v>
      </c>
    </row>
    <row r="21" spans="1:5" x14ac:dyDescent="0.25">
      <c r="A21" s="724" t="s">
        <v>1498</v>
      </c>
      <c r="B21" s="725" t="s">
        <v>1499</v>
      </c>
      <c r="C21" s="727">
        <v>140000000</v>
      </c>
      <c r="D21" s="726">
        <v>0</v>
      </c>
      <c r="E21" s="727">
        <v>69990000</v>
      </c>
    </row>
    <row r="22" spans="1:5" x14ac:dyDescent="0.25">
      <c r="A22" s="728" t="s">
        <v>1500</v>
      </c>
      <c r="B22" s="729" t="s">
        <v>1501</v>
      </c>
      <c r="C22" s="731">
        <f>+C20+C21</f>
        <v>141474220</v>
      </c>
      <c r="D22" s="730">
        <v>0</v>
      </c>
      <c r="E22" s="731">
        <f>+E20+E21</f>
        <v>73814976</v>
      </c>
    </row>
    <row r="23" spans="1:5" x14ac:dyDescent="0.25">
      <c r="A23" s="720" t="s">
        <v>1502</v>
      </c>
      <c r="B23" s="721" t="s">
        <v>1503</v>
      </c>
      <c r="C23" s="723">
        <v>0</v>
      </c>
      <c r="D23" s="722">
        <v>0</v>
      </c>
      <c r="E23" s="723">
        <v>0</v>
      </c>
    </row>
    <row r="24" spans="1:5" x14ac:dyDescent="0.25">
      <c r="A24" s="724" t="s">
        <v>1504</v>
      </c>
      <c r="B24" s="725" t="s">
        <v>1505</v>
      </c>
      <c r="C24" s="727">
        <f>+C23</f>
        <v>0</v>
      </c>
      <c r="D24" s="726">
        <v>0</v>
      </c>
      <c r="E24" s="727">
        <f>+E23</f>
        <v>0</v>
      </c>
    </row>
    <row r="25" spans="1:5" x14ac:dyDescent="0.25">
      <c r="A25" s="720" t="s">
        <v>1506</v>
      </c>
      <c r="B25" s="721" t="s">
        <v>1507</v>
      </c>
      <c r="C25" s="723">
        <v>133445</v>
      </c>
      <c r="D25" s="722">
        <v>0</v>
      </c>
      <c r="E25" s="723">
        <v>267465</v>
      </c>
    </row>
    <row r="26" spans="1:5" x14ac:dyDescent="0.25">
      <c r="A26" s="724" t="s">
        <v>1508</v>
      </c>
      <c r="B26" s="725" t="s">
        <v>1509</v>
      </c>
      <c r="C26" s="727">
        <f>+C25</f>
        <v>133445</v>
      </c>
      <c r="D26" s="726">
        <v>0</v>
      </c>
      <c r="E26" s="727">
        <f>+E25</f>
        <v>267465</v>
      </c>
    </row>
    <row r="27" spans="1:5" x14ac:dyDescent="0.25">
      <c r="A27" s="720" t="s">
        <v>1510</v>
      </c>
      <c r="B27" s="721" t="s">
        <v>1511</v>
      </c>
      <c r="C27" s="723">
        <v>357430160</v>
      </c>
      <c r="D27" s="722">
        <v>0</v>
      </c>
      <c r="E27" s="723">
        <f>89068819+3507</f>
        <v>89072326</v>
      </c>
    </row>
    <row r="28" spans="1:5" x14ac:dyDescent="0.25">
      <c r="A28" s="724" t="s">
        <v>1512</v>
      </c>
      <c r="B28" s="725" t="s">
        <v>1513</v>
      </c>
      <c r="C28" s="727">
        <f>+C27</f>
        <v>357430160</v>
      </c>
      <c r="D28" s="726">
        <v>0</v>
      </c>
      <c r="E28" s="727">
        <f>+E27</f>
        <v>89072326</v>
      </c>
    </row>
    <row r="29" spans="1:5" x14ac:dyDescent="0.25">
      <c r="A29" s="724" t="s">
        <v>1514</v>
      </c>
      <c r="B29" s="725" t="s">
        <v>1515</v>
      </c>
      <c r="C29" s="727">
        <v>0</v>
      </c>
      <c r="D29" s="726">
        <v>0</v>
      </c>
      <c r="E29" s="727">
        <v>0</v>
      </c>
    </row>
    <row r="30" spans="1:5" x14ac:dyDescent="0.25">
      <c r="A30" s="728" t="s">
        <v>1516</v>
      </c>
      <c r="B30" s="729" t="s">
        <v>1517</v>
      </c>
      <c r="C30" s="731">
        <f>+C28+C26+C24</f>
        <v>357563605</v>
      </c>
      <c r="D30" s="730">
        <v>0</v>
      </c>
      <c r="E30" s="731">
        <f>+E28+E26+E24</f>
        <v>89339791</v>
      </c>
    </row>
    <row r="31" spans="1:5" ht="30" x14ac:dyDescent="0.25">
      <c r="A31" s="720" t="s">
        <v>1518</v>
      </c>
      <c r="B31" s="721" t="s">
        <v>1519</v>
      </c>
      <c r="C31" s="723">
        <v>158150587</v>
      </c>
      <c r="D31" s="722">
        <v>0</v>
      </c>
      <c r="E31" s="723">
        <v>176933697</v>
      </c>
    </row>
    <row r="32" spans="1:5" x14ac:dyDescent="0.25">
      <c r="A32" s="720" t="s">
        <v>1520</v>
      </c>
      <c r="B32" s="721" t="s">
        <v>1521</v>
      </c>
      <c r="C32" s="723">
        <v>23585551</v>
      </c>
      <c r="D32" s="722">
        <v>0</v>
      </c>
      <c r="E32" s="723">
        <v>30440477</v>
      </c>
    </row>
    <row r="33" spans="1:5" ht="30" x14ac:dyDescent="0.25">
      <c r="A33" s="720" t="s">
        <v>1522</v>
      </c>
      <c r="B33" s="721" t="s">
        <v>1523</v>
      </c>
      <c r="C33" s="723">
        <v>126051954</v>
      </c>
      <c r="D33" s="722">
        <v>0</v>
      </c>
      <c r="E33" s="723">
        <v>141909500</v>
      </c>
    </row>
    <row r="34" spans="1:5" x14ac:dyDescent="0.25">
      <c r="A34" s="720" t="s">
        <v>1524</v>
      </c>
      <c r="B34" s="721" t="s">
        <v>1525</v>
      </c>
      <c r="C34" s="723">
        <v>8513082</v>
      </c>
      <c r="D34" s="722">
        <v>0</v>
      </c>
      <c r="E34" s="723">
        <v>4583720</v>
      </c>
    </row>
    <row r="35" spans="1:5" ht="30" x14ac:dyDescent="0.25">
      <c r="A35" s="720" t="s">
        <v>1526</v>
      </c>
      <c r="B35" s="721" t="s">
        <v>1527</v>
      </c>
      <c r="C35" s="723">
        <v>3683672</v>
      </c>
      <c r="D35" s="722">
        <v>0</v>
      </c>
      <c r="E35" s="723">
        <v>1892117</v>
      </c>
    </row>
    <row r="36" spans="1:5" ht="30" x14ac:dyDescent="0.25">
      <c r="A36" s="720" t="s">
        <v>1528</v>
      </c>
      <c r="B36" s="721" t="s">
        <v>1529</v>
      </c>
      <c r="C36" s="723">
        <v>1316238</v>
      </c>
      <c r="D36" s="722">
        <v>0</v>
      </c>
      <c r="E36" s="723">
        <v>1579380</v>
      </c>
    </row>
    <row r="37" spans="1:5" x14ac:dyDescent="0.25">
      <c r="A37" s="720" t="s">
        <v>1530</v>
      </c>
      <c r="B37" s="721" t="s">
        <v>1531</v>
      </c>
      <c r="C37" s="723">
        <v>1592855</v>
      </c>
      <c r="D37" s="722">
        <v>0</v>
      </c>
      <c r="E37" s="723">
        <v>60048</v>
      </c>
    </row>
    <row r="38" spans="1:5" x14ac:dyDescent="0.25">
      <c r="A38" s="720" t="s">
        <v>1532</v>
      </c>
      <c r="B38" s="721" t="s">
        <v>1533</v>
      </c>
      <c r="C38" s="723">
        <v>98529</v>
      </c>
      <c r="D38" s="722">
        <v>0</v>
      </c>
      <c r="E38" s="723">
        <v>24900</v>
      </c>
    </row>
    <row r="39" spans="1:5" ht="30" x14ac:dyDescent="0.25">
      <c r="A39" s="720" t="s">
        <v>1534</v>
      </c>
      <c r="B39" s="721" t="s">
        <v>1535</v>
      </c>
      <c r="C39" s="723">
        <v>629050</v>
      </c>
      <c r="D39" s="722">
        <v>0</v>
      </c>
      <c r="E39" s="723">
        <v>180789</v>
      </c>
    </row>
    <row r="40" spans="1:5" ht="30" x14ac:dyDescent="0.25">
      <c r="A40" s="720" t="s">
        <v>1536</v>
      </c>
      <c r="B40" s="721" t="s">
        <v>1537</v>
      </c>
      <c r="C40" s="723">
        <v>47000</v>
      </c>
      <c r="D40" s="722">
        <v>0</v>
      </c>
      <c r="E40" s="723">
        <v>47000</v>
      </c>
    </row>
    <row r="41" spans="1:5" ht="30" x14ac:dyDescent="0.25">
      <c r="A41" s="720" t="s">
        <v>1538</v>
      </c>
      <c r="B41" s="721" t="s">
        <v>1539</v>
      </c>
      <c r="C41" s="723">
        <v>466580</v>
      </c>
      <c r="D41" s="722">
        <v>0</v>
      </c>
      <c r="E41" s="723">
        <f>+E42</f>
        <v>466500</v>
      </c>
    </row>
    <row r="42" spans="1:5" x14ac:dyDescent="0.25">
      <c r="A42" s="720" t="s">
        <v>1540</v>
      </c>
      <c r="B42" s="721" t="s">
        <v>1541</v>
      </c>
      <c r="C42" s="723">
        <v>466580</v>
      </c>
      <c r="D42" s="722">
        <v>0</v>
      </c>
      <c r="E42" s="723">
        <v>466500</v>
      </c>
    </row>
    <row r="43" spans="1:5" ht="30" x14ac:dyDescent="0.25">
      <c r="A43" s="720" t="s">
        <v>1542</v>
      </c>
      <c r="B43" s="721" t="s">
        <v>1543</v>
      </c>
      <c r="C43" s="723">
        <v>292560</v>
      </c>
      <c r="D43" s="722">
        <v>0</v>
      </c>
      <c r="E43" s="723">
        <v>292560</v>
      </c>
    </row>
    <row r="44" spans="1:5" ht="30" x14ac:dyDescent="0.25">
      <c r="A44" s="720" t="s">
        <v>1544</v>
      </c>
      <c r="B44" s="721" t="s">
        <v>1545</v>
      </c>
      <c r="C44" s="723">
        <v>1962405</v>
      </c>
      <c r="D44" s="722">
        <v>0</v>
      </c>
      <c r="E44" s="723">
        <v>1962405</v>
      </c>
    </row>
    <row r="45" spans="1:5" x14ac:dyDescent="0.25">
      <c r="A45" s="724" t="s">
        <v>1546</v>
      </c>
      <c r="B45" s="725" t="s">
        <v>1547</v>
      </c>
      <c r="C45" s="727">
        <f>+C31+C35+C41+C43+C44</f>
        <v>164555804</v>
      </c>
      <c r="D45" s="726">
        <v>0</v>
      </c>
      <c r="E45" s="727">
        <f>+E31+E35+E41+E43+E44</f>
        <v>181547279</v>
      </c>
    </row>
    <row r="46" spans="1:5" ht="30" x14ac:dyDescent="0.25">
      <c r="A46" s="720" t="s">
        <v>1548</v>
      </c>
      <c r="B46" s="721" t="s">
        <v>1549</v>
      </c>
      <c r="C46" s="723">
        <v>83213</v>
      </c>
      <c r="D46" s="722">
        <v>0</v>
      </c>
      <c r="E46" s="723">
        <v>566533</v>
      </c>
    </row>
    <row r="47" spans="1:5" ht="30" x14ac:dyDescent="0.25">
      <c r="A47" s="720" t="s">
        <v>1550</v>
      </c>
      <c r="B47" s="721" t="s">
        <v>1551</v>
      </c>
      <c r="C47" s="723">
        <f>+C46</f>
        <v>83213</v>
      </c>
      <c r="D47" s="722">
        <v>0</v>
      </c>
      <c r="E47" s="723">
        <f>+E46</f>
        <v>566533</v>
      </c>
    </row>
    <row r="48" spans="1:5" ht="30" x14ac:dyDescent="0.25">
      <c r="A48" s="720" t="s">
        <v>1552</v>
      </c>
      <c r="B48" s="721" t="s">
        <v>1553</v>
      </c>
      <c r="C48" s="723">
        <v>0</v>
      </c>
      <c r="D48" s="722">
        <v>0</v>
      </c>
      <c r="E48" s="723">
        <v>0</v>
      </c>
    </row>
    <row r="49" spans="1:5" x14ac:dyDescent="0.25">
      <c r="A49" s="724" t="s">
        <v>1554</v>
      </c>
      <c r="B49" s="725" t="s">
        <v>1555</v>
      </c>
      <c r="C49" s="727">
        <f>+C46</f>
        <v>83213</v>
      </c>
      <c r="D49" s="726">
        <v>0</v>
      </c>
      <c r="E49" s="727">
        <f>+E46</f>
        <v>566533</v>
      </c>
    </row>
    <row r="50" spans="1:5" x14ac:dyDescent="0.25">
      <c r="A50" s="720" t="s">
        <v>1556</v>
      </c>
      <c r="B50" s="721" t="s">
        <v>1557</v>
      </c>
      <c r="C50" s="723">
        <f>SUM(C51:C53)</f>
        <v>559527663</v>
      </c>
      <c r="D50" s="722">
        <v>0</v>
      </c>
      <c r="E50" s="723">
        <f>SUM(E51:E53)</f>
        <v>445274015</v>
      </c>
    </row>
    <row r="51" spans="1:5" x14ac:dyDescent="0.25">
      <c r="A51" s="720" t="s">
        <v>1558</v>
      </c>
      <c r="B51" s="721" t="s">
        <v>1559</v>
      </c>
      <c r="C51" s="723">
        <v>559152128</v>
      </c>
      <c r="D51" s="722"/>
      <c r="E51" s="723">
        <v>444780365</v>
      </c>
    </row>
    <row r="52" spans="1:5" x14ac:dyDescent="0.25">
      <c r="A52" s="720" t="s">
        <v>1560</v>
      </c>
      <c r="B52" s="721" t="s">
        <v>1561</v>
      </c>
      <c r="C52" s="723">
        <v>375535</v>
      </c>
      <c r="D52" s="722">
        <v>0</v>
      </c>
      <c r="E52" s="723">
        <v>443650</v>
      </c>
    </row>
    <row r="53" spans="1:5" x14ac:dyDescent="0.25">
      <c r="A53" s="720" t="s">
        <v>1562</v>
      </c>
      <c r="B53" s="721" t="s">
        <v>1783</v>
      </c>
      <c r="C53" s="723">
        <v>0</v>
      </c>
      <c r="D53" s="722">
        <v>0</v>
      </c>
      <c r="E53" s="723">
        <v>50000</v>
      </c>
    </row>
    <row r="54" spans="1:5" ht="30" x14ac:dyDescent="0.25">
      <c r="A54" s="720" t="s">
        <v>1563</v>
      </c>
      <c r="B54" s="721" t="s">
        <v>1564</v>
      </c>
      <c r="C54" s="723">
        <v>101031440</v>
      </c>
      <c r="D54" s="722">
        <v>0</v>
      </c>
      <c r="E54" s="723">
        <v>91587639</v>
      </c>
    </row>
    <row r="55" spans="1:5" x14ac:dyDescent="0.25">
      <c r="A55" s="724" t="s">
        <v>1565</v>
      </c>
      <c r="B55" s="725" t="s">
        <v>1566</v>
      </c>
      <c r="C55" s="727">
        <f>+C54+C50</f>
        <v>660559103</v>
      </c>
      <c r="D55" s="726">
        <v>0</v>
      </c>
      <c r="E55" s="727">
        <f>+E54+E50</f>
        <v>536861654</v>
      </c>
    </row>
    <row r="56" spans="1:5" x14ac:dyDescent="0.25">
      <c r="A56" s="728" t="s">
        <v>1567</v>
      </c>
      <c r="B56" s="729" t="s">
        <v>1568</v>
      </c>
      <c r="C56" s="731">
        <f>+C55+C49+C45</f>
        <v>825198120</v>
      </c>
      <c r="D56" s="730">
        <v>0</v>
      </c>
      <c r="E56" s="731">
        <f>+E55+E49+E45</f>
        <v>718975466</v>
      </c>
    </row>
    <row r="57" spans="1:5" x14ac:dyDescent="0.25">
      <c r="A57" s="720" t="s">
        <v>1569</v>
      </c>
      <c r="B57" s="721" t="s">
        <v>1570</v>
      </c>
      <c r="C57" s="723">
        <v>954159</v>
      </c>
      <c r="D57" s="722">
        <v>0</v>
      </c>
      <c r="E57" s="723">
        <v>1434777</v>
      </c>
    </row>
    <row r="58" spans="1:5" ht="28.5" x14ac:dyDescent="0.25">
      <c r="A58" s="724" t="s">
        <v>1571</v>
      </c>
      <c r="B58" s="725" t="s">
        <v>1572</v>
      </c>
      <c r="C58" s="727">
        <f>+C57</f>
        <v>954159</v>
      </c>
      <c r="D58" s="726">
        <v>0</v>
      </c>
      <c r="E58" s="727">
        <f>+E57</f>
        <v>1434777</v>
      </c>
    </row>
    <row r="59" spans="1:5" x14ac:dyDescent="0.25">
      <c r="A59" s="724"/>
      <c r="B59" s="721" t="s">
        <v>1784</v>
      </c>
      <c r="C59" s="723">
        <v>0</v>
      </c>
      <c r="D59" s="722"/>
      <c r="E59" s="723">
        <v>-213759</v>
      </c>
    </row>
    <row r="60" spans="1:5" x14ac:dyDescent="0.25">
      <c r="A60" s="720" t="s">
        <v>1573</v>
      </c>
      <c r="B60" s="721" t="s">
        <v>1574</v>
      </c>
      <c r="C60" s="723">
        <v>-11047485</v>
      </c>
      <c r="D60" s="722">
        <v>0</v>
      </c>
      <c r="E60" s="723">
        <v>-2082687</v>
      </c>
    </row>
    <row r="61" spans="1:5" x14ac:dyDescent="0.25">
      <c r="A61" s="724" t="s">
        <v>1575</v>
      </c>
      <c r="B61" s="725" t="s">
        <v>1576</v>
      </c>
      <c r="C61" s="727">
        <f>+C60</f>
        <v>-11047485</v>
      </c>
      <c r="D61" s="726">
        <v>0</v>
      </c>
      <c r="E61" s="727">
        <f>+E60+E59</f>
        <v>-2296446</v>
      </c>
    </row>
    <row r="62" spans="1:5" x14ac:dyDescent="0.25">
      <c r="A62" s="720" t="s">
        <v>1577</v>
      </c>
      <c r="B62" s="721" t="s">
        <v>1578</v>
      </c>
      <c r="C62" s="723">
        <v>0</v>
      </c>
      <c r="D62" s="722">
        <v>0</v>
      </c>
      <c r="E62" s="723">
        <v>0</v>
      </c>
    </row>
    <row r="63" spans="1:5" ht="30" x14ac:dyDescent="0.25">
      <c r="A63" s="720" t="s">
        <v>1579</v>
      </c>
      <c r="B63" s="721" t="s">
        <v>1580</v>
      </c>
      <c r="C63" s="723">
        <v>24500</v>
      </c>
      <c r="D63" s="722">
        <v>0</v>
      </c>
      <c r="E63" s="723">
        <v>62000</v>
      </c>
    </row>
    <row r="64" spans="1:5" x14ac:dyDescent="0.25">
      <c r="A64" s="724" t="s">
        <v>1581</v>
      </c>
      <c r="B64" s="725" t="s">
        <v>1582</v>
      </c>
      <c r="C64" s="727">
        <f>+C63</f>
        <v>24500</v>
      </c>
      <c r="D64" s="726">
        <v>0</v>
      </c>
      <c r="E64" s="727">
        <f>+E63</f>
        <v>62000</v>
      </c>
    </row>
    <row r="65" spans="1:5" x14ac:dyDescent="0.25">
      <c r="A65" s="728" t="s">
        <v>1583</v>
      </c>
      <c r="B65" s="729" t="s">
        <v>1584</v>
      </c>
      <c r="C65" s="731">
        <f>+C61+C58+C64</f>
        <v>-10068826</v>
      </c>
      <c r="D65" s="730">
        <v>0</v>
      </c>
      <c r="E65" s="731">
        <f>+E61+E58+E64</f>
        <v>-799669</v>
      </c>
    </row>
    <row r="66" spans="1:5" x14ac:dyDescent="0.25">
      <c r="A66" s="720" t="s">
        <v>1585</v>
      </c>
      <c r="B66" s="721" t="s">
        <v>1586</v>
      </c>
      <c r="C66" s="723">
        <v>284530</v>
      </c>
      <c r="D66" s="722">
        <v>0</v>
      </c>
      <c r="E66" s="723">
        <v>1228101</v>
      </c>
    </row>
    <row r="67" spans="1:5" x14ac:dyDescent="0.25">
      <c r="A67" s="720" t="s">
        <v>1587</v>
      </c>
      <c r="B67" s="721" t="s">
        <v>1588</v>
      </c>
      <c r="C67" s="723">
        <v>1824099</v>
      </c>
      <c r="D67" s="722">
        <v>0</v>
      </c>
      <c r="E67" s="723">
        <v>334282</v>
      </c>
    </row>
    <row r="68" spans="1:5" ht="15.75" thickBot="1" x14ac:dyDescent="0.3">
      <c r="A68" s="732" t="s">
        <v>1589</v>
      </c>
      <c r="B68" s="733" t="s">
        <v>1590</v>
      </c>
      <c r="C68" s="735">
        <f>+C66+C67</f>
        <v>2108629</v>
      </c>
      <c r="D68" s="734">
        <v>0</v>
      </c>
      <c r="E68" s="735">
        <f>+E66+E67</f>
        <v>1562383</v>
      </c>
    </row>
    <row r="69" spans="1:5" ht="16.5" thickTop="1" thickBot="1" x14ac:dyDescent="0.3">
      <c r="A69" s="736" t="s">
        <v>1591</v>
      </c>
      <c r="B69" s="737" t="s">
        <v>1592</v>
      </c>
      <c r="C69" s="739">
        <f>+C68+C65+C56+C30+C22+C18</f>
        <v>7934993734</v>
      </c>
      <c r="D69" s="738">
        <f>+D68+D65+D56+D30+D22+D18</f>
        <v>0</v>
      </c>
      <c r="E69" s="739">
        <f>+E68+E65+E56+E30+E22+E18</f>
        <v>8095818614</v>
      </c>
    </row>
    <row r="70" spans="1:5" ht="15.75" thickTop="1" x14ac:dyDescent="0.25">
      <c r="A70" s="740" t="s">
        <v>1593</v>
      </c>
      <c r="B70" s="741" t="s">
        <v>1594</v>
      </c>
      <c r="C70" s="743">
        <v>4969664551</v>
      </c>
      <c r="D70" s="742">
        <v>0</v>
      </c>
      <c r="E70" s="743">
        <v>4969664551</v>
      </c>
    </row>
    <row r="71" spans="1:5" x14ac:dyDescent="0.25">
      <c r="A71" s="720" t="s">
        <v>1595</v>
      </c>
      <c r="B71" s="721" t="s">
        <v>1596</v>
      </c>
      <c r="C71" s="723">
        <v>2140090307</v>
      </c>
      <c r="D71" s="722">
        <v>0</v>
      </c>
      <c r="E71" s="723">
        <v>2224629031</v>
      </c>
    </row>
    <row r="72" spans="1:5" x14ac:dyDescent="0.25">
      <c r="A72" s="720" t="s">
        <v>1597</v>
      </c>
      <c r="B72" s="721" t="s">
        <v>1598</v>
      </c>
      <c r="C72" s="723">
        <v>59953905</v>
      </c>
      <c r="D72" s="722">
        <v>0</v>
      </c>
      <c r="E72" s="723">
        <v>59953905</v>
      </c>
    </row>
    <row r="73" spans="1:5" ht="28.5" x14ac:dyDescent="0.25">
      <c r="A73" s="724" t="s">
        <v>1599</v>
      </c>
      <c r="B73" s="725" t="s">
        <v>1600</v>
      </c>
      <c r="C73" s="727">
        <f>+C72</f>
        <v>59953905</v>
      </c>
      <c r="D73" s="726">
        <v>0</v>
      </c>
      <c r="E73" s="727">
        <f>+E72</f>
        <v>59953905</v>
      </c>
    </row>
    <row r="74" spans="1:5" x14ac:dyDescent="0.25">
      <c r="A74" s="720" t="s">
        <v>1601</v>
      </c>
      <c r="B74" s="721" t="s">
        <v>1602</v>
      </c>
      <c r="C74" s="723">
        <v>-413852151</v>
      </c>
      <c r="D74" s="722">
        <v>0</v>
      </c>
      <c r="E74" s="723">
        <v>-146954694</v>
      </c>
    </row>
    <row r="75" spans="1:5" x14ac:dyDescent="0.25">
      <c r="A75" s="720" t="s">
        <v>1603</v>
      </c>
      <c r="B75" s="721" t="s">
        <v>1604</v>
      </c>
      <c r="C75" s="723">
        <v>266897457</v>
      </c>
      <c r="D75" s="722">
        <v>0</v>
      </c>
      <c r="E75" s="723">
        <f>+'21. eredménykimutatás'!C39</f>
        <v>297954909</v>
      </c>
    </row>
    <row r="76" spans="1:5" x14ac:dyDescent="0.25">
      <c r="A76" s="728" t="s">
        <v>1605</v>
      </c>
      <c r="B76" s="729" t="s">
        <v>1606</v>
      </c>
      <c r="C76" s="731">
        <f>+C70+C71+C73+C74+C75</f>
        <v>7022754069</v>
      </c>
      <c r="D76" s="730">
        <f>+D70+D71+D73+D74+D75</f>
        <v>0</v>
      </c>
      <c r="E76" s="731">
        <f>+E70+E71+E73+E74+E75</f>
        <v>7405247702</v>
      </c>
    </row>
    <row r="77" spans="1:5" x14ac:dyDescent="0.25">
      <c r="A77" s="720" t="s">
        <v>1607</v>
      </c>
      <c r="B77" s="721" t="s">
        <v>1608</v>
      </c>
      <c r="C77" s="723">
        <v>9945466</v>
      </c>
      <c r="D77" s="722">
        <v>0</v>
      </c>
      <c r="E77" s="723">
        <v>8937811</v>
      </c>
    </row>
    <row r="78" spans="1:5" ht="21" customHeight="1" x14ac:dyDescent="0.25">
      <c r="A78" s="720">
        <v>190</v>
      </c>
      <c r="B78" s="721" t="s">
        <v>1609</v>
      </c>
      <c r="C78" s="723">
        <v>339968</v>
      </c>
      <c r="D78" s="722">
        <v>0</v>
      </c>
      <c r="E78" s="723">
        <v>330000</v>
      </c>
    </row>
    <row r="79" spans="1:5" x14ac:dyDescent="0.25">
      <c r="A79" s="720" t="s">
        <v>1610</v>
      </c>
      <c r="B79" s="721" t="s">
        <v>1611</v>
      </c>
      <c r="C79" s="723">
        <v>39040</v>
      </c>
      <c r="D79" s="722">
        <v>0</v>
      </c>
      <c r="E79" s="723">
        <v>399883</v>
      </c>
    </row>
    <row r="80" spans="1:5" x14ac:dyDescent="0.25">
      <c r="A80" s="720" t="s">
        <v>1612</v>
      </c>
      <c r="B80" s="721" t="s">
        <v>1613</v>
      </c>
      <c r="C80" s="723">
        <v>46048245</v>
      </c>
      <c r="D80" s="722">
        <v>0</v>
      </c>
      <c r="E80" s="723">
        <v>7275222</v>
      </c>
    </row>
    <row r="81" spans="1:5" x14ac:dyDescent="0.25">
      <c r="A81" s="724" t="s">
        <v>1614</v>
      </c>
      <c r="B81" s="725" t="s">
        <v>1615</v>
      </c>
      <c r="C81" s="727">
        <f>SUM(C77:C80)</f>
        <v>56372719</v>
      </c>
      <c r="D81" s="726">
        <v>0</v>
      </c>
      <c r="E81" s="727">
        <f>SUM(E77:E80)</f>
        <v>16942916</v>
      </c>
    </row>
    <row r="82" spans="1:5" x14ac:dyDescent="0.25">
      <c r="A82" s="720" t="s">
        <v>1616</v>
      </c>
      <c r="B82" s="721" t="s">
        <v>1617</v>
      </c>
      <c r="C82" s="723">
        <v>4780725</v>
      </c>
      <c r="D82" s="722">
        <v>0</v>
      </c>
      <c r="E82" s="723">
        <v>6820046</v>
      </c>
    </row>
    <row r="83" spans="1:5" ht="30" x14ac:dyDescent="0.25">
      <c r="A83" s="720">
        <v>217</v>
      </c>
      <c r="B83" s="721" t="s">
        <v>1618</v>
      </c>
      <c r="C83" s="723">
        <v>0</v>
      </c>
      <c r="D83" s="722">
        <v>0</v>
      </c>
      <c r="E83" s="723">
        <v>0</v>
      </c>
    </row>
    <row r="84" spans="1:5" x14ac:dyDescent="0.25">
      <c r="A84" s="720" t="s">
        <v>1619</v>
      </c>
      <c r="B84" s="721" t="s">
        <v>1620</v>
      </c>
      <c r="C84" s="723">
        <v>635000</v>
      </c>
      <c r="D84" s="722">
        <v>0</v>
      </c>
      <c r="E84" s="723">
        <v>3657600</v>
      </c>
    </row>
    <row r="85" spans="1:5" ht="30" x14ac:dyDescent="0.25">
      <c r="A85" s="720" t="s">
        <v>1621</v>
      </c>
      <c r="B85" s="721" t="s">
        <v>1622</v>
      </c>
      <c r="C85" s="723">
        <v>4296852</v>
      </c>
      <c r="D85" s="722">
        <v>0</v>
      </c>
      <c r="E85" s="723">
        <v>2769808</v>
      </c>
    </row>
    <row r="86" spans="1:5" ht="30" x14ac:dyDescent="0.25">
      <c r="A86" s="720" t="s">
        <v>1623</v>
      </c>
      <c r="B86" s="721" t="s">
        <v>1624</v>
      </c>
      <c r="C86" s="723">
        <f>+C85</f>
        <v>4296852</v>
      </c>
      <c r="D86" s="722">
        <v>0</v>
      </c>
      <c r="E86" s="723">
        <f>+E85</f>
        <v>2769808</v>
      </c>
    </row>
    <row r="87" spans="1:5" ht="28.5" x14ac:dyDescent="0.25">
      <c r="A87" s="724" t="s">
        <v>1625</v>
      </c>
      <c r="B87" s="725" t="s">
        <v>1626</v>
      </c>
      <c r="C87" s="727">
        <f>+C85+C84+C82</f>
        <v>9712577</v>
      </c>
      <c r="D87" s="726">
        <v>0</v>
      </c>
      <c r="E87" s="727">
        <f>+E85+E84+E82</f>
        <v>13247454</v>
      </c>
    </row>
    <row r="88" spans="1:5" x14ac:dyDescent="0.25">
      <c r="A88" s="720" t="s">
        <v>1627</v>
      </c>
      <c r="B88" s="721" t="s">
        <v>1628</v>
      </c>
      <c r="C88" s="723">
        <v>13151555</v>
      </c>
      <c r="D88" s="722">
        <v>0</v>
      </c>
      <c r="E88" s="723">
        <v>33231820</v>
      </c>
    </row>
    <row r="89" spans="1:5" x14ac:dyDescent="0.25">
      <c r="A89" s="720" t="s">
        <v>1629</v>
      </c>
      <c r="B89" s="721" t="s">
        <v>1630</v>
      </c>
      <c r="C89" s="723">
        <v>1178780</v>
      </c>
      <c r="D89" s="722">
        <v>0</v>
      </c>
      <c r="E89" s="723">
        <v>796080</v>
      </c>
    </row>
    <row r="90" spans="1:5" x14ac:dyDescent="0.25">
      <c r="A90" s="720" t="s">
        <v>1631</v>
      </c>
      <c r="B90" s="721" t="s">
        <v>1632</v>
      </c>
      <c r="C90" s="723">
        <v>2168049</v>
      </c>
      <c r="D90" s="722">
        <v>0</v>
      </c>
      <c r="E90" s="723">
        <v>6335045</v>
      </c>
    </row>
    <row r="91" spans="1:5" x14ac:dyDescent="0.25">
      <c r="A91" s="724" t="s">
        <v>1633</v>
      </c>
      <c r="B91" s="725" t="s">
        <v>1634</v>
      </c>
      <c r="C91" s="727">
        <f>+C88+C89+C90</f>
        <v>16498384</v>
      </c>
      <c r="D91" s="726">
        <v>0</v>
      </c>
      <c r="E91" s="727">
        <f>+E88+E89+E90</f>
        <v>40362945</v>
      </c>
    </row>
    <row r="92" spans="1:5" x14ac:dyDescent="0.25">
      <c r="A92" s="728" t="s">
        <v>1635</v>
      </c>
      <c r="B92" s="729" t="s">
        <v>1636</v>
      </c>
      <c r="C92" s="731">
        <f>+C91+C87+C81</f>
        <v>82583680</v>
      </c>
      <c r="D92" s="730">
        <v>0</v>
      </c>
      <c r="E92" s="731">
        <f>+E91+E87+E81</f>
        <v>70553315</v>
      </c>
    </row>
    <row r="93" spans="1:5" ht="28.5" x14ac:dyDescent="0.25">
      <c r="A93" s="728" t="s">
        <v>1637</v>
      </c>
      <c r="B93" s="729" t="s">
        <v>1638</v>
      </c>
      <c r="C93" s="731">
        <v>0</v>
      </c>
      <c r="D93" s="730">
        <v>0</v>
      </c>
      <c r="E93" s="731">
        <v>0</v>
      </c>
    </row>
    <row r="94" spans="1:5" x14ac:dyDescent="0.25">
      <c r="A94" s="720" t="s">
        <v>1639</v>
      </c>
      <c r="B94" s="721" t="s">
        <v>1640</v>
      </c>
      <c r="C94" s="723">
        <v>0</v>
      </c>
      <c r="D94" s="722">
        <v>0</v>
      </c>
      <c r="E94" s="723">
        <v>0</v>
      </c>
    </row>
    <row r="95" spans="1:5" x14ac:dyDescent="0.25">
      <c r="A95" s="720" t="s">
        <v>1641</v>
      </c>
      <c r="B95" s="721" t="s">
        <v>1642</v>
      </c>
      <c r="C95" s="723">
        <v>19259199</v>
      </c>
      <c r="D95" s="722">
        <v>0</v>
      </c>
      <c r="E95" s="723">
        <v>20909889</v>
      </c>
    </row>
    <row r="96" spans="1:5" x14ac:dyDescent="0.25">
      <c r="A96" s="720" t="s">
        <v>1643</v>
      </c>
      <c r="B96" s="721" t="s">
        <v>1644</v>
      </c>
      <c r="C96" s="723">
        <v>251244658</v>
      </c>
      <c r="D96" s="722">
        <v>0</v>
      </c>
      <c r="E96" s="723">
        <v>599107708</v>
      </c>
    </row>
    <row r="97" spans="1:5" ht="15.75" thickBot="1" x14ac:dyDescent="0.3">
      <c r="A97" s="732" t="s">
        <v>1645</v>
      </c>
      <c r="B97" s="733" t="s">
        <v>1646</v>
      </c>
      <c r="C97" s="735">
        <v>829655985</v>
      </c>
      <c r="D97" s="734">
        <v>0</v>
      </c>
      <c r="E97" s="735">
        <f>SUM(E94:E96)</f>
        <v>620017597</v>
      </c>
    </row>
    <row r="98" spans="1:5" ht="16.5" thickTop="1" thickBot="1" x14ac:dyDescent="0.3">
      <c r="A98" s="744" t="s">
        <v>1647</v>
      </c>
      <c r="B98" s="745" t="s">
        <v>1648</v>
      </c>
      <c r="C98" s="747">
        <f>+C76+C92+C93+C97</f>
        <v>7934993734</v>
      </c>
      <c r="D98" s="746">
        <f>+D76+D92+D93+D97</f>
        <v>0</v>
      </c>
      <c r="E98" s="747">
        <f>+E76+E92+E93+E97</f>
        <v>8095818614</v>
      </c>
    </row>
    <row r="99" spans="1:5" x14ac:dyDescent="0.25">
      <c r="C99" s="748">
        <f>+C98-C69</f>
        <v>0</v>
      </c>
      <c r="E99" s="748">
        <f>+E98-E69</f>
        <v>0</v>
      </c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>&amp;CTaksony Nagyközség Önkormányzat 2018. évi zárszámadás&amp;R20.sz. melléklet</oddHeader>
    <oddFooter xml:space="preserve">&amp;LKészült: &amp;D
&amp;C&amp;P&amp;R/:Kreisz László://:Dr.Micheller Anita:/
/:Szelecki N.Andrea:/       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3" workbookViewId="0">
      <selection activeCell="L86" sqref="L86"/>
    </sheetView>
  </sheetViews>
  <sheetFormatPr defaultRowHeight="15" x14ac:dyDescent="0.25"/>
  <cols>
    <col min="1" max="1" width="6.7109375" style="764" customWidth="1"/>
    <col min="2" max="2" width="69.28515625" style="578" customWidth="1"/>
    <col min="3" max="3" width="20.85546875" style="578" customWidth="1"/>
    <col min="4" max="4" width="13.7109375" style="578" bestFit="1" customWidth="1"/>
    <col min="5" max="16384" width="9.140625" style="578"/>
  </cols>
  <sheetData>
    <row r="1" spans="1:4" x14ac:dyDescent="0.25">
      <c r="A1" s="929" t="s">
        <v>1649</v>
      </c>
      <c r="B1" s="930"/>
      <c r="C1" s="930"/>
    </row>
    <row r="2" spans="1:4" x14ac:dyDescent="0.25">
      <c r="A2" s="929"/>
      <c r="B2" s="930"/>
      <c r="C2" s="930"/>
    </row>
    <row r="3" spans="1:4" ht="30" x14ac:dyDescent="0.25">
      <c r="A3" s="749" t="s">
        <v>1650</v>
      </c>
      <c r="B3" s="749" t="s">
        <v>535</v>
      </c>
      <c r="C3" s="749" t="s">
        <v>1651</v>
      </c>
    </row>
    <row r="4" spans="1:4" ht="15" customHeight="1" x14ac:dyDescent="0.25">
      <c r="A4" s="750" t="s">
        <v>1464</v>
      </c>
      <c r="B4" s="751" t="s">
        <v>1652</v>
      </c>
      <c r="C4" s="752">
        <v>384339940</v>
      </c>
      <c r="D4" s="753"/>
    </row>
    <row r="5" spans="1:4" ht="30" x14ac:dyDescent="0.25">
      <c r="A5" s="750" t="s">
        <v>1466</v>
      </c>
      <c r="B5" s="754" t="s">
        <v>1653</v>
      </c>
      <c r="C5" s="752">
        <v>74948779</v>
      </c>
    </row>
    <row r="6" spans="1:4" x14ac:dyDescent="0.25">
      <c r="A6" s="750" t="s">
        <v>1654</v>
      </c>
      <c r="B6" s="754" t="s">
        <v>1655</v>
      </c>
      <c r="C6" s="752">
        <v>3487257</v>
      </c>
    </row>
    <row r="7" spans="1:4" x14ac:dyDescent="0.25">
      <c r="A7" s="755" t="s">
        <v>1656</v>
      </c>
      <c r="B7" s="756" t="s">
        <v>1657</v>
      </c>
      <c r="C7" s="757">
        <f>SUM(C4:C6)</f>
        <v>462775976</v>
      </c>
    </row>
    <row r="8" spans="1:4" x14ac:dyDescent="0.25">
      <c r="A8" s="750" t="s">
        <v>1468</v>
      </c>
      <c r="B8" s="754" t="s">
        <v>1658</v>
      </c>
      <c r="C8" s="752">
        <v>0</v>
      </c>
    </row>
    <row r="9" spans="1:4" x14ac:dyDescent="0.25">
      <c r="A9" s="750" t="s">
        <v>1470</v>
      </c>
      <c r="B9" s="754" t="s">
        <v>1659</v>
      </c>
      <c r="C9" s="752">
        <v>485534</v>
      </c>
    </row>
    <row r="10" spans="1:4" ht="15" customHeight="1" x14ac:dyDescent="0.25">
      <c r="A10" s="755" t="s">
        <v>1660</v>
      </c>
      <c r="B10" s="758" t="s">
        <v>1661</v>
      </c>
      <c r="C10" s="757">
        <f>+C8+C9</f>
        <v>485534</v>
      </c>
    </row>
    <row r="11" spans="1:4" x14ac:dyDescent="0.25">
      <c r="A11" s="750" t="s">
        <v>1472</v>
      </c>
      <c r="B11" s="754" t="s">
        <v>1662</v>
      </c>
      <c r="C11" s="752">
        <v>393039271</v>
      </c>
    </row>
    <row r="12" spans="1:4" x14ac:dyDescent="0.25">
      <c r="A12" s="750" t="s">
        <v>1663</v>
      </c>
      <c r="B12" s="754" t="s">
        <v>1664</v>
      </c>
      <c r="C12" s="752">
        <v>35503520</v>
      </c>
    </row>
    <row r="13" spans="1:4" x14ac:dyDescent="0.25">
      <c r="A13" s="750" t="s">
        <v>1474</v>
      </c>
      <c r="B13" s="754" t="s">
        <v>1665</v>
      </c>
      <c r="C13" s="752">
        <v>537492958</v>
      </c>
    </row>
    <row r="14" spans="1:4" x14ac:dyDescent="0.25">
      <c r="A14" s="750" t="s">
        <v>1666</v>
      </c>
      <c r="B14" s="754" t="s">
        <v>1667</v>
      </c>
      <c r="C14" s="752">
        <v>97714863</v>
      </c>
    </row>
    <row r="15" spans="1:4" x14ac:dyDescent="0.25">
      <c r="A15" s="755" t="s">
        <v>1668</v>
      </c>
      <c r="B15" s="756" t="s">
        <v>1669</v>
      </c>
      <c r="C15" s="757">
        <f>SUM(C11:C14)</f>
        <v>1063750612</v>
      </c>
    </row>
    <row r="16" spans="1:4" x14ac:dyDescent="0.25">
      <c r="A16" s="750" t="s">
        <v>1476</v>
      </c>
      <c r="B16" s="754" t="s">
        <v>1670</v>
      </c>
      <c r="C16" s="752">
        <v>52448982</v>
      </c>
    </row>
    <row r="17" spans="1:3" x14ac:dyDescent="0.25">
      <c r="A17" s="750" t="s">
        <v>1478</v>
      </c>
      <c r="B17" s="754" t="s">
        <v>1671</v>
      </c>
      <c r="C17" s="752">
        <v>153481307</v>
      </c>
    </row>
    <row r="18" spans="1:3" x14ac:dyDescent="0.25">
      <c r="A18" s="750" t="s">
        <v>1672</v>
      </c>
      <c r="B18" s="759" t="s">
        <v>1673</v>
      </c>
      <c r="C18" s="752">
        <v>0</v>
      </c>
    </row>
    <row r="19" spans="1:3" x14ac:dyDescent="0.25">
      <c r="A19" s="750" t="s">
        <v>1480</v>
      </c>
      <c r="B19" s="754" t="s">
        <v>1674</v>
      </c>
      <c r="C19" s="752">
        <v>1472743</v>
      </c>
    </row>
    <row r="20" spans="1:3" x14ac:dyDescent="0.25">
      <c r="A20" s="755" t="s">
        <v>1675</v>
      </c>
      <c r="B20" s="756" t="s">
        <v>1676</v>
      </c>
      <c r="C20" s="757">
        <f>SUM(C16:C19)</f>
        <v>207403032</v>
      </c>
    </row>
    <row r="21" spans="1:3" x14ac:dyDescent="0.25">
      <c r="A21" s="750" t="s">
        <v>1480</v>
      </c>
      <c r="B21" s="754" t="s">
        <v>1677</v>
      </c>
      <c r="C21" s="752">
        <v>177871366</v>
      </c>
    </row>
    <row r="22" spans="1:3" x14ac:dyDescent="0.25">
      <c r="A22" s="750" t="s">
        <v>1678</v>
      </c>
      <c r="B22" s="754" t="s">
        <v>1679</v>
      </c>
      <c r="C22" s="752">
        <v>45767908</v>
      </c>
    </row>
    <row r="23" spans="1:3" x14ac:dyDescent="0.25">
      <c r="A23" s="750" t="s">
        <v>1680</v>
      </c>
      <c r="B23" s="754" t="s">
        <v>1681</v>
      </c>
      <c r="C23" s="752">
        <v>46413225</v>
      </c>
    </row>
    <row r="24" spans="1:3" x14ac:dyDescent="0.25">
      <c r="A24" s="755" t="s">
        <v>1682</v>
      </c>
      <c r="B24" s="756" t="s">
        <v>1683</v>
      </c>
      <c r="C24" s="757">
        <f>SUM(C21:C23)</f>
        <v>270052499</v>
      </c>
    </row>
    <row r="25" spans="1:3" x14ac:dyDescent="0.25">
      <c r="A25" s="755" t="s">
        <v>1684</v>
      </c>
      <c r="B25" s="756" t="s">
        <v>1685</v>
      </c>
      <c r="C25" s="757">
        <v>187087208</v>
      </c>
    </row>
    <row r="26" spans="1:3" x14ac:dyDescent="0.25">
      <c r="A26" s="755" t="s">
        <v>1686</v>
      </c>
      <c r="B26" s="756" t="s">
        <v>1687</v>
      </c>
      <c r="C26" s="757">
        <v>564280886</v>
      </c>
    </row>
    <row r="27" spans="1:3" x14ac:dyDescent="0.25">
      <c r="A27" s="755" t="s">
        <v>1688</v>
      </c>
      <c r="B27" s="756" t="s">
        <v>1689</v>
      </c>
      <c r="C27" s="757">
        <f>C7+C10+C15-C20-C24-C25-C26</f>
        <v>298188497</v>
      </c>
    </row>
    <row r="28" spans="1:3" x14ac:dyDescent="0.25">
      <c r="A28" s="750" t="s">
        <v>1482</v>
      </c>
      <c r="B28" s="759" t="s">
        <v>1690</v>
      </c>
      <c r="C28" s="752">
        <v>0</v>
      </c>
    </row>
    <row r="29" spans="1:3" x14ac:dyDescent="0.25">
      <c r="A29" s="750" t="s">
        <v>1691</v>
      </c>
      <c r="B29" s="759" t="s">
        <v>1692</v>
      </c>
      <c r="C29" s="752">
        <v>3616482</v>
      </c>
    </row>
    <row r="30" spans="1:3" x14ac:dyDescent="0.25">
      <c r="A30" s="760" t="s">
        <v>1693</v>
      </c>
      <c r="B30" s="761" t="s">
        <v>1694</v>
      </c>
      <c r="C30" s="752">
        <v>0</v>
      </c>
    </row>
    <row r="31" spans="1:3" x14ac:dyDescent="0.25">
      <c r="A31" s="760" t="s">
        <v>1695</v>
      </c>
      <c r="B31" s="762" t="s">
        <v>1696</v>
      </c>
      <c r="C31" s="752">
        <v>0</v>
      </c>
    </row>
    <row r="32" spans="1:3" x14ac:dyDescent="0.25">
      <c r="A32" s="755" t="s">
        <v>1697</v>
      </c>
      <c r="B32" s="756" t="s">
        <v>1698</v>
      </c>
      <c r="C32" s="763">
        <f>SUM(C28:C31)</f>
        <v>3616482</v>
      </c>
    </row>
    <row r="33" spans="1:3" x14ac:dyDescent="0.25">
      <c r="A33" s="760" t="s">
        <v>1699</v>
      </c>
      <c r="B33" s="761" t="s">
        <v>1700</v>
      </c>
      <c r="C33" s="752">
        <v>70</v>
      </c>
    </row>
    <row r="34" spans="1:3" x14ac:dyDescent="0.25">
      <c r="A34" s="760" t="s">
        <v>1701</v>
      </c>
      <c r="B34" s="761" t="s">
        <v>1702</v>
      </c>
      <c r="C34" s="752">
        <v>3850000</v>
      </c>
    </row>
    <row r="35" spans="1:3" x14ac:dyDescent="0.25">
      <c r="A35" s="760" t="s">
        <v>1484</v>
      </c>
      <c r="B35" s="761" t="s">
        <v>1703</v>
      </c>
      <c r="C35" s="752">
        <v>0</v>
      </c>
    </row>
    <row r="36" spans="1:3" x14ac:dyDescent="0.25">
      <c r="A36" s="760" t="s">
        <v>1704</v>
      </c>
      <c r="B36" s="762" t="s">
        <v>1705</v>
      </c>
      <c r="C36" s="752">
        <v>0</v>
      </c>
    </row>
    <row r="37" spans="1:3" x14ac:dyDescent="0.25">
      <c r="A37" s="755" t="s">
        <v>1706</v>
      </c>
      <c r="B37" s="756" t="s">
        <v>1707</v>
      </c>
      <c r="C37" s="763">
        <f>SUM(C33:C36)</f>
        <v>3850070</v>
      </c>
    </row>
    <row r="38" spans="1:3" x14ac:dyDescent="0.25">
      <c r="A38" s="755" t="s">
        <v>1708</v>
      </c>
      <c r="B38" s="756" t="s">
        <v>1709</v>
      </c>
      <c r="C38" s="763">
        <f>C32-C37</f>
        <v>-233588</v>
      </c>
    </row>
    <row r="39" spans="1:3" x14ac:dyDescent="0.25">
      <c r="A39" s="755" t="s">
        <v>1710</v>
      </c>
      <c r="B39" s="756" t="s">
        <v>1711</v>
      </c>
      <c r="C39" s="763">
        <f>+C27+C38</f>
        <v>297954909</v>
      </c>
    </row>
  </sheetData>
  <mergeCells count="2">
    <mergeCell ref="A1:C1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&amp;CTaksony Nagyközség Önkormányzat 2018. évi zárszámadás&amp;R21.sz. melléklet</oddHeader>
    <oddFooter xml:space="preserve">&amp;LKészült: &amp;D
&amp;C&amp;P&amp;R/:Kreisz László://:Dr.Micheller Anita:/
/:Szelecki N.Andrea:/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96"/>
  <sheetViews>
    <sheetView tabSelected="1" view="pageBreakPreview" zoomScale="80" zoomScaleNormal="90" zoomScaleSheetLayoutView="80" workbookViewId="0">
      <pane ySplit="1" topLeftCell="A2" activePane="bottomLeft" state="frozen"/>
      <selection activeCell="A88" sqref="A88"/>
      <selection pane="bottomLeft" activeCell="E104" sqref="E104"/>
    </sheetView>
  </sheetViews>
  <sheetFormatPr defaultRowHeight="15" x14ac:dyDescent="0.25"/>
  <cols>
    <col min="1" max="1" width="6.7109375" style="21" customWidth="1"/>
    <col min="2" max="2" width="64.85546875" style="21" customWidth="1"/>
    <col min="3" max="3" width="19.28515625" style="21" customWidth="1"/>
    <col min="4" max="5" width="19" style="21" customWidth="1"/>
    <col min="6" max="6" width="13.42578125" style="426" customWidth="1"/>
    <col min="7" max="7" width="5.140625" style="21" customWidth="1"/>
    <col min="8" max="8" width="60.28515625" style="216" customWidth="1"/>
    <col min="9" max="9" width="20.7109375" style="21" customWidth="1"/>
    <col min="10" max="10" width="18.85546875" style="21" customWidth="1"/>
    <col min="11" max="11" width="16.85546875" style="21" customWidth="1"/>
    <col min="12" max="12" width="13.28515625" style="519" customWidth="1"/>
    <col min="13" max="13" width="5" style="21" customWidth="1"/>
    <col min="14" max="16384" width="9.140625" style="21"/>
  </cols>
  <sheetData>
    <row r="1" spans="1:14" ht="40.5" customHeight="1" x14ac:dyDescent="0.25">
      <c r="A1" s="76"/>
      <c r="B1" s="77" t="s">
        <v>1087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6" t="s">
        <v>1088</v>
      </c>
      <c r="I1" s="76" t="s">
        <v>1129</v>
      </c>
      <c r="J1" s="76" t="s">
        <v>1130</v>
      </c>
      <c r="K1" s="76" t="s">
        <v>1733</v>
      </c>
      <c r="L1" s="506" t="s">
        <v>1131</v>
      </c>
    </row>
    <row r="2" spans="1:14" ht="20.25" customHeight="1" x14ac:dyDescent="0.25">
      <c r="A2" s="306"/>
      <c r="B2" s="307" t="s">
        <v>180</v>
      </c>
      <c r="C2" s="308">
        <f>C3+C18+C25+C36</f>
        <v>571174606.90999997</v>
      </c>
      <c r="D2" s="308">
        <f t="shared" ref="D2:E2" si="0">D3+D18+D25+D36</f>
        <v>607280186</v>
      </c>
      <c r="E2" s="308">
        <f t="shared" si="0"/>
        <v>607346745</v>
      </c>
      <c r="F2" s="414">
        <f>+E2/D2</f>
        <v>1.0001096017975466</v>
      </c>
      <c r="G2" s="306"/>
      <c r="H2" s="402" t="s">
        <v>196</v>
      </c>
      <c r="I2" s="308">
        <f>I3+I7+I18+I25+I36</f>
        <v>651143998.57267928</v>
      </c>
      <c r="J2" s="308">
        <f>J3+J7+J18+J25+J36</f>
        <v>651816181.32640004</v>
      </c>
      <c r="K2" s="308">
        <f t="shared" ref="K2" si="1">K3+K7+K18+K25+K36</f>
        <v>605105265</v>
      </c>
      <c r="L2" s="414">
        <f>+K2/J2</f>
        <v>0.92833728639361701</v>
      </c>
      <c r="N2" s="811"/>
    </row>
    <row r="3" spans="1:14" ht="20.25" customHeight="1" x14ac:dyDescent="0.25">
      <c r="A3" s="231" t="s">
        <v>23</v>
      </c>
      <c r="B3" s="227" t="s">
        <v>312</v>
      </c>
      <c r="C3" s="228">
        <f>C4+C12+C13+C14+C15+C16</f>
        <v>150475269.86500001</v>
      </c>
      <c r="D3" s="228">
        <f t="shared" ref="D3:E3" si="2">D4+D12+D13+D14+D15+D16</f>
        <v>153559207</v>
      </c>
      <c r="E3" s="228">
        <f t="shared" si="2"/>
        <v>154033347</v>
      </c>
      <c r="F3" s="415">
        <f>+E3/D3</f>
        <v>1.0030876689796919</v>
      </c>
      <c r="G3" s="231" t="s">
        <v>23</v>
      </c>
      <c r="H3" s="227" t="s">
        <v>213</v>
      </c>
      <c r="I3" s="228">
        <f>SUM(I4:I5)</f>
        <v>243557960.33333331</v>
      </c>
      <c r="J3" s="228">
        <f>SUM(J4:J5)</f>
        <v>240793120</v>
      </c>
      <c r="K3" s="228">
        <f t="shared" ref="K3" si="3">SUM(K4:K5)</f>
        <v>221861315</v>
      </c>
      <c r="L3" s="415">
        <f>+K3/J3</f>
        <v>0.92137730097936354</v>
      </c>
      <c r="N3" s="811"/>
    </row>
    <row r="4" spans="1:14" ht="20.25" customHeight="1" x14ac:dyDescent="0.25">
      <c r="A4" s="70"/>
      <c r="B4" s="108" t="s">
        <v>247</v>
      </c>
      <c r="C4" s="106">
        <f>SUM(C5:C8)</f>
        <v>112193823</v>
      </c>
      <c r="D4" s="106">
        <f>SUM(D5:D10)</f>
        <v>122943788</v>
      </c>
      <c r="E4" s="106">
        <f>SUM(E5:E10)</f>
        <v>122943788</v>
      </c>
      <c r="F4" s="427">
        <f>+E4/D4</f>
        <v>1</v>
      </c>
      <c r="G4" s="80"/>
      <c r="H4" s="69" t="s">
        <v>500</v>
      </c>
      <c r="I4" s="95">
        <f>'2. 2018. önkormányzat'!I4+'3. 2018. hivatal'!I4+'4. 2018. műv.ház'!I4+'5. 2018. forrás'!I4+'6. 2018. szociális'!I4+'7. 2018. bölcsőde'!I4</f>
        <v>214543960.33333331</v>
      </c>
      <c r="J4" s="95">
        <f>'2. 2018. önkormányzat'!J4+'3. 2018. hivatal'!J4+'4. 2018. műv.ház'!J4+'5. 2018. forrás'!J4+'6. 2018. szociális'!J4+'7. 2018. bölcsőde'!J4</f>
        <v>208769120</v>
      </c>
      <c r="K4" s="95">
        <f>'2. 2018. önkormányzat'!K4+'3. 2018. hivatal'!K4+'4. 2018. műv.ház'!K4+'5. 2018. forrás'!K4+'6. 2018. szociális'!K4+'7. 2018. bölcsőde'!K4</f>
        <v>194247016</v>
      </c>
      <c r="L4" s="427">
        <f>+K4/J4</f>
        <v>0.93043940598111441</v>
      </c>
      <c r="N4" s="811"/>
    </row>
    <row r="5" spans="1:14" ht="24" customHeight="1" x14ac:dyDescent="0.25">
      <c r="A5" s="80"/>
      <c r="B5" s="83" t="s">
        <v>248</v>
      </c>
      <c r="C5" s="106">
        <f>'2. 2018. önkormányzat'!C5+'3. 2018. hivatal'!C5+'4. 2018. műv.ház'!C5+'5. 2018. forrás'!C5+'6. 2018. szociális'!C5</f>
        <v>65694011</v>
      </c>
      <c r="D5" s="106">
        <f>'2. 2018. önkormányzat'!D5+'3. 2018. hivatal'!D5+'4. 2018. műv.ház'!D5+'5. 2018. forrás'!D5+'6. 2018. szociális'!D5</f>
        <v>65744397</v>
      </c>
      <c r="E5" s="106">
        <f>'2. 2018. önkormányzat'!E5+'3. 2018. hivatal'!E5+'4. 2018. műv.ház'!E5+'5. 2018. forrás'!E5+'6. 2018. szociális'!E5</f>
        <v>65744397</v>
      </c>
      <c r="F5" s="427">
        <f t="shared" ref="F5:F10" si="4">+E5/D5</f>
        <v>1</v>
      </c>
      <c r="G5" s="80"/>
      <c r="H5" s="69" t="s">
        <v>501</v>
      </c>
      <c r="I5" s="95">
        <f>'2. 2018. önkormányzat'!I5+'3. 2018. hivatal'!I5+'4. 2018. műv.ház'!I5+'5. 2018. forrás'!I5+'6. 2018. szociális'!I5+'7. 2018. bölcsőde'!I5</f>
        <v>29014000</v>
      </c>
      <c r="J5" s="95">
        <f>'2. 2018. önkormányzat'!J5+'3. 2018. hivatal'!J5+'4. 2018. műv.ház'!J5+'5. 2018. forrás'!J5+'6. 2018. szociális'!J5+'7. 2018. bölcsőde'!J5</f>
        <v>32024000</v>
      </c>
      <c r="K5" s="95">
        <f>'2. 2018. önkormányzat'!K5+'3. 2018. hivatal'!K5+'4. 2018. műv.ház'!K5+'5. 2018. forrás'!K5+'6. 2018. szociális'!K5+'7. 2018. bölcsőde'!K5</f>
        <v>27614299</v>
      </c>
      <c r="L5" s="427">
        <f>+K5/J5</f>
        <v>0.8623001186610042</v>
      </c>
      <c r="N5" s="811"/>
    </row>
    <row r="6" spans="1:14" ht="24" customHeight="1" x14ac:dyDescent="0.25">
      <c r="A6" s="80"/>
      <c r="B6" s="83" t="s">
        <v>249</v>
      </c>
      <c r="C6" s="106">
        <f>'2. 2018. önkormányzat'!C6+'3. 2018. hivatal'!C6+'4. 2018. műv.ház'!C6+'5. 2018. forrás'!C6+'6. 2018. szociális'!C6</f>
        <v>0</v>
      </c>
      <c r="D6" s="106">
        <f>'2. 2018. önkormányzat'!D6+'3. 2018. hivatal'!D6+'4. 2018. műv.ház'!D6+'5. 2018. forrás'!D6+'6. 2018. szociális'!D6</f>
        <v>0</v>
      </c>
      <c r="E6" s="106">
        <f>'2. 2018. önkormányzat'!E6+'3. 2018. hivatal'!E6+'4. 2018. műv.ház'!E6+'5. 2018. forrás'!E6+'6. 2018. szociális'!E6</f>
        <v>0</v>
      </c>
      <c r="F6" s="427"/>
      <c r="G6" s="80"/>
      <c r="H6" s="69"/>
      <c r="I6" s="95"/>
      <c r="J6" s="95"/>
      <c r="K6" s="95"/>
      <c r="L6" s="508"/>
      <c r="N6" s="811"/>
    </row>
    <row r="7" spans="1:14" ht="30.75" customHeight="1" x14ac:dyDescent="0.25">
      <c r="A7" s="80"/>
      <c r="B7" s="83" t="s">
        <v>250</v>
      </c>
      <c r="C7" s="106">
        <f>'2. 2018. önkormányzat'!C7+'3. 2018. hivatal'!C7+'4. 2018. műv.ház'!C7+'5. 2018. forrás'!C7+'6. 2018. szociális'!C7</f>
        <v>38809052</v>
      </c>
      <c r="D7" s="106">
        <f>'2. 2018. önkormányzat'!D7+'3. 2018. hivatal'!D7+'4. 2018. műv.ház'!D7+'5. 2018. forrás'!D7+'6. 2018. szociális'!D7</f>
        <v>41151047</v>
      </c>
      <c r="E7" s="106">
        <f>'2. 2018. önkormányzat'!E7+'3. 2018. hivatal'!E7+'4. 2018. műv.ház'!E7+'5. 2018. forrás'!E7+'6. 2018. szociális'!E7</f>
        <v>41151047</v>
      </c>
      <c r="F7" s="427">
        <f t="shared" si="4"/>
        <v>1</v>
      </c>
      <c r="G7" s="231" t="s">
        <v>45</v>
      </c>
      <c r="H7" s="227" t="s">
        <v>214</v>
      </c>
      <c r="I7" s="228">
        <f>'2. 2018. önkormányzat'!I7+'3. 2018. hivatal'!I7+'4. 2018. műv.ház'!I7+'5. 2018. forrás'!I7+'6. 2018. szociális'!I7+'7. 2018. bölcsőde'!I7-1</f>
        <v>47782994.606800005</v>
      </c>
      <c r="J7" s="228">
        <f>'2. 2018. önkormányzat'!J7+'3. 2018. hivatal'!J7+'4. 2018. műv.ház'!J7+'5. 2018. forrás'!J7+'6. 2018. szociális'!J7+'7. 2018. bölcsőde'!J7</f>
        <v>48213920.326399997</v>
      </c>
      <c r="K7" s="228">
        <f>'2. 2018. önkormányzat'!K7+'3. 2018. hivatal'!K7+'4. 2018. műv.ház'!K7+'5. 2018. forrás'!K7+'6. 2018. szociális'!K7+'7. 2018. bölcsőde'!K7</f>
        <v>46540494</v>
      </c>
      <c r="L7" s="415">
        <f>+K7/J7</f>
        <v>0.96529163538100227</v>
      </c>
      <c r="N7" s="811"/>
    </row>
    <row r="8" spans="1:14" ht="22.5" customHeight="1" x14ac:dyDescent="0.25">
      <c r="A8" s="80"/>
      <c r="B8" s="83" t="s">
        <v>251</v>
      </c>
      <c r="C8" s="106">
        <f>'2. 2018. önkormányzat'!C8+'3. 2018. hivatal'!C8+'4. 2018. műv.ház'!C8+'5. 2018. forrás'!C8+'6. 2018. szociális'!C8</f>
        <v>7690760</v>
      </c>
      <c r="D8" s="106">
        <f>'2. 2018. önkormányzat'!D8+'3. 2018. hivatal'!D8+'4. 2018. műv.ház'!D8+'5. 2018. forrás'!D8+'6. 2018. szociális'!D8</f>
        <v>8478377</v>
      </c>
      <c r="E8" s="106">
        <f>'2. 2018. önkormányzat'!E8+'3. 2018. hivatal'!E8+'4. 2018. műv.ház'!E8+'5. 2018. forrás'!E8+'6. 2018. szociális'!E8</f>
        <v>8478377</v>
      </c>
      <c r="F8" s="427">
        <f t="shared" si="4"/>
        <v>1</v>
      </c>
      <c r="G8" s="80"/>
      <c r="H8" s="69"/>
      <c r="I8" s="95"/>
      <c r="J8" s="95"/>
      <c r="K8" s="95"/>
      <c r="L8" s="508"/>
      <c r="N8" s="811"/>
    </row>
    <row r="9" spans="1:14" ht="24.75" customHeight="1" x14ac:dyDescent="0.25">
      <c r="A9" s="80"/>
      <c r="B9" s="83" t="s">
        <v>252</v>
      </c>
      <c r="C9" s="81" t="s">
        <v>253</v>
      </c>
      <c r="D9" s="106">
        <f>+'2. 2018. önkormányzat'!D9</f>
        <v>6644397</v>
      </c>
      <c r="E9" s="106">
        <f>+'2. 2018. önkormányzat'!E9</f>
        <v>6644397</v>
      </c>
      <c r="F9" s="427">
        <f t="shared" si="4"/>
        <v>1</v>
      </c>
      <c r="G9" s="80"/>
      <c r="H9" s="69"/>
      <c r="I9" s="95"/>
      <c r="J9" s="95"/>
      <c r="K9" s="95"/>
      <c r="L9" s="508"/>
      <c r="N9" s="811"/>
    </row>
    <row r="10" spans="1:14" ht="18" customHeight="1" x14ac:dyDescent="0.25">
      <c r="A10" s="80"/>
      <c r="B10" s="83" t="s">
        <v>254</v>
      </c>
      <c r="C10" s="81" t="s">
        <v>253</v>
      </c>
      <c r="D10" s="106">
        <f>+'2. 2018. önkormányzat'!D10</f>
        <v>925570</v>
      </c>
      <c r="E10" s="106">
        <f>+'2. 2018. önkormányzat'!E10</f>
        <v>925570</v>
      </c>
      <c r="F10" s="427">
        <f t="shared" si="4"/>
        <v>1</v>
      </c>
      <c r="G10" s="84"/>
      <c r="H10" s="69"/>
      <c r="I10" s="96"/>
      <c r="J10" s="96"/>
      <c r="K10" s="96"/>
      <c r="L10" s="509"/>
      <c r="N10" s="811"/>
    </row>
    <row r="11" spans="1:14" ht="20.25" customHeight="1" x14ac:dyDescent="0.25">
      <c r="A11" s="80"/>
      <c r="B11" s="111"/>
      <c r="C11" s="87"/>
      <c r="D11" s="87"/>
      <c r="E11" s="87"/>
      <c r="F11" s="422"/>
      <c r="G11" s="84"/>
      <c r="H11" s="69"/>
      <c r="I11" s="97"/>
      <c r="J11" s="97"/>
      <c r="K11" s="97"/>
      <c r="L11" s="510"/>
      <c r="N11" s="811"/>
    </row>
    <row r="12" spans="1:14" ht="20.25" customHeight="1" x14ac:dyDescent="0.25">
      <c r="A12" s="80"/>
      <c r="B12" s="83" t="s">
        <v>255</v>
      </c>
      <c r="C12" s="87"/>
      <c r="D12" s="87"/>
      <c r="E12" s="87"/>
      <c r="F12" s="422"/>
      <c r="G12" s="84"/>
      <c r="I12" s="104"/>
      <c r="J12" s="104"/>
      <c r="K12" s="104"/>
      <c r="L12" s="511"/>
      <c r="N12" s="811"/>
    </row>
    <row r="13" spans="1:14" ht="30" x14ac:dyDescent="0.25">
      <c r="A13" s="70"/>
      <c r="B13" s="83" t="s">
        <v>256</v>
      </c>
      <c r="C13" s="106"/>
      <c r="D13" s="106"/>
      <c r="E13" s="106"/>
      <c r="F13" s="427"/>
      <c r="G13" s="84"/>
      <c r="H13" s="69"/>
      <c r="I13" s="97"/>
      <c r="J13" s="97"/>
      <c r="K13" s="97"/>
      <c r="L13" s="510"/>
      <c r="N13" s="811"/>
    </row>
    <row r="14" spans="1:14" ht="29.25" customHeight="1" x14ac:dyDescent="0.25">
      <c r="A14" s="70"/>
      <c r="B14" s="83" t="s">
        <v>257</v>
      </c>
      <c r="C14" s="106"/>
      <c r="D14" s="106"/>
      <c r="E14" s="106"/>
      <c r="F14" s="427"/>
      <c r="G14" s="84"/>
      <c r="H14" s="69"/>
      <c r="I14" s="97"/>
      <c r="J14" s="97"/>
      <c r="K14" s="97"/>
      <c r="L14" s="510"/>
      <c r="N14" s="811"/>
    </row>
    <row r="15" spans="1:14" ht="29.25" customHeight="1" x14ac:dyDescent="0.25">
      <c r="A15" s="70"/>
      <c r="B15" s="83" t="s">
        <v>258</v>
      </c>
      <c r="C15" s="106"/>
      <c r="D15" s="106"/>
      <c r="E15" s="106"/>
      <c r="F15" s="427"/>
      <c r="G15" s="84"/>
      <c r="H15" s="69"/>
      <c r="I15" s="97"/>
      <c r="J15" s="97"/>
      <c r="K15" s="97"/>
      <c r="L15" s="510"/>
      <c r="N15" s="811"/>
    </row>
    <row r="16" spans="1:14" ht="29.25" customHeight="1" x14ac:dyDescent="0.25">
      <c r="A16" s="70"/>
      <c r="B16" s="83" t="s">
        <v>259</v>
      </c>
      <c r="C16" s="106">
        <f>'2. 2018. önkormányzat'!C16+'3. 2018. hivatal'!C15+'4. 2018. műv.ház'!C15+'5. 2018. forrás'!C15+'6. 2018. szociális'!C15+'7. 2018. bölcsőde'!C15</f>
        <v>38281446.865000002</v>
      </c>
      <c r="D16" s="106">
        <f>'2. 2018. önkormányzat'!D16+'3. 2018. hivatal'!D15+'4. 2018. műv.ház'!D15+'5. 2018. forrás'!D15+'6. 2018. szociális'!D15+'7. 2018. bölcsőde'!D15</f>
        <v>30615419</v>
      </c>
      <c r="E16" s="106">
        <f>'2. 2018. önkormányzat'!E16+'3. 2018. hivatal'!E15+'4. 2018. műv.ház'!E15+'5. 2018. forrás'!E15+'6. 2018. szociális'!E15+'7. 2018. bölcsőde'!E15</f>
        <v>31089559</v>
      </c>
      <c r="F16" s="427">
        <f t="shared" ref="F16" si="5">+E16/D16</f>
        <v>1.0154869675309686</v>
      </c>
      <c r="G16" s="84"/>
      <c r="H16" s="221"/>
      <c r="I16" s="104"/>
      <c r="J16" s="104"/>
      <c r="K16" s="104"/>
      <c r="L16" s="511"/>
      <c r="N16" s="811"/>
    </row>
    <row r="17" spans="1:14" ht="18.75" customHeight="1" x14ac:dyDescent="0.25">
      <c r="A17" s="70"/>
      <c r="C17" s="106"/>
      <c r="D17" s="106"/>
      <c r="E17" s="106"/>
      <c r="F17" s="427"/>
      <c r="H17" s="221"/>
      <c r="I17" s="97"/>
      <c r="J17" s="97"/>
      <c r="K17" s="97"/>
      <c r="L17" s="510"/>
      <c r="N17" s="811"/>
    </row>
    <row r="18" spans="1:14" ht="20.25" customHeight="1" x14ac:dyDescent="0.25">
      <c r="A18" s="231" t="s">
        <v>45</v>
      </c>
      <c r="B18" s="227" t="s">
        <v>266</v>
      </c>
      <c r="C18" s="228">
        <f>C19+C20+C24</f>
        <v>324600000</v>
      </c>
      <c r="D18" s="228">
        <f t="shared" ref="D18:E18" si="6">D19+D20+D24</f>
        <v>347048698</v>
      </c>
      <c r="E18" s="228">
        <f t="shared" si="6"/>
        <v>347048698</v>
      </c>
      <c r="F18" s="415">
        <f>+E18/D18</f>
        <v>1</v>
      </c>
      <c r="G18" s="231" t="s">
        <v>56</v>
      </c>
      <c r="H18" s="227" t="s">
        <v>215</v>
      </c>
      <c r="I18" s="228">
        <f>SUM(I19:I23)</f>
        <v>297101219.63254595</v>
      </c>
      <c r="J18" s="228">
        <f t="shared" ref="J18:K18" si="7">SUM(J19:J23)</f>
        <v>313438727</v>
      </c>
      <c r="K18" s="228">
        <f t="shared" si="7"/>
        <v>291163010</v>
      </c>
      <c r="L18" s="415">
        <f>+K18/J18</f>
        <v>0.92893119107135735</v>
      </c>
      <c r="N18" s="811"/>
    </row>
    <row r="19" spans="1:14" ht="20.25" customHeight="1" x14ac:dyDescent="0.25">
      <c r="A19" s="85"/>
      <c r="B19" s="87" t="s">
        <v>267</v>
      </c>
      <c r="C19" s="95">
        <f>'2. 2018. önkormányzat'!C19</f>
        <v>65100000</v>
      </c>
      <c r="D19" s="95">
        <f>'2. 2018. önkormányzat'!D19</f>
        <v>63356148</v>
      </c>
      <c r="E19" s="95">
        <f>'2. 2018. önkormányzat'!E19</f>
        <v>63356148</v>
      </c>
      <c r="F19" s="427">
        <f t="shared" ref="F19:F35" si="8">+E19/D19</f>
        <v>1</v>
      </c>
      <c r="G19" s="71"/>
      <c r="H19" s="222" t="s">
        <v>238</v>
      </c>
      <c r="I19" s="104">
        <f>'2. 2018. önkormányzat'!I19+'3. 2018. hivatal'!I18+'4. 2018. műv.ház'!I18+'5. 2018. forrás'!I18+'6. 2018. szociális'!I18+'7. 2018. bölcsőde'!I18</f>
        <v>62387150.333333328</v>
      </c>
      <c r="J19" s="104">
        <f>'2. 2018. önkormányzat'!J19+'3. 2018. hivatal'!J18+'4. 2018. műv.ház'!J18+'5. 2018. forrás'!J18+'6. 2018. szociális'!J18+'7. 2018. bölcsőde'!J18</f>
        <v>60693221</v>
      </c>
      <c r="K19" s="104">
        <f>'2. 2018. önkormányzat'!K19+'3. 2018. hivatal'!K18+'4. 2018. műv.ház'!K18+'5. 2018. forrás'!K18+'6. 2018. szociális'!K18+'7. 2018. bölcsőde'!K18</f>
        <v>54432416</v>
      </c>
      <c r="L19" s="427">
        <f t="shared" ref="L19:L23" si="9">+K19/J19</f>
        <v>0.89684506940239672</v>
      </c>
      <c r="N19" s="811"/>
    </row>
    <row r="20" spans="1:14" ht="20.25" customHeight="1" x14ac:dyDescent="0.25">
      <c r="A20" s="85"/>
      <c r="B20" s="87" t="s">
        <v>268</v>
      </c>
      <c r="C20" s="95">
        <f>'2. 2018. önkormányzat'!C20</f>
        <v>256000000</v>
      </c>
      <c r="D20" s="95">
        <f>'2. 2018. önkormányzat'!D20</f>
        <v>282514998</v>
      </c>
      <c r="E20" s="95">
        <f>'2. 2018. önkormányzat'!E20</f>
        <v>282514998</v>
      </c>
      <c r="F20" s="427">
        <f t="shared" si="8"/>
        <v>1</v>
      </c>
      <c r="G20" s="71"/>
      <c r="H20" s="222" t="s">
        <v>239</v>
      </c>
      <c r="I20" s="104">
        <f>'2. 2018. önkormányzat'!I20+'3. 2018. hivatal'!I19+'4. 2018. műv.ház'!I19+'6. 2018. szociális'!I19+'5. 2018. forrás'!I19+'7. 2018. bölcsőde'!I19</f>
        <v>11048400</v>
      </c>
      <c r="J20" s="104">
        <f>'2. 2018. önkormányzat'!J20+'3. 2018. hivatal'!J19+'4. 2018. műv.ház'!J19+'6. 2018. szociális'!J19+'5. 2018. forrás'!J19+'7. 2018. bölcsőde'!J19</f>
        <v>11592000</v>
      </c>
      <c r="K20" s="104">
        <f>'2. 2018. önkormányzat'!K20+'3. 2018. hivatal'!K19+'4. 2018. műv.ház'!K19+'6. 2018. szociális'!K19+'5. 2018. forrás'!K19+'7. 2018. bölcsőde'!K19</f>
        <v>11252311</v>
      </c>
      <c r="L20" s="427">
        <f t="shared" si="9"/>
        <v>0.9706962560386474</v>
      </c>
      <c r="N20" s="811"/>
    </row>
    <row r="21" spans="1:14" ht="20.25" customHeight="1" x14ac:dyDescent="0.25">
      <c r="A21" s="85"/>
      <c r="B21" s="87" t="s">
        <v>269</v>
      </c>
      <c r="C21" s="95">
        <f>'2. 2018. önkormányzat'!C21</f>
        <v>235000000</v>
      </c>
      <c r="D21" s="95">
        <f>'2. 2018. önkormányzat'!D21</f>
        <v>258960937</v>
      </c>
      <c r="E21" s="95">
        <f>'2. 2018. önkormányzat'!E21</f>
        <v>258960937</v>
      </c>
      <c r="F21" s="427">
        <f t="shared" si="8"/>
        <v>1</v>
      </c>
      <c r="G21" s="71"/>
      <c r="H21" s="222" t="s">
        <v>240</v>
      </c>
      <c r="I21" s="104">
        <f>'2. 2018. önkormányzat'!I21+'3. 2018. hivatal'!I20+'4. 2018. műv.ház'!I20+'5. 2018. forrás'!I20+'6. 2018. szociális'!I20+'7. 2018. bölcsőde'!I20</f>
        <v>121396484.77952756</v>
      </c>
      <c r="J21" s="104">
        <f>'2. 2018. önkormányzat'!J21+'3. 2018. hivatal'!J20+'4. 2018. műv.ház'!J20+'5. 2018. forrás'!J20+'6. 2018. szociális'!J20+'7. 2018. bölcsőde'!J20</f>
        <v>141407252</v>
      </c>
      <c r="K21" s="104">
        <f>'2. 2018. önkormányzat'!K21+'3. 2018. hivatal'!K20+'4. 2018. műv.ház'!K20+'5. 2018. forrás'!K20+'6. 2018. szociális'!K20+'7. 2018. bölcsőde'!K20</f>
        <v>132004714</v>
      </c>
      <c r="L21" s="427">
        <f t="shared" si="9"/>
        <v>0.93350738475562767</v>
      </c>
      <c r="N21" s="811"/>
    </row>
    <row r="22" spans="1:14" ht="20.25" customHeight="1" x14ac:dyDescent="0.25">
      <c r="A22" s="85"/>
      <c r="B22" s="87" t="s">
        <v>270</v>
      </c>
      <c r="C22" s="95">
        <f>'2. 2018. önkormányzat'!C22</f>
        <v>21000000</v>
      </c>
      <c r="D22" s="95">
        <f>'2. 2018. önkormányzat'!D22</f>
        <v>23389961</v>
      </c>
      <c r="E22" s="95">
        <f>'2. 2018. önkormányzat'!E22</f>
        <v>23389961</v>
      </c>
      <c r="F22" s="427">
        <f t="shared" si="8"/>
        <v>1</v>
      </c>
      <c r="G22" s="71"/>
      <c r="H22" s="222" t="s">
        <v>241</v>
      </c>
      <c r="I22" s="104">
        <f>'2. 2018. önkormányzat'!I22+'3. 2018. hivatal'!I21+'4. 2018. műv.ház'!I21+'5. 2018. forrás'!I21+'6. 2018. szociális'!I21+'7. 2018. bölcsőde'!I21</f>
        <v>11552999.519685039</v>
      </c>
      <c r="J22" s="104">
        <f>'2. 2018. önkormányzat'!J22+'3. 2018. hivatal'!J21+'4. 2018. műv.ház'!J21+'5. 2018. forrás'!J21+'6. 2018. szociális'!J21+'7. 2018. bölcsőde'!J21</f>
        <v>10511000</v>
      </c>
      <c r="K22" s="104">
        <f>'2. 2018. önkormányzat'!K22+'3. 2018. hivatal'!K21+'4. 2018. műv.ház'!K21+'5. 2018. forrás'!K21+'6. 2018. szociális'!K21+'7. 2018. bölcsőde'!K21</f>
        <v>9709733</v>
      </c>
      <c r="L22" s="427">
        <f t="shared" si="9"/>
        <v>0.92376871848539621</v>
      </c>
      <c r="N22" s="811"/>
    </row>
    <row r="23" spans="1:14" ht="20.25" customHeight="1" x14ac:dyDescent="0.25">
      <c r="A23" s="85"/>
      <c r="B23" s="87" t="s">
        <v>271</v>
      </c>
      <c r="C23" s="95">
        <f>'2. 2018. önkormányzat'!C23</f>
        <v>0</v>
      </c>
      <c r="D23" s="95">
        <f>'2. 2018. önkormányzat'!D23</f>
        <v>164100</v>
      </c>
      <c r="E23" s="95">
        <f>'2. 2018. önkormányzat'!E23</f>
        <v>164100</v>
      </c>
      <c r="F23" s="427">
        <f t="shared" si="8"/>
        <v>1</v>
      </c>
      <c r="G23" s="71"/>
      <c r="H23" s="222" t="s">
        <v>242</v>
      </c>
      <c r="I23" s="104">
        <f>'2. 2018. önkormányzat'!I23+'3. 2018. hivatal'!I22+'4. 2018. műv.ház'!I22+'5. 2018. forrás'!I22+'6. 2018. szociális'!I22+'7. 2018. bölcsőde'!I22</f>
        <v>90716185</v>
      </c>
      <c r="J23" s="104">
        <f>'2. 2018. önkormányzat'!J23+'3. 2018. hivatal'!J22+'4. 2018. műv.ház'!J22+'5. 2018. forrás'!J22+'6. 2018. szociális'!J22+'7. 2018. bölcsőde'!J22</f>
        <v>89235254</v>
      </c>
      <c r="K23" s="104">
        <f>'2. 2018. önkormányzat'!K23+'3. 2018. hivatal'!K22+'4. 2018. műv.ház'!K22+'5. 2018. forrás'!K22+'6. 2018. szociális'!K22+'7. 2018. bölcsőde'!K22</f>
        <v>83763836</v>
      </c>
      <c r="L23" s="427">
        <f t="shared" si="9"/>
        <v>0.9386854661723717</v>
      </c>
      <c r="N23" s="811"/>
    </row>
    <row r="24" spans="1:14" ht="20.25" customHeight="1" x14ac:dyDescent="0.25">
      <c r="A24" s="85"/>
      <c r="B24" s="87" t="s">
        <v>272</v>
      </c>
      <c r="C24" s="95">
        <f>'2. 2018. önkormányzat'!C24</f>
        <v>3500000</v>
      </c>
      <c r="D24" s="95">
        <f>'2. 2018. önkormányzat'!D24</f>
        <v>1177552</v>
      </c>
      <c r="E24" s="95">
        <f>'2. 2018. önkormányzat'!E24</f>
        <v>1177552</v>
      </c>
      <c r="F24" s="427">
        <f t="shared" si="8"/>
        <v>1</v>
      </c>
      <c r="G24" s="71"/>
      <c r="H24" s="112"/>
      <c r="I24" s="97"/>
      <c r="J24" s="97"/>
      <c r="K24" s="97"/>
      <c r="L24" s="510"/>
      <c r="N24" s="811"/>
    </row>
    <row r="25" spans="1:14" ht="20.25" customHeight="1" x14ac:dyDescent="0.25">
      <c r="A25" s="231" t="s">
        <v>56</v>
      </c>
      <c r="B25" s="227" t="s">
        <v>273</v>
      </c>
      <c r="C25" s="228">
        <f>SUM(C26:C35)</f>
        <v>96099337.045000002</v>
      </c>
      <c r="D25" s="228">
        <f t="shared" ref="D25" si="10">SUM(D26:D35)</f>
        <v>102307481</v>
      </c>
      <c r="E25" s="228">
        <f>SUM(E26:E35)</f>
        <v>101899900</v>
      </c>
      <c r="F25" s="415">
        <f>+E25/D25</f>
        <v>0.99601611733554463</v>
      </c>
      <c r="G25" s="231" t="s">
        <v>64</v>
      </c>
      <c r="H25" s="227" t="s">
        <v>216</v>
      </c>
      <c r="I25" s="228">
        <f>SUM(I26:I31)</f>
        <v>5267280</v>
      </c>
      <c r="J25" s="228">
        <f t="shared" ref="J25:K25" si="11">SUM(J26:J31)</f>
        <v>3556080</v>
      </c>
      <c r="K25" s="228">
        <f t="shared" si="11"/>
        <v>3225218</v>
      </c>
      <c r="L25" s="415">
        <f>+K25/J25</f>
        <v>0.90695878607905334</v>
      </c>
      <c r="N25" s="811"/>
    </row>
    <row r="26" spans="1:14" ht="20.25" customHeight="1" x14ac:dyDescent="0.25">
      <c r="A26" s="85"/>
      <c r="B26" s="88" t="s">
        <v>274</v>
      </c>
      <c r="C26" s="101">
        <f>'2. 2018. önkormányzat'!C26+'3. 2018. hivatal'!C25+'4. 2018. műv.ház'!C25+'5. 2018. forrás'!C25+'6. 2018. szociális'!C25</f>
        <v>0</v>
      </c>
      <c r="D26" s="101">
        <f>'2. 2018. önkormányzat'!D26+'3. 2018. hivatal'!D25+'4. 2018. műv.ház'!D25+'5. 2018. forrás'!D25+'6. 2018. szociális'!D25</f>
        <v>0</v>
      </c>
      <c r="E26" s="101">
        <f>'2. 2018. önkormányzat'!E26+'3. 2018. hivatal'!E25+'4. 2018. műv.ház'!E25+'5. 2018. forrás'!E25+'6. 2018. szociális'!E25</f>
        <v>28287</v>
      </c>
      <c r="F26" s="427"/>
      <c r="G26" s="71"/>
      <c r="H26" s="112" t="s">
        <v>202</v>
      </c>
      <c r="I26" s="105">
        <f>'2. 2018. önkormányzat'!I26</f>
        <v>967280</v>
      </c>
      <c r="J26" s="105">
        <f>'2. 2018. önkormányzat'!J26</f>
        <v>804080</v>
      </c>
      <c r="K26" s="105">
        <f>'2. 2018. önkormányzat'!K26</f>
        <v>804080</v>
      </c>
      <c r="L26" s="427">
        <f t="shared" ref="L26:L31" si="12">+K26/J26</f>
        <v>1</v>
      </c>
      <c r="N26" s="811"/>
    </row>
    <row r="27" spans="1:14" ht="20.25" customHeight="1" x14ac:dyDescent="0.25">
      <c r="A27" s="85"/>
      <c r="B27" s="88" t="s">
        <v>275</v>
      </c>
      <c r="C27" s="101">
        <f>+'2. 2018. önkormányzat'!C27+'3. 2018. hivatal'!C26+'4. 2018. műv.ház'!C26+'5. 2018. forrás'!C26+'6. 2018. szociális'!C26+'7. 2018. bölcsőde'!C26</f>
        <v>63551000</v>
      </c>
      <c r="D27" s="101">
        <f>+'2. 2018. önkormányzat'!D27+'3. 2018. hivatal'!D26+'4. 2018. műv.ház'!D26+'5. 2018. forrás'!D26+'6. 2018. szociális'!D26+'7. 2018. bölcsőde'!D26</f>
        <v>65082696</v>
      </c>
      <c r="E27" s="296">
        <f>+'2. 2018. önkormányzat'!E27+'3. 2018. hivatal'!E26+'4. 2018. műv.ház'!E26+'5. 2018. forrás'!E26+'6. 2018. szociális'!E26+'7. 2018. bölcsőde'!E26</f>
        <v>64472673</v>
      </c>
      <c r="F27" s="427">
        <f t="shared" si="8"/>
        <v>0.99062695558893255</v>
      </c>
      <c r="G27" s="71"/>
      <c r="H27" s="221" t="s">
        <v>203</v>
      </c>
      <c r="I27" s="105">
        <f>'2. 2018. önkormányzat'!I27</f>
        <v>0</v>
      </c>
      <c r="J27" s="105">
        <f>'2. 2018. önkormányzat'!J27</f>
        <v>0</v>
      </c>
      <c r="K27" s="105">
        <f>'2. 2018. önkormányzat'!K27</f>
        <v>0</v>
      </c>
      <c r="L27" s="427"/>
      <c r="N27" s="811"/>
    </row>
    <row r="28" spans="1:14" ht="20.25" customHeight="1" x14ac:dyDescent="0.25">
      <c r="A28" s="85"/>
      <c r="B28" s="88" t="s">
        <v>276</v>
      </c>
      <c r="C28" s="101">
        <f>+'2. 2018. önkormányzat'!C28+'3. 2018. hivatal'!C27+'4. 2018. műv.ház'!C27+'5. 2018. forrás'!C27+'6. 2018. szociális'!C27+'7. 2018. bölcsőde'!C27</f>
        <v>722000</v>
      </c>
      <c r="D28" s="101">
        <f>+'2. 2018. önkormányzat'!D28+'3. 2018. hivatal'!D27+'4. 2018. műv.ház'!D27+'5. 2018. forrás'!D27+'6. 2018. szociális'!D27+'7. 2018. bölcsőde'!D27</f>
        <v>2342614</v>
      </c>
      <c r="E28" s="296">
        <f>+'2. 2018. önkormányzat'!E28+'3. 2018. hivatal'!E27+'4. 2018. műv.ház'!E27+'5. 2018. forrás'!E27+'6. 2018. szociális'!E27+'7. 2018. bölcsőde'!E27</f>
        <v>2634109</v>
      </c>
      <c r="F28" s="427">
        <f t="shared" si="8"/>
        <v>1.1244315111238983</v>
      </c>
      <c r="G28" s="71"/>
      <c r="H28" s="112" t="s">
        <v>204</v>
      </c>
      <c r="I28" s="105">
        <f>'2. 2018. önkormányzat'!I28</f>
        <v>0</v>
      </c>
      <c r="J28" s="105">
        <f>'2. 2018. önkormányzat'!J28</f>
        <v>0</v>
      </c>
      <c r="K28" s="105">
        <f>'2. 2018. önkormányzat'!K28</f>
        <v>0</v>
      </c>
      <c r="L28" s="427"/>
      <c r="N28" s="811"/>
    </row>
    <row r="29" spans="1:14" ht="20.25" customHeight="1" x14ac:dyDescent="0.25">
      <c r="A29" s="85"/>
      <c r="B29" s="88" t="s">
        <v>277</v>
      </c>
      <c r="C29" s="101">
        <f>+'2. 2018. önkormányzat'!C29+'3. 2018. hivatal'!C28+'4. 2018. műv.ház'!C28+'5. 2018. forrás'!C28+'6. 2018. szociális'!C28+'7. 2018. bölcsőde'!C28</f>
        <v>3512832.0449999999</v>
      </c>
      <c r="D29" s="101">
        <f>+'2. 2018. önkormányzat'!D29+'3. 2018. hivatal'!D28+'4. 2018. műv.ház'!D28+'5. 2018. forrás'!D28+'6. 2018. szociális'!D28+'7. 2018. bölcsőde'!D28</f>
        <v>5005066</v>
      </c>
      <c r="E29" s="101">
        <f>+'2. 2018. önkormányzat'!E29+'3. 2018. hivatal'!E28+'4. 2018. műv.ház'!E28+'5. 2018. forrás'!E28+'6. 2018. szociális'!E28+'7. 2018. bölcsőde'!E28</f>
        <v>5005066</v>
      </c>
      <c r="F29" s="427">
        <f t="shared" si="8"/>
        <v>1</v>
      </c>
      <c r="G29" s="71"/>
      <c r="H29" s="112" t="s">
        <v>205</v>
      </c>
      <c r="I29" s="105">
        <f>'2. 2018. önkormányzat'!I29</f>
        <v>0</v>
      </c>
      <c r="J29" s="105">
        <f>'2. 2018. önkormányzat'!J29</f>
        <v>0</v>
      </c>
      <c r="K29" s="105">
        <f>'2. 2018. önkormányzat'!K29</f>
        <v>0</v>
      </c>
      <c r="L29" s="427"/>
      <c r="N29" s="811"/>
    </row>
    <row r="30" spans="1:14" ht="20.25" customHeight="1" x14ac:dyDescent="0.25">
      <c r="A30" s="85"/>
      <c r="B30" s="88" t="s">
        <v>278</v>
      </c>
      <c r="C30" s="101">
        <f>+'2. 2018. önkormányzat'!C30+'3. 2018. hivatal'!C29+'4. 2018. műv.ház'!C29+'5. 2018. forrás'!C29+'6. 2018. szociális'!C29+'7. 2018. bölcsőde'!C29</f>
        <v>8121500</v>
      </c>
      <c r="D30" s="101">
        <f>+'2. 2018. önkormányzat'!D30+'3. 2018. hivatal'!D29+'4. 2018. műv.ház'!D29+'5. 2018. forrás'!D29+'6. 2018. szociális'!D29+'7. 2018. bölcsőde'!D29</f>
        <v>8121500</v>
      </c>
      <c r="E30" s="296">
        <f>+'2. 2018. önkormányzat'!E30+'3. 2018. hivatal'!E29+'4. 2018. műv.ház'!E29+'5. 2018. forrás'!E29+'6. 2018. szociális'!E29+'7. 2018. bölcsőde'!E29</f>
        <v>7383675</v>
      </c>
      <c r="F30" s="427">
        <f t="shared" si="8"/>
        <v>0.90915163455026782</v>
      </c>
      <c r="G30" s="71"/>
      <c r="H30" s="112" t="s">
        <v>206</v>
      </c>
      <c r="I30" s="105">
        <f>'2. 2018. önkormányzat'!I30</f>
        <v>0</v>
      </c>
      <c r="J30" s="105">
        <f>'2. 2018. önkormányzat'!J30</f>
        <v>0</v>
      </c>
      <c r="K30" s="105">
        <f>'2. 2018. önkormányzat'!K30</f>
        <v>0</v>
      </c>
      <c r="L30" s="427"/>
      <c r="N30" s="811"/>
    </row>
    <row r="31" spans="1:14" ht="20.25" customHeight="1" x14ac:dyDescent="0.25">
      <c r="A31" s="85"/>
      <c r="B31" s="88" t="s">
        <v>279</v>
      </c>
      <c r="C31" s="101">
        <f>+'2. 2018. önkormányzat'!C31+'3. 2018. hivatal'!C30+'4. 2018. műv.ház'!C30+'5. 2018. forrás'!C30+'6. 2018. szociális'!C30+'7. 2018. bölcsőde'!C30</f>
        <v>17042005</v>
      </c>
      <c r="D31" s="101">
        <f>+'2. 2018. önkormányzat'!D31+'3. 2018. hivatal'!D30+'4. 2018. műv.ház'!D30+'5. 2018. forrás'!D30+'6. 2018. szociális'!D30+'7. 2018. bölcsőde'!D30</f>
        <v>17442311</v>
      </c>
      <c r="E31" s="101">
        <f>+'2. 2018. önkormányzat'!E31+'3. 2018. hivatal'!E30+'4. 2018. műv.ház'!E30+'5. 2018. forrás'!E30+'6. 2018. szociális'!E30+'7. 2018. bölcsőde'!E30</f>
        <v>17668660</v>
      </c>
      <c r="F31" s="427">
        <f t="shared" si="8"/>
        <v>1.0129770074619127</v>
      </c>
      <c r="G31" s="71"/>
      <c r="H31" s="112" t="s">
        <v>207</v>
      </c>
      <c r="I31" s="105">
        <f>'2. 2018. önkormányzat'!I31</f>
        <v>4300000</v>
      </c>
      <c r="J31" s="105">
        <f>'2. 2018. önkormányzat'!J31</f>
        <v>2752000</v>
      </c>
      <c r="K31" s="105">
        <f>'2. 2018. önkormányzat'!K31</f>
        <v>2421138</v>
      </c>
      <c r="L31" s="427">
        <f t="shared" si="12"/>
        <v>0.87977398255813954</v>
      </c>
      <c r="N31" s="811"/>
    </row>
    <row r="32" spans="1:14" ht="20.25" customHeight="1" x14ac:dyDescent="0.25">
      <c r="A32" s="85"/>
      <c r="B32" s="88" t="s">
        <v>280</v>
      </c>
      <c r="C32" s="101">
        <f>'2. 2018. önkormányzat'!C32+'3. 2018. hivatal'!C314+'4. 2018. műv.ház'!C31+'5. 2018. forrás'!C31+'6. 2018. szociális'!C31</f>
        <v>0</v>
      </c>
      <c r="D32" s="101">
        <f>'2. 2018. önkormányzat'!D32+'3. 2018. hivatal'!D314+'4. 2018. műv.ház'!D31+'5. 2018. forrás'!D31+'6. 2018. szociális'!D31</f>
        <v>0</v>
      </c>
      <c r="E32" s="101">
        <f>'2. 2018. önkormányzat'!E32+'3. 2018. hivatal'!E314+'4. 2018. műv.ház'!E31+'5. 2018. forrás'!E31+'6. 2018. szociális'!E31</f>
        <v>0</v>
      </c>
      <c r="F32" s="427"/>
      <c r="G32" s="71"/>
      <c r="H32" s="112"/>
      <c r="I32" s="97"/>
      <c r="J32" s="97"/>
      <c r="K32" s="97"/>
      <c r="L32" s="510"/>
      <c r="N32" s="811"/>
    </row>
    <row r="33" spans="1:14" ht="20.25" customHeight="1" x14ac:dyDescent="0.25">
      <c r="A33" s="85"/>
      <c r="B33" s="88" t="s">
        <v>281</v>
      </c>
      <c r="C33" s="101">
        <f>'2. 2018. önkormányzat'!C33+'3. 2018. hivatal'!C325+'4. 2018. műv.ház'!C32+'5. 2018. forrás'!C32+'6. 2018. szociális'!C32</f>
        <v>3150000</v>
      </c>
      <c r="D33" s="101">
        <f>'2. 2018. önkormányzat'!D33+'3. 2018. hivatal'!D325+'4. 2018. műv.ház'!D32+'5. 2018. forrás'!D32+'6. 2018. szociális'!D32</f>
        <v>3616479</v>
      </c>
      <c r="E33" s="101">
        <f>+'2. 2018. önkormányzat'!E33+'3. 2018. hivatal'!E32+'5. 2018. forrás'!E32+'6. 2018. szociális'!E32</f>
        <v>3616482</v>
      </c>
      <c r="F33" s="427">
        <f t="shared" si="8"/>
        <v>1.0000008295361318</v>
      </c>
      <c r="G33" s="71"/>
      <c r="I33" s="104"/>
      <c r="J33" s="104"/>
      <c r="K33" s="104"/>
      <c r="L33" s="511"/>
      <c r="N33" s="811"/>
    </row>
    <row r="34" spans="1:14" ht="20.25" customHeight="1" x14ac:dyDescent="0.25">
      <c r="A34" s="85"/>
      <c r="B34" s="88" t="s">
        <v>282</v>
      </c>
      <c r="C34" s="101">
        <f>'2. 2018. önkormányzat'!C34+'3. 2018. hivatal'!C33+'4. 2018. műv.ház'!C33+'5. 2018. forrás'!C33+'6. 2018. szociális'!C33</f>
        <v>0</v>
      </c>
      <c r="D34" s="101">
        <f>'2. 2018. önkormányzat'!D34+'3. 2018. hivatal'!D33+'4. 2018. műv.ház'!D33+'5. 2018. forrás'!D33+'6. 2018. szociális'!D33</f>
        <v>0</v>
      </c>
      <c r="E34" s="101">
        <f>'2. 2018. önkormányzat'!E34+'3. 2018. hivatal'!E33+'4. 2018. műv.ház'!E33+'5. 2018. forrás'!E33+'6. 2018. szociális'!E33</f>
        <v>0</v>
      </c>
      <c r="F34" s="427"/>
      <c r="G34" s="71"/>
      <c r="H34" s="112"/>
      <c r="I34" s="97"/>
      <c r="J34" s="97"/>
      <c r="K34" s="97"/>
      <c r="L34" s="510"/>
      <c r="N34" s="811"/>
    </row>
    <row r="35" spans="1:14" ht="20.25" customHeight="1" x14ac:dyDescent="0.25">
      <c r="A35" s="85"/>
      <c r="B35" s="88" t="s">
        <v>1209</v>
      </c>
      <c r="C35" s="101">
        <f>'2. 2018. önkormányzat'!C35+'3. 2018. hivatal'!C34+'4. 2018. műv.ház'!C34+'5. 2018. forrás'!C34+'6. 2018. szociális'!C34</f>
        <v>0</v>
      </c>
      <c r="D35" s="101">
        <f>'2. 2018. önkormányzat'!D35+'3. 2018. hivatal'!D34+'4. 2018. műv.ház'!D34+'5. 2018. forrás'!D34+'6. 2018. szociális'!D34</f>
        <v>696815</v>
      </c>
      <c r="E35" s="296">
        <f>+'2. 2018. önkormányzat'!E35+'3. 2018. hivatal'!E34+'4. 2018. műv.ház'!E34+'5. 2018. forrás'!E34+'6. 2018. szociális'!E34+'7. 2018. bölcsőde'!E34</f>
        <v>1090948</v>
      </c>
      <c r="F35" s="427">
        <f t="shared" si="8"/>
        <v>1.5656207171200391</v>
      </c>
      <c r="G35" s="71"/>
      <c r="H35" s="112"/>
      <c r="I35" s="97"/>
      <c r="J35" s="97"/>
      <c r="K35" s="97"/>
      <c r="L35" s="510"/>
      <c r="N35" s="811"/>
    </row>
    <row r="36" spans="1:14" ht="20.25" customHeight="1" x14ac:dyDescent="0.25">
      <c r="A36" s="231" t="s">
        <v>64</v>
      </c>
      <c r="B36" s="227" t="s">
        <v>290</v>
      </c>
      <c r="C36" s="228">
        <f>SUM(C37:C39)</f>
        <v>0</v>
      </c>
      <c r="D36" s="228">
        <f t="shared" ref="D36:F36" si="13">SUM(D37:D39)</f>
        <v>4364800</v>
      </c>
      <c r="E36" s="228">
        <f t="shared" si="13"/>
        <v>4364800</v>
      </c>
      <c r="F36" s="415">
        <f t="shared" si="13"/>
        <v>1</v>
      </c>
      <c r="G36" s="231" t="s">
        <v>100</v>
      </c>
      <c r="H36" s="227" t="s">
        <v>237</v>
      </c>
      <c r="I36" s="228">
        <f>SUM(I37:I42)</f>
        <v>57434544</v>
      </c>
      <c r="J36" s="228">
        <f t="shared" ref="J36:K36" si="14">SUM(J37:J42)</f>
        <v>45814334</v>
      </c>
      <c r="K36" s="228">
        <f t="shared" si="14"/>
        <v>42315228</v>
      </c>
      <c r="L36" s="415">
        <f>+K36/J36</f>
        <v>0.92362420896481878</v>
      </c>
      <c r="N36" s="811"/>
    </row>
    <row r="37" spans="1:14" ht="30" x14ac:dyDescent="0.25">
      <c r="A37" s="85"/>
      <c r="B37" s="88" t="s">
        <v>291</v>
      </c>
      <c r="C37" s="101"/>
      <c r="D37" s="101"/>
      <c r="E37" s="101"/>
      <c r="F37" s="422"/>
      <c r="G37" s="71"/>
      <c r="H37" s="112" t="s">
        <v>208</v>
      </c>
      <c r="I37" s="105" t="s">
        <v>253</v>
      </c>
      <c r="J37" s="105">
        <f>+'2. 2018. önkormányzat'!J37</f>
        <v>4555700</v>
      </c>
      <c r="K37" s="105">
        <f>+'2. 2018. önkormányzat'!K37</f>
        <v>4555700</v>
      </c>
      <c r="L37" s="427">
        <f t="shared" ref="L37:L42" si="15">+K37/J37</f>
        <v>1</v>
      </c>
      <c r="N37" s="811"/>
    </row>
    <row r="38" spans="1:14" ht="28.5" customHeight="1" x14ac:dyDescent="0.25">
      <c r="A38" s="85"/>
      <c r="B38" s="83" t="s">
        <v>292</v>
      </c>
      <c r="C38" s="101"/>
      <c r="D38" s="101"/>
      <c r="E38" s="101"/>
      <c r="F38" s="422"/>
      <c r="G38" s="71"/>
      <c r="H38" s="112" t="s">
        <v>210</v>
      </c>
      <c r="I38" s="100"/>
      <c r="J38" s="100"/>
      <c r="K38" s="100"/>
      <c r="L38" s="427"/>
      <c r="N38" s="811"/>
    </row>
    <row r="39" spans="1:14" ht="19.5" customHeight="1" x14ac:dyDescent="0.25">
      <c r="A39" s="85"/>
      <c r="B39" s="88" t="s">
        <v>293</v>
      </c>
      <c r="C39" s="101">
        <f>+'2. 2018. önkormányzat'!C39</f>
        <v>0</v>
      </c>
      <c r="D39" s="101">
        <f>+'2. 2018. önkormányzat'!D39</f>
        <v>4364800</v>
      </c>
      <c r="E39" s="101">
        <f>+'2. 2018. önkormányzat'!E39</f>
        <v>4364800</v>
      </c>
      <c r="F39" s="422">
        <f>+'2. 2018. önkormányzat'!F39</f>
        <v>1</v>
      </c>
      <c r="G39" s="71"/>
      <c r="H39" s="112" t="s">
        <v>209</v>
      </c>
      <c r="I39" s="105">
        <f>'2. 2018. önkormányzat'!I39</f>
        <v>18076620</v>
      </c>
      <c r="J39" s="105">
        <f>'2. 2018. önkormányzat'!J39</f>
        <v>17554940</v>
      </c>
      <c r="K39" s="105">
        <f>'2. 2018. önkormányzat'!K39</f>
        <v>17554928</v>
      </c>
      <c r="L39" s="427">
        <f t="shared" si="15"/>
        <v>0.99999931643172801</v>
      </c>
      <c r="N39" s="811"/>
    </row>
    <row r="40" spans="1:14" ht="34.5" customHeight="1" x14ac:dyDescent="0.25">
      <c r="A40" s="85"/>
      <c r="B40" s="88"/>
      <c r="C40" s="101"/>
      <c r="D40" s="101"/>
      <c r="E40" s="101"/>
      <c r="F40" s="422"/>
      <c r="G40" s="71"/>
      <c r="H40" s="112" t="s">
        <v>211</v>
      </c>
      <c r="I40" s="100"/>
      <c r="J40" s="100"/>
      <c r="K40" s="100"/>
      <c r="L40" s="427"/>
      <c r="N40" s="811"/>
    </row>
    <row r="41" spans="1:14" ht="19.5" customHeight="1" x14ac:dyDescent="0.25">
      <c r="A41" s="85"/>
      <c r="B41" s="88"/>
      <c r="C41" s="99"/>
      <c r="D41" s="99"/>
      <c r="E41" s="99"/>
      <c r="F41" s="430"/>
      <c r="G41" s="71"/>
      <c r="H41" s="112" t="s">
        <v>376</v>
      </c>
      <c r="I41" s="105">
        <f>'2. 2018. önkormányzat'!I41</f>
        <v>13905000</v>
      </c>
      <c r="J41" s="105">
        <f>'2. 2018. önkormányzat'!J41</f>
        <v>20204600</v>
      </c>
      <c r="K41" s="105">
        <f>'2. 2018. önkormányzat'!K41</f>
        <v>20204600</v>
      </c>
      <c r="L41" s="427">
        <f t="shared" si="15"/>
        <v>1</v>
      </c>
      <c r="N41" s="811"/>
    </row>
    <row r="42" spans="1:14" ht="19.5" customHeight="1" x14ac:dyDescent="0.25">
      <c r="A42" s="85"/>
      <c r="B42" s="88"/>
      <c r="C42" s="99"/>
      <c r="D42" s="99"/>
      <c r="E42" s="99"/>
      <c r="F42" s="430"/>
      <c r="G42" s="71"/>
      <c r="H42" s="112" t="s">
        <v>212</v>
      </c>
      <c r="I42" s="105">
        <f>'2. 2018. önkormányzat'!I42</f>
        <v>25452924</v>
      </c>
      <c r="J42" s="105">
        <f>'2. 2018. önkormányzat'!J42</f>
        <v>3499094</v>
      </c>
      <c r="K42" s="105">
        <f>'2. 2018. önkormányzat'!K42</f>
        <v>0</v>
      </c>
      <c r="L42" s="427">
        <f t="shared" si="15"/>
        <v>0</v>
      </c>
      <c r="N42" s="811"/>
    </row>
    <row r="43" spans="1:14" ht="19.5" customHeight="1" x14ac:dyDescent="0.25">
      <c r="A43" s="85"/>
      <c r="B43" s="88"/>
      <c r="C43" s="99"/>
      <c r="D43" s="99"/>
      <c r="E43" s="99"/>
      <c r="F43" s="430"/>
      <c r="G43" s="73"/>
      <c r="H43" s="82"/>
      <c r="I43" s="100"/>
      <c r="J43" s="100"/>
      <c r="K43" s="100"/>
      <c r="L43" s="512"/>
      <c r="N43" s="811"/>
    </row>
    <row r="44" spans="1:14" ht="20.25" customHeight="1" x14ac:dyDescent="0.25">
      <c r="A44" s="85"/>
      <c r="B44" s="88"/>
      <c r="C44" s="99"/>
      <c r="D44" s="99"/>
      <c r="E44" s="99"/>
      <c r="F44" s="430"/>
      <c r="G44" s="71"/>
      <c r="H44" s="112"/>
      <c r="I44" s="100"/>
      <c r="J44" s="100"/>
      <c r="K44" s="100"/>
      <c r="L44" s="512"/>
      <c r="N44" s="811"/>
    </row>
    <row r="45" spans="1:14" ht="30" customHeight="1" x14ac:dyDescent="0.25">
      <c r="A45" s="306"/>
      <c r="B45" s="307" t="s">
        <v>192</v>
      </c>
      <c r="C45" s="308">
        <f>C46+C52+C58</f>
        <v>41186399</v>
      </c>
      <c r="D45" s="308">
        <f t="shared" ref="D45:F45" si="16">D46+D52+D58</f>
        <v>326487173</v>
      </c>
      <c r="E45" s="308">
        <f t="shared" si="16"/>
        <v>326487173</v>
      </c>
      <c r="F45" s="414">
        <f t="shared" si="16"/>
        <v>3</v>
      </c>
      <c r="G45" s="306"/>
      <c r="H45" s="402" t="s">
        <v>200</v>
      </c>
      <c r="I45" s="308">
        <f>I46+I54+I59+1</f>
        <v>459164973.08661419</v>
      </c>
      <c r="J45" s="308">
        <f>J46+J54+J59</f>
        <v>1118279673.5433071</v>
      </c>
      <c r="K45" s="308">
        <f>K46+K54+K59</f>
        <v>634279891</v>
      </c>
      <c r="L45" s="507">
        <f>+K45/J45</f>
        <v>0.56719254226472937</v>
      </c>
      <c r="N45" s="811"/>
    </row>
    <row r="46" spans="1:14" ht="20.25" customHeight="1" x14ac:dyDescent="0.25">
      <c r="A46" s="231" t="s">
        <v>100</v>
      </c>
      <c r="B46" s="227" t="s">
        <v>260</v>
      </c>
      <c r="C46" s="228">
        <f>SUM(C47:C51)</f>
        <v>41186399</v>
      </c>
      <c r="D46" s="228">
        <f t="shared" ref="D46:E46" si="17">SUM(D47:D51)</f>
        <v>325703880</v>
      </c>
      <c r="E46" s="228">
        <f t="shared" si="17"/>
        <v>325703880</v>
      </c>
      <c r="F46" s="415">
        <f>+E46/D46</f>
        <v>1</v>
      </c>
      <c r="G46" s="231" t="s">
        <v>181</v>
      </c>
      <c r="H46" s="227" t="s">
        <v>217</v>
      </c>
      <c r="I46" s="228">
        <f>SUM(I47:I53)</f>
        <v>214788275.51181105</v>
      </c>
      <c r="J46" s="228">
        <f>SUM(J47:J53)</f>
        <v>89998576.543307096</v>
      </c>
      <c r="K46" s="228">
        <f t="shared" ref="K46" si="18">SUM(K47:K53)</f>
        <v>57907967</v>
      </c>
      <c r="L46" s="415">
        <f>+K46/J46</f>
        <v>0.64343203219591838</v>
      </c>
      <c r="N46" s="811"/>
    </row>
    <row r="47" spans="1:14" ht="20.25" customHeight="1" x14ac:dyDescent="0.25">
      <c r="A47" s="85"/>
      <c r="B47" s="83" t="s">
        <v>261</v>
      </c>
      <c r="C47" s="101">
        <f>'2. 2018. önkormányzat'!C46+'3. 2018. hivatal'!C51+'4. 2018. műv.ház'!C52+'5. 2018. forrás'!C45+'6. 2018. szociális'!C53</f>
        <v>41186399</v>
      </c>
      <c r="D47" s="101">
        <f>'2. 2018. önkormányzat'!D46+'3. 2018. hivatal'!D51+'4. 2018. műv.ház'!D52+'5. 2018. forrás'!D45+'6. 2018. szociális'!D53</f>
        <v>14129638</v>
      </c>
      <c r="E47" s="101">
        <f>'2. 2018. önkormányzat'!E46+'3. 2018. hivatal'!E51+'4. 2018. műv.ház'!E52+'5. 2018. forrás'!E45+'6. 2018. szociális'!E53</f>
        <v>14129638</v>
      </c>
      <c r="F47" s="427">
        <f t="shared" ref="F47:F51" si="19">+E47/D47</f>
        <v>1</v>
      </c>
      <c r="G47" s="85"/>
      <c r="H47" s="93" t="s">
        <v>218</v>
      </c>
      <c r="I47" s="95">
        <f>'2. 2018. önkormányzat'!I46+'3. 2018. hivatal'!I51+'4. 2018. műv.ház'!I52+'5. 2018. forrás'!I45+'6. 2018. szociális'!I53</f>
        <v>9750000</v>
      </c>
      <c r="J47" s="95">
        <f>'2. 2018. önkormányzat'!J46+'3. 2018. hivatal'!J51+'4. 2018. műv.ház'!J52+'5. 2018. forrás'!J45+'6. 2018. szociális'!J53</f>
        <v>9750000</v>
      </c>
      <c r="K47" s="95">
        <f>'2. 2018. önkormányzat'!K46+'3. 2018. hivatal'!K51+'4. 2018. műv.ház'!K52+'5. 2018. forrás'!K45+'6. 2018. szociális'!K53</f>
        <v>1300000</v>
      </c>
      <c r="L47" s="427">
        <f t="shared" ref="L47:L58" si="20">+K47/J47</f>
        <v>0.13333333333333333</v>
      </c>
      <c r="N47" s="811"/>
    </row>
    <row r="48" spans="1:14" ht="29.25" customHeight="1" x14ac:dyDescent="0.25">
      <c r="A48" s="85"/>
      <c r="B48" s="83" t="s">
        <v>262</v>
      </c>
      <c r="C48" s="101">
        <f>'2. 2018. önkormányzat'!C47+'3. 2018. hivatal'!C52+'4. 2018. műv.ház'!C53+'5. 2018. forrás'!C46+'6. 2018. szociális'!C54</f>
        <v>0</v>
      </c>
      <c r="D48" s="101">
        <f>'2. 2018. önkormányzat'!D47+'3. 2018. hivatal'!D52+'4. 2018. műv.ház'!D53+'5. 2018. forrás'!D46+'6. 2018. szociális'!D54</f>
        <v>0</v>
      </c>
      <c r="E48" s="101">
        <f>'2. 2018. önkormányzat'!E47+'3. 2018. hivatal'!E52+'4. 2018. műv.ház'!E53+'5. 2018. forrás'!E46+'6. 2018. szociális'!E54</f>
        <v>0</v>
      </c>
      <c r="F48" s="427"/>
      <c r="G48" s="85"/>
      <c r="H48" s="93" t="s">
        <v>219</v>
      </c>
      <c r="I48" s="95">
        <f>'2. 2018. önkormányzat'!I47+'3. 2018. hivatal'!I52+'4. 2018. műv.ház'!I53+'5. 2018. forrás'!I46+'6. 2018. szociális'!I54</f>
        <v>147800134.71653545</v>
      </c>
      <c r="J48" s="95">
        <f>'2. 2018. önkormányzat'!J47+'3. 2018. hivatal'!J52+'4. 2018. műv.ház'!J53+'5. 2018. forrás'!J46+'6. 2018. szociális'!J54</f>
        <v>50962239</v>
      </c>
      <c r="K48" s="95">
        <f>'2. 2018. önkormányzat'!K47+'3. 2018. hivatal'!K52+'4. 2018. műv.ház'!K53+'5. 2018. forrás'!K46+'6. 2018. szociális'!K54</f>
        <v>47958769</v>
      </c>
      <c r="L48" s="427">
        <f t="shared" si="20"/>
        <v>0.9410647950534512</v>
      </c>
      <c r="N48" s="811"/>
    </row>
    <row r="49" spans="1:14" ht="29.25" customHeight="1" x14ac:dyDescent="0.25">
      <c r="A49" s="85"/>
      <c r="B49" s="83" t="s">
        <v>263</v>
      </c>
      <c r="C49" s="101">
        <f>'2. 2018. önkormányzat'!C48+'3. 2018. hivatal'!C53+'4. 2018. műv.ház'!C54+'5. 2018. forrás'!C47+'6. 2018. szociális'!C55</f>
        <v>0</v>
      </c>
      <c r="D49" s="101">
        <f>'2. 2018. önkormányzat'!D48+'3. 2018. hivatal'!D53+'4. 2018. műv.ház'!D54+'5. 2018. forrás'!D47+'6. 2018. szociális'!D55</f>
        <v>0</v>
      </c>
      <c r="E49" s="101">
        <f>'2. 2018. önkormányzat'!E48+'3. 2018. hivatal'!E53+'4. 2018. műv.ház'!E54+'5. 2018. forrás'!E47+'6. 2018. szociális'!E55</f>
        <v>0</v>
      </c>
      <c r="F49" s="427"/>
      <c r="G49" s="71"/>
      <c r="H49" s="112" t="s">
        <v>220</v>
      </c>
      <c r="I49" s="98">
        <f>'2. 2018. önkormányzat'!I48+'3. 2018. hivatal'!I53+'4. 2018. műv.ház'!I54+'5. 2018. forrás'!I47+'6. 2018. szociális'!I55+'7. 2018. bölcsőde'!I54</f>
        <v>784000</v>
      </c>
      <c r="J49" s="98">
        <f>'2. 2018. önkormányzat'!J48+'3. 2018. hivatal'!J53+'4. 2018. műv.ház'!J54+'5. 2018. forrás'!J47+'6. 2018. szociális'!J55+'7. 2018. bölcsőde'!J54</f>
        <v>1068000</v>
      </c>
      <c r="K49" s="98">
        <f>'2. 2018. önkormányzat'!K48+'3. 2018. hivatal'!K53+'4. 2018. műv.ház'!K54+'5. 2018. forrás'!K47+'6. 2018. szociális'!K55+'7. 2018. bölcsőde'!K54</f>
        <v>956500</v>
      </c>
      <c r="L49" s="427">
        <f t="shared" si="20"/>
        <v>0.89559925093632964</v>
      </c>
      <c r="N49" s="811"/>
    </row>
    <row r="50" spans="1:14" ht="29.25" customHeight="1" x14ac:dyDescent="0.25">
      <c r="A50" s="85"/>
      <c r="B50" s="83" t="s">
        <v>264</v>
      </c>
      <c r="C50" s="101">
        <f>'2. 2018. önkormányzat'!C49+'3. 2018. hivatal'!C54+'4. 2018. műv.ház'!C55+'5. 2018. forrás'!C48+'6. 2018. szociális'!C56</f>
        <v>0</v>
      </c>
      <c r="D50" s="101">
        <f>'2. 2018. önkormányzat'!D49+'3. 2018. hivatal'!D54+'4. 2018. műv.ház'!D55+'5. 2018. forrás'!D48+'6. 2018. szociális'!D56</f>
        <v>0</v>
      </c>
      <c r="E50" s="101">
        <f>'2. 2018. önkormányzat'!E49+'3. 2018. hivatal'!E54+'4. 2018. műv.ház'!E55+'5. 2018. forrás'!E48+'6. 2018. szociális'!E56</f>
        <v>0</v>
      </c>
      <c r="F50" s="427"/>
      <c r="G50" s="71"/>
      <c r="H50" s="112" t="s">
        <v>221</v>
      </c>
      <c r="I50" s="98">
        <f>'2. 2018. önkormányzat'!I49+'3. 2018. hivatal'!I54+'4. 2018. műv.ház'!I55+'5. 2018. forrás'!I48+'6. 2018. szociális'!I56+'7. 2018. bölcsőde'!I55</f>
        <v>32431646.543307088</v>
      </c>
      <c r="J50" s="98">
        <f>'2. 2018. önkormányzat'!J49+'3. 2018. hivatal'!J54+'4. 2018. műv.ház'!J55+'5. 2018. forrás'!J48+'6. 2018. szociális'!J56+'7. 2018. bölcsőde'!J55</f>
        <v>19306875.543307088</v>
      </c>
      <c r="K50" s="98">
        <f>'2. 2018. önkormányzat'!K49+'3. 2018. hivatal'!K54+'4. 2018. műv.ház'!K55+'5. 2018. forrás'!K48+'6. 2018. szociális'!K56+'7. 2018. bölcsőde'!K55</f>
        <v>3980666</v>
      </c>
      <c r="L50" s="427">
        <f t="shared" si="20"/>
        <v>0.20617867407240503</v>
      </c>
      <c r="N50" s="811"/>
    </row>
    <row r="51" spans="1:14" ht="21" customHeight="1" x14ac:dyDescent="0.25">
      <c r="A51" s="85"/>
      <c r="B51" s="83" t="s">
        <v>265</v>
      </c>
      <c r="C51" s="101">
        <f>'2. 2018. önkormányzat'!C50+'3. 2018. hivatal'!C55+'4. 2018. műv.ház'!C56+'5. 2018. forrás'!C49+'6. 2018. szociális'!C57</f>
        <v>0</v>
      </c>
      <c r="D51" s="101">
        <f>'2. 2018. önkormányzat'!D50+'3. 2018. hivatal'!D55+'4. 2018. műv.ház'!D56+'5. 2018. forrás'!D49+'6. 2018. szociális'!D57</f>
        <v>311574242</v>
      </c>
      <c r="E51" s="101">
        <f>'2. 2018. önkormányzat'!E50+'3. 2018. hivatal'!E55+'4. 2018. műv.ház'!E56+'5. 2018. forrás'!E49+'6. 2018. szociális'!E57</f>
        <v>311574242</v>
      </c>
      <c r="F51" s="427">
        <f t="shared" si="19"/>
        <v>1</v>
      </c>
      <c r="G51" s="71"/>
      <c r="H51" s="112" t="s">
        <v>222</v>
      </c>
      <c r="I51" s="98"/>
      <c r="J51" s="98"/>
      <c r="K51" s="98"/>
      <c r="L51" s="427"/>
      <c r="N51" s="811"/>
    </row>
    <row r="52" spans="1:14" ht="20.25" customHeight="1" x14ac:dyDescent="0.25">
      <c r="A52" s="231" t="s">
        <v>181</v>
      </c>
      <c r="B52" s="227" t="s">
        <v>284</v>
      </c>
      <c r="C52" s="228">
        <f>SUM(C53:C57)</f>
        <v>0</v>
      </c>
      <c r="D52" s="228">
        <f t="shared" ref="D52:F52" si="21">SUM(D53:D57)</f>
        <v>283293</v>
      </c>
      <c r="E52" s="228">
        <f t="shared" si="21"/>
        <v>283293</v>
      </c>
      <c r="F52" s="415">
        <f t="shared" si="21"/>
        <v>1</v>
      </c>
      <c r="G52" s="71"/>
      <c r="H52" s="112" t="s">
        <v>223</v>
      </c>
      <c r="I52" s="98">
        <f>'2. 2018. önkormányzat'!I51+'3. 2018. hivatal'!I56+'4. 2018. műv.ház'!I57+'5. 2018. forrás'!I50+'6. 2018. szociális'!I58</f>
        <v>0</v>
      </c>
      <c r="J52" s="98">
        <f>'2. 2018. önkormányzat'!J51+'3. 2018. hivatal'!J56+'4. 2018. műv.ház'!J57+'5. 2018. forrás'!J50+'6. 2018. szociális'!J58</f>
        <v>0</v>
      </c>
      <c r="K52" s="98">
        <f>'2. 2018. önkormányzat'!K51+'3. 2018. hivatal'!K56+'4. 2018. műv.ház'!K57+'5. 2018. forrás'!K50+'6. 2018. szociális'!K58</f>
        <v>0</v>
      </c>
      <c r="L52" s="427"/>
      <c r="N52" s="811"/>
    </row>
    <row r="53" spans="1:14" ht="20.25" customHeight="1" x14ac:dyDescent="0.25">
      <c r="A53" s="85"/>
      <c r="B53" s="88" t="s">
        <v>285</v>
      </c>
      <c r="C53" s="101"/>
      <c r="D53" s="101"/>
      <c r="E53" s="101"/>
      <c r="F53" s="422"/>
      <c r="G53" s="71"/>
      <c r="H53" s="112" t="s">
        <v>224</v>
      </c>
      <c r="I53" s="98">
        <f>'2. 2018. önkormányzat'!I52+'3. 2018. hivatal'!I57+'4. 2018. műv.ház'!I58+'5. 2018. forrás'!I51+'6. 2018. szociális'!I59+'7. 2018. bölcsőde'!I58</f>
        <v>24022494.251968503</v>
      </c>
      <c r="J53" s="98">
        <f>'2. 2018. önkormányzat'!J52+'3. 2018. hivatal'!J57+'4. 2018. műv.ház'!J58+'5. 2018. forrás'!J51+'6. 2018. szociális'!J59+'7. 2018. bölcsőde'!J58</f>
        <v>8911462</v>
      </c>
      <c r="K53" s="98">
        <f>'2. 2018. önkormányzat'!K52+'3. 2018. hivatal'!K57+'4. 2018. műv.ház'!K58+'5. 2018. forrás'!K51+'6. 2018. szociális'!K59+'7. 2018. bölcsőde'!K58</f>
        <v>3712032</v>
      </c>
      <c r="L53" s="427">
        <f t="shared" si="20"/>
        <v>0.41654579237391126</v>
      </c>
      <c r="N53" s="811"/>
    </row>
    <row r="54" spans="1:14" ht="20.25" customHeight="1" x14ac:dyDescent="0.25">
      <c r="A54" s="85"/>
      <c r="B54" s="88" t="s">
        <v>286</v>
      </c>
      <c r="C54" s="101">
        <f>'2. 2018. önkormányzat'!C53</f>
        <v>0</v>
      </c>
      <c r="D54" s="101">
        <f>'2. 2018. önkormányzat'!D53</f>
        <v>283293</v>
      </c>
      <c r="E54" s="101">
        <f>'2. 2018. önkormányzat'!E53</f>
        <v>283293</v>
      </c>
      <c r="F54" s="422">
        <f>'2. 2018. önkormányzat'!F53</f>
        <v>1</v>
      </c>
      <c r="G54" s="231" t="s">
        <v>191</v>
      </c>
      <c r="H54" s="227" t="s">
        <v>225</v>
      </c>
      <c r="I54" s="228">
        <f>SUM(I55:I58)</f>
        <v>234376696.57480314</v>
      </c>
      <c r="J54" s="228">
        <f t="shared" ref="J54:K54" si="22">SUM(J55:J58)</f>
        <v>1004885617</v>
      </c>
      <c r="K54" s="228">
        <f t="shared" si="22"/>
        <v>552976444</v>
      </c>
      <c r="L54" s="415">
        <f>+K54/J54</f>
        <v>0.55028794784710311</v>
      </c>
      <c r="N54" s="811"/>
    </row>
    <row r="55" spans="1:14" ht="20.25" customHeight="1" x14ac:dyDescent="0.25">
      <c r="A55" s="85"/>
      <c r="B55" s="88" t="s">
        <v>287</v>
      </c>
      <c r="C55" s="101"/>
      <c r="D55" s="101"/>
      <c r="E55" s="101"/>
      <c r="F55" s="422"/>
      <c r="G55" s="71"/>
      <c r="H55" s="112" t="s">
        <v>226</v>
      </c>
      <c r="I55" s="98">
        <f>'2. 2018. önkormányzat'!I54+'3. 2018. hivatal'!I59+'4. 2018. műv.ház'!I60+'5. 2018. forrás'!I53+'6. 2018. szociális'!I61</f>
        <v>185505272.57480314</v>
      </c>
      <c r="J55" s="98">
        <f>'2. 2018. önkormányzat'!J54+'3. 2018. hivatal'!J59+'4. 2018. műv.ház'!J60+'5. 2018. forrás'!J53+'6. 2018. szociális'!J61</f>
        <v>936050473</v>
      </c>
      <c r="K55" s="98">
        <f>'2. 2018. önkormányzat'!K54+'3. 2018. hivatal'!K59+'4. 2018. műv.ház'!K60+'5. 2018. forrás'!K53+'6. 2018. szociális'!K61</f>
        <v>486861378</v>
      </c>
      <c r="L55" s="427">
        <f t="shared" si="20"/>
        <v>0.5201229976836943</v>
      </c>
      <c r="N55" s="811"/>
    </row>
    <row r="56" spans="1:14" ht="20.25" customHeight="1" x14ac:dyDescent="0.25">
      <c r="A56" s="85"/>
      <c r="B56" s="88" t="s">
        <v>288</v>
      </c>
      <c r="C56" s="101">
        <f>'2. 2018. önkormányzat'!C55</f>
        <v>0</v>
      </c>
      <c r="D56" s="101">
        <f>'2. 2018. önkormányzat'!D55</f>
        <v>0</v>
      </c>
      <c r="E56" s="101">
        <f>'2. 2018. önkormányzat'!E55</f>
        <v>0</v>
      </c>
      <c r="F56" s="422"/>
      <c r="G56" s="71"/>
      <c r="H56" s="112" t="s">
        <v>227</v>
      </c>
      <c r="I56" s="98">
        <f>'2. 2018. önkormányzat'!I55+'3. 2018. hivatal'!I60+'4. 2018. műv.ház'!I61+'5. 2018. forrás'!I54+'6. 2018. szociális'!I62</f>
        <v>0</v>
      </c>
      <c r="J56" s="98">
        <f>'2. 2018. önkormányzat'!J55+'3. 2018. hivatal'!J60+'4. 2018. műv.ház'!J61+'5. 2018. forrás'!J54+'6. 2018. szociális'!J62</f>
        <v>0</v>
      </c>
      <c r="K56" s="98">
        <f>'2. 2018. önkormányzat'!K55+'3. 2018. hivatal'!K60+'4. 2018. műv.ház'!K61+'5. 2018. forrás'!K54+'6. 2018. szociális'!K62</f>
        <v>0</v>
      </c>
      <c r="L56" s="427"/>
      <c r="N56" s="811"/>
    </row>
    <row r="57" spans="1:14" ht="20.25" customHeight="1" x14ac:dyDescent="0.25">
      <c r="A57" s="85"/>
      <c r="B57" s="88" t="s">
        <v>289</v>
      </c>
      <c r="C57" s="101"/>
      <c r="D57" s="101"/>
      <c r="E57" s="101"/>
      <c r="F57" s="422"/>
      <c r="G57" s="71"/>
      <c r="H57" s="112" t="s">
        <v>228</v>
      </c>
      <c r="I57" s="98">
        <f>'2. 2018. önkormányzat'!I56+'3. 2018. hivatal'!I61+'4. 2018. műv.ház'!I62+'5. 2018. forrás'!I55+'6. 2018. szociális'!I63</f>
        <v>0</v>
      </c>
      <c r="J57" s="98">
        <f>'2. 2018. önkormányzat'!J56+'3. 2018. hivatal'!J61+'4. 2018. műv.ház'!J62+'5. 2018. forrás'!J55+'6. 2018. szociális'!J63</f>
        <v>1181102</v>
      </c>
      <c r="K57" s="98">
        <f>'2. 2018. önkormányzat'!K56+'3. 2018. hivatal'!K61+'4. 2018. műv.ház'!K62+'5. 2018. forrás'!K55+'6. 2018. szociális'!K63</f>
        <v>1181102</v>
      </c>
      <c r="L57" s="427">
        <f t="shared" si="20"/>
        <v>1</v>
      </c>
      <c r="N57" s="811"/>
    </row>
    <row r="58" spans="1:14" ht="20.25" customHeight="1" x14ac:dyDescent="0.25">
      <c r="A58" s="231" t="s">
        <v>191</v>
      </c>
      <c r="B58" s="227" t="s">
        <v>294</v>
      </c>
      <c r="C58" s="228">
        <f>C59+C60+C61</f>
        <v>0</v>
      </c>
      <c r="D58" s="228">
        <f t="shared" ref="D58:F58" si="23">D59+D60+D61</f>
        <v>500000</v>
      </c>
      <c r="E58" s="228">
        <f t="shared" si="23"/>
        <v>500000</v>
      </c>
      <c r="F58" s="415">
        <f t="shared" si="23"/>
        <v>1</v>
      </c>
      <c r="G58" s="71"/>
      <c r="H58" s="112" t="s">
        <v>229</v>
      </c>
      <c r="I58" s="98">
        <f>'2. 2018. önkormányzat'!I57+'3. 2018. hivatal'!I62+'4. 2018. műv.ház'!I63+'5. 2018. forrás'!I56+'6. 2018. szociális'!I64</f>
        <v>48871424</v>
      </c>
      <c r="J58" s="98">
        <f>'2. 2018. önkormányzat'!J57+'3. 2018. hivatal'!J62+'4. 2018. műv.ház'!J63+'5. 2018. forrás'!J56+'6. 2018. szociális'!J64</f>
        <v>67654042</v>
      </c>
      <c r="K58" s="98">
        <f>'2. 2018. önkormányzat'!K57+'3. 2018. hivatal'!K62+'4. 2018. műv.ház'!K63+'5. 2018. forrás'!K56+'6. 2018. szociális'!K64</f>
        <v>64933964</v>
      </c>
      <c r="L58" s="427">
        <f t="shared" si="20"/>
        <v>0.95979430172110047</v>
      </c>
      <c r="N58" s="811"/>
    </row>
    <row r="59" spans="1:14" ht="29.25" customHeight="1" x14ac:dyDescent="0.25">
      <c r="A59" s="85"/>
      <c r="B59" s="88" t="s">
        <v>295</v>
      </c>
      <c r="C59" s="101"/>
      <c r="D59" s="101"/>
      <c r="E59" s="101"/>
      <c r="F59" s="422"/>
      <c r="G59" s="231" t="s">
        <v>199</v>
      </c>
      <c r="H59" s="227" t="s">
        <v>230</v>
      </c>
      <c r="I59" s="228">
        <f>'2. 2018. önkormányzat'!I58+'3. 2018. hivatal'!I63+'4. 2018. műv.ház'!I64+'5. 2018. forrás'!I57+'6. 2018. szociális'!I65</f>
        <v>10000000</v>
      </c>
      <c r="J59" s="228">
        <f>'2. 2018. önkormányzat'!J58+'3. 2018. hivatal'!J63+'4. 2018. műv.ház'!J64+'5. 2018. forrás'!J57+'6. 2018. szociális'!J65</f>
        <v>23395480</v>
      </c>
      <c r="K59" s="228">
        <f>'2. 2018. önkormányzat'!K58+'3. 2018. hivatal'!K63+'4. 2018. műv.ház'!K64+'5. 2018. forrás'!K57+'6. 2018. szociális'!K65</f>
        <v>23395480</v>
      </c>
      <c r="L59" s="415">
        <f>+K59/J59</f>
        <v>1</v>
      </c>
      <c r="N59" s="811"/>
    </row>
    <row r="60" spans="1:14" ht="29.25" customHeight="1" x14ac:dyDescent="0.25">
      <c r="A60" s="85"/>
      <c r="B60" s="83" t="s">
        <v>296</v>
      </c>
      <c r="C60" s="101"/>
      <c r="D60" s="101"/>
      <c r="E60" s="101"/>
      <c r="F60" s="422"/>
      <c r="G60" s="71"/>
      <c r="H60" s="112"/>
      <c r="I60" s="98"/>
      <c r="J60" s="98"/>
      <c r="K60" s="98"/>
      <c r="L60" s="513"/>
      <c r="N60" s="811"/>
    </row>
    <row r="61" spans="1:14" ht="21" customHeight="1" x14ac:dyDescent="0.25">
      <c r="A61" s="85"/>
      <c r="B61" s="88" t="s">
        <v>1208</v>
      </c>
      <c r="C61" s="101">
        <f>'2. 2018. önkormányzat'!C60</f>
        <v>0</v>
      </c>
      <c r="D61" s="101">
        <f>'2. 2018. önkormányzat'!D60</f>
        <v>500000</v>
      </c>
      <c r="E61" s="101">
        <f>'2. 2018. önkormányzat'!E60</f>
        <v>500000</v>
      </c>
      <c r="F61" s="422">
        <f>'2. 2018. önkormányzat'!F60</f>
        <v>1</v>
      </c>
      <c r="G61" s="71"/>
      <c r="H61" s="112"/>
      <c r="I61" s="98"/>
      <c r="J61" s="98"/>
      <c r="K61" s="98"/>
      <c r="L61" s="513"/>
      <c r="N61" s="811"/>
    </row>
    <row r="62" spans="1:14" ht="21" customHeight="1" x14ac:dyDescent="0.25">
      <c r="A62" s="85"/>
      <c r="B62" s="207" t="s">
        <v>580</v>
      </c>
      <c r="C62" s="208">
        <f>SUM(C45,C2)</f>
        <v>612361005.90999997</v>
      </c>
      <c r="D62" s="208">
        <f t="shared" ref="D62:E62" si="24">SUM(D45,D2)</f>
        <v>933767359</v>
      </c>
      <c r="E62" s="208">
        <f t="shared" si="24"/>
        <v>933833918</v>
      </c>
      <c r="F62" s="514">
        <f>+E62/D62</f>
        <v>1.0000712800670943</v>
      </c>
      <c r="G62" s="209"/>
      <c r="H62" s="207" t="s">
        <v>581</v>
      </c>
      <c r="I62" s="206">
        <f>I45+I2</f>
        <v>1110308971.6592934</v>
      </c>
      <c r="J62" s="206">
        <f t="shared" ref="J62:K62" si="25">J45+J2</f>
        <v>1770095854.8697071</v>
      </c>
      <c r="K62" s="206">
        <f t="shared" si="25"/>
        <v>1239385156</v>
      </c>
      <c r="L62" s="514">
        <f>+K62/J62</f>
        <v>0.70017968382352291</v>
      </c>
      <c r="M62" s="113">
        <f>+E62-K62</f>
        <v>-305551238</v>
      </c>
      <c r="N62" s="811"/>
    </row>
    <row r="63" spans="1:14" ht="21" customHeight="1" x14ac:dyDescent="0.25">
      <c r="A63" s="85"/>
      <c r="B63" s="88"/>
      <c r="C63" s="101"/>
      <c r="D63" s="101"/>
      <c r="E63" s="101"/>
      <c r="F63" s="422"/>
      <c r="G63" s="71"/>
      <c r="H63" s="112"/>
      <c r="I63" s="98"/>
      <c r="J63" s="98"/>
      <c r="K63" s="98"/>
      <c r="L63" s="513"/>
      <c r="N63" s="811"/>
    </row>
    <row r="64" spans="1:14" ht="20.25" customHeight="1" x14ac:dyDescent="0.25">
      <c r="A64" s="306"/>
      <c r="B64" s="307" t="s">
        <v>298</v>
      </c>
      <c r="C64" s="308">
        <f>C76+C87</f>
        <v>972700513</v>
      </c>
      <c r="D64" s="308">
        <f t="shared" ref="D64:E64" si="26">D76+D87</f>
        <v>1498788373</v>
      </c>
      <c r="E64" s="308">
        <f t="shared" si="26"/>
        <v>1452301472</v>
      </c>
      <c r="F64" s="414">
        <f>+E64/D64</f>
        <v>0.96898367919217909</v>
      </c>
      <c r="G64" s="306"/>
      <c r="H64" s="402" t="s">
        <v>299</v>
      </c>
      <c r="I64" s="308">
        <f>I74+I86</f>
        <v>474752547</v>
      </c>
      <c r="J64" s="308">
        <f t="shared" ref="J64:K64" si="27">J74+J86</f>
        <v>662459877</v>
      </c>
      <c r="K64" s="308">
        <f t="shared" si="27"/>
        <v>615972976</v>
      </c>
      <c r="L64" s="507">
        <f>+K64/J64</f>
        <v>0.92982684293195317</v>
      </c>
      <c r="M64" s="113">
        <f>+E64-K64</f>
        <v>836328496</v>
      </c>
      <c r="N64" s="811"/>
    </row>
    <row r="65" spans="1:14" ht="21" customHeight="1" x14ac:dyDescent="0.25">
      <c r="A65" s="75"/>
      <c r="B65" s="93" t="s">
        <v>300</v>
      </c>
      <c r="C65" s="101"/>
      <c r="D65" s="101"/>
      <c r="E65" s="101"/>
      <c r="F65" s="422"/>
      <c r="G65" s="75"/>
      <c r="H65" s="93" t="s">
        <v>231</v>
      </c>
      <c r="I65" s="101"/>
      <c r="J65" s="101"/>
      <c r="K65" s="101"/>
      <c r="L65" s="515"/>
      <c r="N65" s="811"/>
    </row>
    <row r="66" spans="1:14" ht="30" customHeight="1" x14ac:dyDescent="0.25">
      <c r="A66" s="75"/>
      <c r="B66" s="93" t="s">
        <v>301</v>
      </c>
      <c r="C66" s="101"/>
      <c r="D66" s="101"/>
      <c r="E66" s="101"/>
      <c r="F66" s="422"/>
      <c r="G66" s="75"/>
      <c r="H66" s="93" t="s">
        <v>232</v>
      </c>
      <c r="I66" s="101"/>
      <c r="J66" s="101"/>
      <c r="K66" s="101"/>
      <c r="L66" s="515"/>
      <c r="N66" s="811"/>
    </row>
    <row r="67" spans="1:14" ht="30" customHeight="1" x14ac:dyDescent="0.25">
      <c r="A67" s="75"/>
      <c r="B67" s="93" t="s">
        <v>302</v>
      </c>
      <c r="C67" s="101"/>
      <c r="D67" s="101"/>
      <c r="E67" s="101"/>
      <c r="F67" s="422"/>
      <c r="G67" s="75"/>
      <c r="H67" s="93" t="s">
        <v>233</v>
      </c>
      <c r="I67" s="101"/>
      <c r="J67" s="101"/>
      <c r="K67" s="101"/>
      <c r="L67" s="515"/>
      <c r="N67" s="811"/>
    </row>
    <row r="68" spans="1:14" ht="20.25" customHeight="1" x14ac:dyDescent="0.25">
      <c r="A68" s="75"/>
      <c r="B68" s="94" t="s">
        <v>303</v>
      </c>
      <c r="C68" s="101">
        <f>C65+C66+C67</f>
        <v>0</v>
      </c>
      <c r="D68" s="101">
        <f t="shared" ref="D68:E68" si="28">D65+D66+D67</f>
        <v>0</v>
      </c>
      <c r="E68" s="101">
        <f t="shared" si="28"/>
        <v>0</v>
      </c>
      <c r="F68" s="422"/>
      <c r="G68" s="75"/>
      <c r="H68" s="94" t="s">
        <v>243</v>
      </c>
      <c r="I68" s="101">
        <f>I65+I66+I67</f>
        <v>0</v>
      </c>
      <c r="J68" s="101">
        <f t="shared" ref="J68:K68" si="29">J65+J66+J67</f>
        <v>0</v>
      </c>
      <c r="K68" s="101">
        <f t="shared" si="29"/>
        <v>0</v>
      </c>
      <c r="L68" s="427"/>
      <c r="N68" s="811"/>
    </row>
    <row r="69" spans="1:14" ht="20.25" customHeight="1" x14ac:dyDescent="0.25">
      <c r="A69" s="75"/>
      <c r="B69" s="69" t="s">
        <v>304</v>
      </c>
      <c r="C69" s="101">
        <f>+'2. 2018. önkormányzat'!C66</f>
        <v>280000000</v>
      </c>
      <c r="D69" s="101">
        <f>+'2. 2018. önkormányzat'!D66</f>
        <v>210010000</v>
      </c>
      <c r="E69" s="101">
        <f>+'2. 2018. önkormányzat'!E66</f>
        <v>210010000</v>
      </c>
      <c r="F69" s="422">
        <f>+E69/D69</f>
        <v>1</v>
      </c>
      <c r="G69" s="75"/>
      <c r="H69" s="93" t="s">
        <v>235</v>
      </c>
      <c r="I69" s="101">
        <f>+'2. 2018. önkormányzat'!I66</f>
        <v>140000000</v>
      </c>
      <c r="J69" s="101">
        <f>+'2. 2018. önkormányzat'!J66</f>
        <v>140000000</v>
      </c>
      <c r="K69" s="101">
        <f>+'2. 2018. önkormányzat'!K66</f>
        <v>140000000</v>
      </c>
      <c r="L69" s="427">
        <f t="shared" ref="L69:L74" si="30">+K69/J69</f>
        <v>1</v>
      </c>
      <c r="N69" s="811"/>
    </row>
    <row r="70" spans="1:14" ht="20.25" customHeight="1" x14ac:dyDescent="0.25">
      <c r="A70" s="75"/>
      <c r="B70" s="69" t="s">
        <v>1755</v>
      </c>
      <c r="C70" s="101"/>
      <c r="D70" s="101">
        <f>+'2. 2018. önkormányzat'!D67</f>
        <v>30000000</v>
      </c>
      <c r="E70" s="101">
        <f>+'2. 2018. önkormányzat'!E67</f>
        <v>30000000</v>
      </c>
      <c r="F70" s="422">
        <f>+E70/D70</f>
        <v>1</v>
      </c>
      <c r="G70" s="75"/>
      <c r="H70" s="93" t="s">
        <v>1795</v>
      </c>
      <c r="I70" s="101">
        <f>+'2. 2018. önkormányzat'!I67</f>
        <v>0</v>
      </c>
      <c r="J70" s="101">
        <f>+'2. 2018. önkormányzat'!J67</f>
        <v>199450000</v>
      </c>
      <c r="K70" s="101">
        <f>+'2. 2018. önkormányzat'!K67</f>
        <v>199450000</v>
      </c>
      <c r="L70" s="427">
        <f t="shared" si="30"/>
        <v>1</v>
      </c>
      <c r="N70" s="811"/>
    </row>
    <row r="71" spans="1:14" ht="20.25" customHeight="1" x14ac:dyDescent="0.25">
      <c r="A71" s="75"/>
      <c r="B71" s="70" t="s">
        <v>306</v>
      </c>
      <c r="C71" s="101">
        <f>C69+C70</f>
        <v>280000000</v>
      </c>
      <c r="D71" s="101">
        <f t="shared" ref="D71:E71" si="31">D69+D70</f>
        <v>240010000</v>
      </c>
      <c r="E71" s="101">
        <f t="shared" si="31"/>
        <v>240010000</v>
      </c>
      <c r="F71" s="422">
        <f t="shared" ref="F71:F74" si="32">+E71/D71</f>
        <v>1</v>
      </c>
      <c r="G71" s="75"/>
      <c r="H71" s="94" t="s">
        <v>244</v>
      </c>
      <c r="I71" s="101">
        <f>I69+I70</f>
        <v>140000000</v>
      </c>
      <c r="J71" s="101">
        <f t="shared" ref="J71:K71" si="33">J69+J70</f>
        <v>339450000</v>
      </c>
      <c r="K71" s="101">
        <f t="shared" si="33"/>
        <v>339450000</v>
      </c>
      <c r="L71" s="427">
        <f t="shared" si="30"/>
        <v>1</v>
      </c>
      <c r="N71" s="811"/>
    </row>
    <row r="72" spans="1:14" ht="30" x14ac:dyDescent="0.25">
      <c r="A72" s="75"/>
      <c r="B72" s="70" t="s">
        <v>307</v>
      </c>
      <c r="C72" s="106">
        <f>'2. 2018. önkormányzat'!C69+'3. 2018. hivatal'!C74+'4. 2018. műv.ház'!C75+'5. 2018. forrás'!C68+'6. 2018. szociális'!C76+'7. 2018. bölcsőde'!C75</f>
        <v>3499094</v>
      </c>
      <c r="D72" s="106">
        <f>'2. 2018. önkormányzat'!D69+'3. 2018. hivatal'!D74+'4. 2018. műv.ház'!D75+'5. 2018. forrás'!D68+'6. 2018. szociális'!D76+'7. 2018. bölcsőde'!D75</f>
        <v>4380453</v>
      </c>
      <c r="E72" s="106">
        <f>'2. 2018. önkormányzat'!E69+'3. 2018. hivatal'!E74+'4. 2018. műv.ház'!E75+'5. 2018. forrás'!E68+'6. 2018. szociális'!E76+'7. 2018. bölcsőde'!E75</f>
        <v>4380453</v>
      </c>
      <c r="F72" s="422">
        <f t="shared" si="32"/>
        <v>1</v>
      </c>
      <c r="G72" s="75"/>
      <c r="H72" s="94" t="s">
        <v>740</v>
      </c>
      <c r="I72" s="101">
        <f>+'2. 2018. önkormányzat'!I69</f>
        <v>4296852</v>
      </c>
      <c r="J72" s="101">
        <f>+'2. 2018. önkormányzat'!J69</f>
        <v>8189821</v>
      </c>
      <c r="K72" s="101">
        <f>+'2. 2018. önkormányzat'!K69</f>
        <v>8189821</v>
      </c>
      <c r="L72" s="427">
        <f t="shared" si="30"/>
        <v>1</v>
      </c>
      <c r="N72" s="811"/>
    </row>
    <row r="73" spans="1:14" ht="20.25" customHeight="1" x14ac:dyDescent="0.25">
      <c r="A73" s="75"/>
      <c r="B73" s="70" t="s">
        <v>752</v>
      </c>
      <c r="C73" s="106">
        <f>+'2. 2018. önkormányzat'!C70</f>
        <v>4296852</v>
      </c>
      <c r="D73" s="106">
        <f>+'2. 2018. önkormányzat'!D70</f>
        <v>6662777</v>
      </c>
      <c r="E73" s="106">
        <f>+'2. 2018. önkormányzat'!E70</f>
        <v>6662777</v>
      </c>
      <c r="F73" s="422">
        <f t="shared" si="32"/>
        <v>1</v>
      </c>
      <c r="G73" s="75"/>
      <c r="H73" s="94" t="s">
        <v>236</v>
      </c>
      <c r="I73" s="101">
        <f>'2. 2018. önkormányzat'!I70</f>
        <v>298871815</v>
      </c>
      <c r="J73" s="101">
        <f>'2. 2018. önkormányzat'!J70</f>
        <v>299451176</v>
      </c>
      <c r="K73" s="101">
        <f>'2. 2018. önkormányzat'!K70</f>
        <v>263221073</v>
      </c>
      <c r="L73" s="427">
        <f t="shared" si="30"/>
        <v>0.87901165230354616</v>
      </c>
      <c r="N73" s="811"/>
    </row>
    <row r="74" spans="1:14" ht="20.25" customHeight="1" x14ac:dyDescent="0.25">
      <c r="A74" s="75"/>
      <c r="B74" s="70" t="s">
        <v>308</v>
      </c>
      <c r="C74" s="106">
        <f>'2. 2018. önkormányzat'!C71+'3. 2018. hivatal'!C75+'4. 2018. műv.ház'!C76+'5. 2018. forrás'!C69+'6. 2018. szociális'!C77+'7. 2018. bölcsőde'!C76</f>
        <v>298871815</v>
      </c>
      <c r="D74" s="106">
        <f>'2. 2018. önkormányzat'!D71+'3. 2018. hivatal'!D75+'4. 2018. műv.ház'!D76+'5. 2018. forrás'!D69+'6. 2018. szociális'!D77+'7. 2018. bölcsőde'!D76</f>
        <v>299451176</v>
      </c>
      <c r="E74" s="106">
        <f>'2. 2018. önkormányzat'!E71+'3. 2018. hivatal'!E75+'4. 2018. műv.ház'!E76+'5. 2018. forrás'!E69+'6. 2018. szociális'!E77+'7. 2018. bölcsőde'!E76</f>
        <v>263221073</v>
      </c>
      <c r="F74" s="422">
        <f t="shared" si="32"/>
        <v>0.87901165230354616</v>
      </c>
      <c r="G74" s="75"/>
      <c r="H74" s="75" t="s">
        <v>245</v>
      </c>
      <c r="I74" s="109">
        <f>I68+I71+I73+I72</f>
        <v>443168667</v>
      </c>
      <c r="J74" s="109">
        <f t="shared" ref="J74:K74" si="34">J68+J71+J73+J72</f>
        <v>647090997</v>
      </c>
      <c r="K74" s="109">
        <f t="shared" si="34"/>
        <v>610860894</v>
      </c>
      <c r="L74" s="437">
        <f t="shared" si="30"/>
        <v>0.94401080656666903</v>
      </c>
      <c r="N74" s="811"/>
    </row>
    <row r="75" spans="1:14" ht="20.25" customHeight="1" x14ac:dyDescent="0.25">
      <c r="A75" s="75"/>
      <c r="B75" s="70" t="s">
        <v>739</v>
      </c>
      <c r="C75" s="106">
        <f>'2. 2018. önkormányzat'!C72</f>
        <v>0</v>
      </c>
      <c r="D75" s="106">
        <f>'2. 2018. önkormányzat'!D72</f>
        <v>0</v>
      </c>
      <c r="E75" s="106">
        <f>'2. 2018. önkormányzat'!E72</f>
        <v>0</v>
      </c>
      <c r="F75" s="422"/>
      <c r="G75" s="75"/>
      <c r="H75" s="75"/>
      <c r="I75" s="109"/>
      <c r="J75" s="109"/>
      <c r="K75" s="109"/>
      <c r="L75" s="516"/>
      <c r="N75" s="811"/>
    </row>
    <row r="76" spans="1:14" ht="20.25" customHeight="1" x14ac:dyDescent="0.25">
      <c r="A76" s="75"/>
      <c r="B76" s="80" t="s">
        <v>309</v>
      </c>
      <c r="C76" s="109">
        <f>C68+C71+C73+C74+C75+C72</f>
        <v>586667761</v>
      </c>
      <c r="D76" s="109">
        <f t="shared" ref="D76:E76" si="35">D68+D71+D73+D74+D75+D72</f>
        <v>550504406</v>
      </c>
      <c r="E76" s="109">
        <f t="shared" si="35"/>
        <v>514274303</v>
      </c>
      <c r="F76" s="423">
        <f>+E76/D76</f>
        <v>0.93418744227089801</v>
      </c>
      <c r="G76" s="75"/>
      <c r="H76" s="94"/>
      <c r="I76" s="101"/>
      <c r="J76" s="101"/>
      <c r="K76" s="101"/>
      <c r="L76" s="515"/>
      <c r="N76" s="811"/>
    </row>
    <row r="77" spans="1:14" x14ac:dyDescent="0.25">
      <c r="A77" s="89"/>
      <c r="B77" s="79"/>
      <c r="C77" s="102"/>
      <c r="D77" s="102"/>
      <c r="E77" s="102"/>
      <c r="F77" s="424"/>
      <c r="G77" s="89"/>
      <c r="H77" s="78"/>
      <c r="I77" s="102"/>
      <c r="J77" s="102"/>
      <c r="K77" s="102"/>
      <c r="L77" s="517"/>
      <c r="N77" s="811"/>
    </row>
    <row r="78" spans="1:14" ht="20.25" customHeight="1" x14ac:dyDescent="0.25">
      <c r="A78" s="75"/>
      <c r="B78" s="93" t="s">
        <v>300</v>
      </c>
      <c r="C78" s="101"/>
      <c r="D78" s="101"/>
      <c r="E78" s="101"/>
      <c r="F78" s="422"/>
      <c r="G78" s="75"/>
      <c r="H78" s="93" t="s">
        <v>231</v>
      </c>
      <c r="I78" s="101">
        <f>'2. 2018. önkormányzat'!I75</f>
        <v>0</v>
      </c>
      <c r="J78" s="101">
        <f>'2. 2018. önkormányzat'!J75</f>
        <v>0</v>
      </c>
      <c r="K78" s="101"/>
      <c r="L78" s="515"/>
      <c r="N78" s="811"/>
    </row>
    <row r="79" spans="1:14" ht="28.5" customHeight="1" x14ac:dyDescent="0.25">
      <c r="A79" s="75"/>
      <c r="B79" s="93" t="s">
        <v>301</v>
      </c>
      <c r="C79" s="101"/>
      <c r="D79" s="101"/>
      <c r="E79" s="101"/>
      <c r="F79" s="422"/>
      <c r="G79" s="75"/>
      <c r="H79" s="93" t="s">
        <v>232</v>
      </c>
      <c r="I79" s="101">
        <f>'2. 2018. önkormányzat'!I76</f>
        <v>0</v>
      </c>
      <c r="J79" s="101">
        <f>'2. 2018. önkormányzat'!J76</f>
        <v>0</v>
      </c>
      <c r="K79" s="101"/>
      <c r="L79" s="515"/>
      <c r="N79" s="811"/>
    </row>
    <row r="80" spans="1:14" ht="20.25" customHeight="1" x14ac:dyDescent="0.25">
      <c r="A80" s="75"/>
      <c r="B80" s="93" t="s">
        <v>302</v>
      </c>
      <c r="C80" s="101"/>
      <c r="D80" s="101"/>
      <c r="E80" s="101"/>
      <c r="F80" s="422"/>
      <c r="G80" s="75"/>
      <c r="H80" s="93" t="s">
        <v>233</v>
      </c>
      <c r="I80" s="101">
        <f>'2. 2018. önkormányzat'!I77</f>
        <v>0</v>
      </c>
      <c r="J80" s="101">
        <f>'2. 2018. önkormányzat'!J77</f>
        <v>0</v>
      </c>
      <c r="K80" s="101"/>
      <c r="L80" s="515"/>
      <c r="N80" s="811"/>
    </row>
    <row r="81" spans="1:14" ht="20.25" customHeight="1" x14ac:dyDescent="0.25">
      <c r="A81" s="75"/>
      <c r="B81" s="94" t="s">
        <v>303</v>
      </c>
      <c r="C81" s="101">
        <f>C78+C79+C80</f>
        <v>0</v>
      </c>
      <c r="D81" s="101">
        <f t="shared" ref="D81:E81" si="36">D78+D79+D80</f>
        <v>0</v>
      </c>
      <c r="E81" s="101">
        <f t="shared" si="36"/>
        <v>0</v>
      </c>
      <c r="F81" s="422"/>
      <c r="G81" s="75"/>
      <c r="H81" s="94" t="s">
        <v>243</v>
      </c>
      <c r="I81" s="101">
        <f>I78+I79+I80</f>
        <v>0</v>
      </c>
      <c r="J81" s="101">
        <f t="shared" ref="J81" si="37">J78+J79+J80</f>
        <v>0</v>
      </c>
      <c r="K81" s="101"/>
      <c r="L81" s="515"/>
      <c r="N81" s="811"/>
    </row>
    <row r="82" spans="1:14" ht="20.25" customHeight="1" x14ac:dyDescent="0.25">
      <c r="A82" s="75"/>
      <c r="B82" s="69" t="s">
        <v>304</v>
      </c>
      <c r="C82" s="101"/>
      <c r="D82" s="101"/>
      <c r="E82" s="101"/>
      <c r="F82" s="422"/>
      <c r="G82" s="75"/>
      <c r="H82" s="93" t="s">
        <v>235</v>
      </c>
      <c r="I82" s="101">
        <f>'2. 2018. önkormányzat'!I79</f>
        <v>0</v>
      </c>
      <c r="J82" s="101">
        <f>'2. 2018. önkormányzat'!J79</f>
        <v>0</v>
      </c>
      <c r="K82" s="101"/>
      <c r="L82" s="515"/>
      <c r="N82" s="811"/>
    </row>
    <row r="83" spans="1:14" ht="20.25" customHeight="1" x14ac:dyDescent="0.25">
      <c r="A83" s="75"/>
      <c r="B83" s="69" t="s">
        <v>305</v>
      </c>
      <c r="C83" s="101"/>
      <c r="D83" s="101"/>
      <c r="E83" s="101"/>
      <c r="F83" s="422"/>
      <c r="G83" s="75"/>
      <c r="H83" s="93" t="s">
        <v>1795</v>
      </c>
      <c r="I83" s="101">
        <f>'2. 2018. önkormányzat'!I80</f>
        <v>0</v>
      </c>
      <c r="J83" s="101">
        <f>'2. 2018. önkormányzat'!J80</f>
        <v>0</v>
      </c>
      <c r="K83" s="101"/>
      <c r="L83" s="515"/>
      <c r="N83" s="811"/>
    </row>
    <row r="84" spans="1:14" ht="20.25" customHeight="1" x14ac:dyDescent="0.25">
      <c r="A84" s="75"/>
      <c r="B84" s="70" t="s">
        <v>306</v>
      </c>
      <c r="C84" s="101">
        <f>C82+C83</f>
        <v>0</v>
      </c>
      <c r="D84" s="101">
        <f t="shared" ref="D84:E84" si="38">D82+D83</f>
        <v>0</v>
      </c>
      <c r="E84" s="101">
        <f t="shared" si="38"/>
        <v>0</v>
      </c>
      <c r="F84" s="422"/>
      <c r="G84" s="75"/>
      <c r="H84" s="94" t="s">
        <v>244</v>
      </c>
      <c r="I84" s="101">
        <f>I82+I83</f>
        <v>0</v>
      </c>
      <c r="J84" s="101">
        <f t="shared" ref="J84:K84" si="39">J82+J83</f>
        <v>0</v>
      </c>
      <c r="K84" s="101">
        <f t="shared" si="39"/>
        <v>0</v>
      </c>
      <c r="L84" s="515"/>
      <c r="N84" s="811"/>
    </row>
    <row r="85" spans="1:14" ht="20.25" customHeight="1" x14ac:dyDescent="0.25">
      <c r="A85" s="75"/>
      <c r="B85" s="70" t="s">
        <v>311</v>
      </c>
      <c r="C85" s="106">
        <f>'2. 2018. önkormányzat'!C82+'3. 2018. hivatal'!C85+'4. 2018. műv.ház'!C86+'5. 2018. forrás'!C79+'6. 2018. szociális'!C87</f>
        <v>354448872</v>
      </c>
      <c r="D85" s="106">
        <f>'2. 2018. önkormányzat'!D82+'3. 2018. hivatal'!D85+'4. 2018. műv.ház'!D86+'5. 2018. forrás'!D79+'6. 2018. szociális'!D87</f>
        <v>932915087</v>
      </c>
      <c r="E85" s="106">
        <f>'2. 2018. önkormányzat'!E82+'3. 2018. hivatal'!E85+'4. 2018. műv.ház'!E86+'5. 2018. forrás'!E79+'6. 2018. szociális'!E87</f>
        <v>932915087</v>
      </c>
      <c r="F85" s="422">
        <f t="shared" ref="F85:F87" si="40">+E85/D85</f>
        <v>1</v>
      </c>
      <c r="G85" s="75"/>
      <c r="H85" s="94" t="s">
        <v>236</v>
      </c>
      <c r="I85" s="101">
        <f>'2. 2018. önkormányzat'!I82</f>
        <v>31583880</v>
      </c>
      <c r="J85" s="101">
        <f>'2. 2018. önkormányzat'!J82</f>
        <v>15368880</v>
      </c>
      <c r="K85" s="101">
        <f>'2. 2018. önkormányzat'!K82</f>
        <v>5112082</v>
      </c>
      <c r="L85" s="427">
        <f t="shared" ref="L85" si="41">+K85/J85</f>
        <v>0.33262553940170003</v>
      </c>
      <c r="N85" s="811"/>
    </row>
    <row r="86" spans="1:14" ht="20.25" customHeight="1" x14ac:dyDescent="0.25">
      <c r="A86" s="75"/>
      <c r="B86" s="70" t="s">
        <v>308</v>
      </c>
      <c r="C86" s="101">
        <f>'2. 2018. önkormányzat'!C83+'3. 2018. hivatal'!C86+'4. 2018. műv.ház'!C87+'5. 2018. forrás'!C80+'6. 2018. szociális'!C88+'7. 2018. bölcsőde'!C87</f>
        <v>31583880</v>
      </c>
      <c r="D86" s="101">
        <f>'2. 2018. önkormányzat'!D83+'3. 2018. hivatal'!D86+'4. 2018. műv.ház'!D87+'5. 2018. forrás'!D80+'6. 2018. szociális'!D88+'7. 2018. bölcsőde'!D87</f>
        <v>15368880</v>
      </c>
      <c r="E86" s="101">
        <f>'2. 2018. önkormányzat'!E83+'3. 2018. hivatal'!E86+'4. 2018. műv.ház'!E87+'5. 2018. forrás'!E80+'6. 2018. szociális'!E88+'7. 2018. bölcsőde'!E87</f>
        <v>5112082</v>
      </c>
      <c r="F86" s="422">
        <f t="shared" si="40"/>
        <v>0.33262553940170003</v>
      </c>
      <c r="G86" s="75"/>
      <c r="H86" s="75" t="s">
        <v>246</v>
      </c>
      <c r="I86" s="109">
        <f>I81+I84+I85</f>
        <v>31583880</v>
      </c>
      <c r="J86" s="109">
        <f t="shared" ref="J86:K86" si="42">J81+J84+J85</f>
        <v>15368880</v>
      </c>
      <c r="K86" s="109">
        <f t="shared" si="42"/>
        <v>5112082</v>
      </c>
      <c r="L86" s="437">
        <f>+K86/J86</f>
        <v>0.33262553940170003</v>
      </c>
      <c r="N86" s="811"/>
    </row>
    <row r="87" spans="1:14" ht="20.25" customHeight="1" x14ac:dyDescent="0.25">
      <c r="A87" s="107"/>
      <c r="B87" s="80" t="s">
        <v>310</v>
      </c>
      <c r="C87" s="109">
        <f>C81+C84+C85+C86</f>
        <v>386032752</v>
      </c>
      <c r="D87" s="109">
        <f t="shared" ref="D87:E87" si="43">D81+D84+D85+D86</f>
        <v>948283967</v>
      </c>
      <c r="E87" s="109">
        <f t="shared" si="43"/>
        <v>938027169</v>
      </c>
      <c r="F87" s="423">
        <f t="shared" si="40"/>
        <v>0.98918383273688737</v>
      </c>
      <c r="G87" s="107"/>
      <c r="H87" s="94"/>
      <c r="I87" s="101"/>
      <c r="J87" s="101"/>
      <c r="K87" s="101"/>
      <c r="L87" s="515"/>
      <c r="N87" s="811"/>
    </row>
    <row r="88" spans="1:14" ht="20.25" customHeight="1" x14ac:dyDescent="0.25">
      <c r="A88" s="75"/>
      <c r="B88" s="86" t="s">
        <v>564</v>
      </c>
      <c r="C88" s="109">
        <f>-(C74+C86)</f>
        <v>-330455695</v>
      </c>
      <c r="D88" s="109">
        <f t="shared" ref="D88:E88" si="44">-(D74+D86)</f>
        <v>-314820056</v>
      </c>
      <c r="E88" s="109">
        <f t="shared" si="44"/>
        <v>-268333155</v>
      </c>
      <c r="F88" s="423">
        <f>+E88/D88</f>
        <v>0.85233818457868515</v>
      </c>
      <c r="G88" s="75"/>
      <c r="H88" s="223" t="s">
        <v>564</v>
      </c>
      <c r="I88" s="109">
        <f>-(I73+I85)</f>
        <v>-330455695</v>
      </c>
      <c r="J88" s="109">
        <f t="shared" ref="J88:K88" si="45">-(J73+J85)</f>
        <v>-314820056</v>
      </c>
      <c r="K88" s="109">
        <f t="shared" si="45"/>
        <v>-268333155</v>
      </c>
      <c r="L88" s="516">
        <f>+K88/J88</f>
        <v>0.85233818457868515</v>
      </c>
      <c r="N88" s="811"/>
    </row>
    <row r="89" spans="1:14" ht="20.25" customHeight="1" x14ac:dyDescent="0.25">
      <c r="A89" s="849" t="s">
        <v>143</v>
      </c>
      <c r="B89" s="850"/>
      <c r="C89" s="237">
        <f>C2+C45+C64+C88</f>
        <v>1254605823.9099998</v>
      </c>
      <c r="D89" s="237">
        <f t="shared" ref="D89" si="46">D2+D45+D64+D88</f>
        <v>2117735676</v>
      </c>
      <c r="E89" s="237">
        <f>E2+E45+E64+E88</f>
        <v>2117802235</v>
      </c>
      <c r="F89" s="440">
        <f>+E89/D89</f>
        <v>1.0000314293236661</v>
      </c>
      <c r="G89" s="849" t="s">
        <v>144</v>
      </c>
      <c r="H89" s="850"/>
      <c r="I89" s="237">
        <f>I2+I45+I64+I88</f>
        <v>1254605823.6592934</v>
      </c>
      <c r="J89" s="237">
        <f>J2+J45+J64+J88</f>
        <v>2117735675.8697071</v>
      </c>
      <c r="K89" s="237">
        <f t="shared" ref="K89" si="47">K2+K45+K64+K88</f>
        <v>1587024977</v>
      </c>
      <c r="L89" s="518">
        <f>+K89/J89</f>
        <v>0.74939710138671767</v>
      </c>
      <c r="N89" s="811"/>
    </row>
    <row r="90" spans="1:14" x14ac:dyDescent="0.25">
      <c r="I90" s="113"/>
      <c r="J90" s="113"/>
      <c r="K90" s="113">
        <f>+E89-K89</f>
        <v>530777258</v>
      </c>
    </row>
    <row r="91" spans="1:14" x14ac:dyDescent="0.25">
      <c r="C91" s="113">
        <f>+'2. 2018. önkormányzat'!C85+'3. 2018. hivatal'!C88+'4. 2018. műv.ház'!C89+'5. 2018. forrás'!C82+'6. 2018. szociális'!C90+'7. 2018. bölcsőde'!C89+I88</f>
        <v>1254605823.9100001</v>
      </c>
      <c r="D91" s="113">
        <f>+'2. 2018. önkormányzat'!D85+'3. 2018. hivatal'!D88+'4. 2018. műv.ház'!D89+'5. 2018. forrás'!D82+'6. 2018. szociális'!D90+'7. 2018. bölcsőde'!D89+J88</f>
        <v>2117735676</v>
      </c>
      <c r="E91" s="113">
        <f>+'2. 2018. önkormányzat'!E85+'3. 2018. hivatal'!E88+'4. 2018. műv.ház'!E89+'5. 2018. forrás'!E82+'6. 2018. szociális'!E90+'7. 2018. bölcsőde'!E89+K88</f>
        <v>2117802235</v>
      </c>
      <c r="I91" s="113">
        <f>'2. 2018. önkormányzat'!I85+'3. 2018. hivatal'!I88+'4. 2018. műv.ház'!I89+'5. 2018. forrás'!I82+'6. 2018. szociális'!I90+'7. 2018. bölcsőde'!I89+I88</f>
        <v>1254605825.6592934</v>
      </c>
      <c r="J91" s="113">
        <f>'2. 2018. önkormányzat'!J85+'3. 2018. hivatal'!J88+'4. 2018. műv.ház'!J89+'5. 2018. forrás'!J82+'6. 2018. szociális'!J90+'7. 2018. bölcsőde'!J89+J88</f>
        <v>2117735675.8697071</v>
      </c>
      <c r="K91" s="113">
        <f>'2. 2018. önkormányzat'!K85+'3. 2018. hivatal'!K88+'4. 2018. műv.ház'!K89+'5. 2018. forrás'!K82+'6. 2018. szociális'!K90+'7. 2018. bölcsőde'!K89+K88</f>
        <v>1587024977</v>
      </c>
    </row>
    <row r="92" spans="1:14" x14ac:dyDescent="0.25">
      <c r="C92" s="113">
        <f>+C89-C91</f>
        <v>0</v>
      </c>
      <c r="D92" s="113">
        <f t="shared" ref="D92:E92" si="48">+D89-D91</f>
        <v>0</v>
      </c>
      <c r="E92" s="113">
        <f t="shared" si="48"/>
        <v>0</v>
      </c>
      <c r="I92" s="113">
        <f>+I89-I91</f>
        <v>-2</v>
      </c>
      <c r="J92" s="113">
        <f t="shared" ref="J92:K92" si="49">+J89-J91</f>
        <v>0</v>
      </c>
      <c r="K92" s="113">
        <f t="shared" si="49"/>
        <v>0</v>
      </c>
    </row>
    <row r="93" spans="1:14" x14ac:dyDescent="0.25">
      <c r="C93" s="113"/>
      <c r="D93" s="113"/>
      <c r="E93" s="113"/>
      <c r="I93" s="113"/>
      <c r="J93" s="113"/>
      <c r="K93" s="113"/>
    </row>
    <row r="94" spans="1:14" x14ac:dyDescent="0.25">
      <c r="C94" s="113"/>
      <c r="D94" s="113"/>
      <c r="E94" s="113"/>
      <c r="I94" s="113"/>
      <c r="J94" s="113"/>
      <c r="K94" s="239"/>
    </row>
    <row r="95" spans="1:14" x14ac:dyDescent="0.25">
      <c r="C95" s="113"/>
      <c r="D95" s="113"/>
      <c r="E95" s="520"/>
      <c r="K95" s="239"/>
    </row>
    <row r="96" spans="1:14" x14ac:dyDescent="0.25">
      <c r="K96" s="239"/>
    </row>
  </sheetData>
  <mergeCells count="2">
    <mergeCell ref="A89:B89"/>
    <mergeCell ref="G89:H8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&amp;CTaksony Nagyközség Önkormányzat 2018. évi zárszámadás&amp;R1.sz. melléklet</oddHeader>
    <oddFooter xml:space="preserve">&amp;LKészült: &amp;D
&amp;C&amp;P&amp;R/:Kreisz László://:Dr.Micheller Anita:/
/:Szelecki N.Andrea:/       </oddFooter>
  </headerFooter>
  <rowBreaks count="1" manualBreakCount="1">
    <brk id="44" max="11" man="1"/>
  </rowBreaks>
  <colBreaks count="1" manualBreakCount="1">
    <brk id="6" max="88" man="1"/>
  </colBreaks>
  <ignoredErrors>
    <ignoredError sqref="C2" evalErro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="91" zoomScaleNormal="91" workbookViewId="0">
      <pane xSplit="1" ySplit="4" topLeftCell="B5" activePane="bottomRight" state="frozen"/>
      <selection activeCell="L86" sqref="L86"/>
      <selection pane="topRight" activeCell="L86" sqref="L86"/>
      <selection pane="bottomLeft" activeCell="L86" sqref="L86"/>
      <selection pane="bottomRight" activeCell="L86" sqref="L86"/>
    </sheetView>
  </sheetViews>
  <sheetFormatPr defaultRowHeight="15" x14ac:dyDescent="0.25"/>
  <cols>
    <col min="1" max="1" width="57.5703125" style="545" bestFit="1" customWidth="1"/>
    <col min="2" max="8" width="18.5703125" style="545" customWidth="1"/>
    <col min="9" max="10" width="18.5703125" customWidth="1"/>
  </cols>
  <sheetData>
    <row r="1" spans="1:8" x14ac:dyDescent="0.25">
      <c r="A1" s="765"/>
      <c r="B1" s="765"/>
      <c r="C1" s="765"/>
      <c r="D1" s="765"/>
      <c r="E1" s="765"/>
      <c r="F1" s="765"/>
      <c r="G1" s="765"/>
      <c r="H1" s="765"/>
    </row>
    <row r="2" spans="1:8" x14ac:dyDescent="0.25">
      <c r="A2" s="931" t="s">
        <v>1712</v>
      </c>
      <c r="B2" s="931"/>
      <c r="C2" s="931"/>
      <c r="D2" s="931"/>
      <c r="E2" s="931"/>
      <c r="F2" s="931"/>
      <c r="G2" s="931"/>
      <c r="H2" s="931"/>
    </row>
    <row r="3" spans="1:8" s="766" customFormat="1" ht="15.75" thickBot="1" x14ac:dyDescent="0.3">
      <c r="A3" s="931"/>
      <c r="B3" s="931"/>
      <c r="C3" s="931"/>
      <c r="D3" s="931"/>
      <c r="E3" s="931"/>
      <c r="F3" s="931"/>
      <c r="G3" s="931"/>
      <c r="H3" s="931"/>
    </row>
    <row r="4" spans="1:8" s="576" customFormat="1" ht="43.5" thickBot="1" x14ac:dyDescent="0.3">
      <c r="A4" s="582" t="s">
        <v>535</v>
      </c>
      <c r="B4" s="582" t="s">
        <v>519</v>
      </c>
      <c r="C4" s="582" t="s">
        <v>532</v>
      </c>
      <c r="D4" s="582" t="s">
        <v>1236</v>
      </c>
      <c r="E4" s="582" t="s">
        <v>529</v>
      </c>
      <c r="F4" s="582" t="s">
        <v>533</v>
      </c>
      <c r="G4" s="582" t="s">
        <v>741</v>
      </c>
      <c r="H4" s="583" t="s">
        <v>1713</v>
      </c>
    </row>
    <row r="5" spans="1:8" x14ac:dyDescent="0.25">
      <c r="A5" s="767" t="s">
        <v>1714</v>
      </c>
      <c r="B5" s="768">
        <v>842045639</v>
      </c>
      <c r="C5" s="768">
        <v>2695085</v>
      </c>
      <c r="D5" s="768">
        <v>66361742</v>
      </c>
      <c r="E5" s="768">
        <v>1626419</v>
      </c>
      <c r="F5" s="769">
        <v>17954646</v>
      </c>
      <c r="G5" s="769">
        <v>3150387</v>
      </c>
      <c r="H5" s="770">
        <f>SUM(B5:G5)</f>
        <v>933833918</v>
      </c>
    </row>
    <row r="6" spans="1:8" x14ac:dyDescent="0.25">
      <c r="A6" s="771" t="s">
        <v>1715</v>
      </c>
      <c r="B6" s="772">
        <v>879188185</v>
      </c>
      <c r="C6" s="772">
        <v>115214248</v>
      </c>
      <c r="D6" s="772">
        <v>151717911</v>
      </c>
      <c r="E6" s="772">
        <v>24738678</v>
      </c>
      <c r="F6" s="773">
        <v>43377917</v>
      </c>
      <c r="G6" s="773">
        <v>25148217</v>
      </c>
      <c r="H6" s="774">
        <f t="shared" ref="H6:H23" si="0">SUM(B6:G6)</f>
        <v>1239385156</v>
      </c>
    </row>
    <row r="7" spans="1:8" x14ac:dyDescent="0.25">
      <c r="A7" s="775" t="s">
        <v>1716</v>
      </c>
      <c r="B7" s="776">
        <f t="shared" ref="B7:G7" si="1">+B5-B6</f>
        <v>-37142546</v>
      </c>
      <c r="C7" s="776">
        <f t="shared" si="1"/>
        <v>-112519163</v>
      </c>
      <c r="D7" s="776">
        <f t="shared" si="1"/>
        <v>-85356169</v>
      </c>
      <c r="E7" s="776">
        <f t="shared" si="1"/>
        <v>-23112259</v>
      </c>
      <c r="F7" s="777">
        <f t="shared" si="1"/>
        <v>-25423271</v>
      </c>
      <c r="G7" s="777">
        <f t="shared" si="1"/>
        <v>-21997830</v>
      </c>
      <c r="H7" s="778">
        <f t="shared" si="0"/>
        <v>-305551238</v>
      </c>
    </row>
    <row r="8" spans="1:8" x14ac:dyDescent="0.25">
      <c r="A8" s="771" t="s">
        <v>1717</v>
      </c>
      <c r="B8" s="772">
        <v>1182516958</v>
      </c>
      <c r="C8" s="772">
        <v>112593091</v>
      </c>
      <c r="D8" s="772">
        <v>86533190</v>
      </c>
      <c r="E8" s="772">
        <v>23157472</v>
      </c>
      <c r="F8" s="773">
        <v>25455978</v>
      </c>
      <c r="G8" s="773">
        <v>22044783</v>
      </c>
      <c r="H8" s="774">
        <f t="shared" si="0"/>
        <v>1452301472</v>
      </c>
    </row>
    <row r="9" spans="1:8" x14ac:dyDescent="0.25">
      <c r="A9" s="771" t="s">
        <v>1718</v>
      </c>
      <c r="B9" s="772">
        <v>615972976</v>
      </c>
      <c r="C9" s="772"/>
      <c r="D9" s="772"/>
      <c r="E9" s="772"/>
      <c r="F9" s="773"/>
      <c r="G9" s="773"/>
      <c r="H9" s="774">
        <f t="shared" si="0"/>
        <v>615972976</v>
      </c>
    </row>
    <row r="10" spans="1:8" x14ac:dyDescent="0.25">
      <c r="A10" s="775" t="s">
        <v>1719</v>
      </c>
      <c r="B10" s="776">
        <f t="shared" ref="B10:G10" si="2">+B8-B9</f>
        <v>566543982</v>
      </c>
      <c r="C10" s="776">
        <f t="shared" si="2"/>
        <v>112593091</v>
      </c>
      <c r="D10" s="776">
        <f t="shared" si="2"/>
        <v>86533190</v>
      </c>
      <c r="E10" s="776">
        <f t="shared" si="2"/>
        <v>23157472</v>
      </c>
      <c r="F10" s="777">
        <f t="shared" si="2"/>
        <v>25455978</v>
      </c>
      <c r="G10" s="777">
        <f t="shared" si="2"/>
        <v>22044783</v>
      </c>
      <c r="H10" s="778">
        <f t="shared" si="0"/>
        <v>836328496</v>
      </c>
    </row>
    <row r="11" spans="1:8" x14ac:dyDescent="0.25">
      <c r="A11" s="783" t="s">
        <v>1720</v>
      </c>
      <c r="B11" s="784">
        <f t="shared" ref="B11:G11" si="3">+B7+B10</f>
        <v>529401436</v>
      </c>
      <c r="C11" s="784">
        <f t="shared" si="3"/>
        <v>73928</v>
      </c>
      <c r="D11" s="784">
        <f t="shared" si="3"/>
        <v>1177021</v>
      </c>
      <c r="E11" s="784">
        <f t="shared" si="3"/>
        <v>45213</v>
      </c>
      <c r="F11" s="785">
        <f t="shared" si="3"/>
        <v>32707</v>
      </c>
      <c r="G11" s="785">
        <f t="shared" si="3"/>
        <v>46953</v>
      </c>
      <c r="H11" s="786">
        <f t="shared" si="0"/>
        <v>530777258</v>
      </c>
    </row>
    <row r="12" spans="1:8" x14ac:dyDescent="0.25">
      <c r="A12" s="771" t="s">
        <v>1721</v>
      </c>
      <c r="B12" s="772"/>
      <c r="C12" s="772"/>
      <c r="D12" s="772"/>
      <c r="E12" s="772"/>
      <c r="F12" s="773"/>
      <c r="G12" s="773"/>
      <c r="H12" s="774">
        <f t="shared" si="0"/>
        <v>0</v>
      </c>
    </row>
    <row r="13" spans="1:8" x14ac:dyDescent="0.25">
      <c r="A13" s="771" t="s">
        <v>1722</v>
      </c>
      <c r="B13" s="772"/>
      <c r="C13" s="772"/>
      <c r="D13" s="772"/>
      <c r="E13" s="772"/>
      <c r="F13" s="773"/>
      <c r="G13" s="773"/>
      <c r="H13" s="774">
        <f t="shared" si="0"/>
        <v>0</v>
      </c>
    </row>
    <row r="14" spans="1:8" x14ac:dyDescent="0.25">
      <c r="A14" s="775" t="s">
        <v>1723</v>
      </c>
      <c r="B14" s="772">
        <f t="shared" ref="B14:G14" si="4">+B12-B13</f>
        <v>0</v>
      </c>
      <c r="C14" s="772">
        <f t="shared" si="4"/>
        <v>0</v>
      </c>
      <c r="D14" s="772">
        <f t="shared" si="4"/>
        <v>0</v>
      </c>
      <c r="E14" s="772">
        <f t="shared" si="4"/>
        <v>0</v>
      </c>
      <c r="F14" s="773">
        <f t="shared" si="4"/>
        <v>0</v>
      </c>
      <c r="G14" s="773">
        <f t="shared" si="4"/>
        <v>0</v>
      </c>
      <c r="H14" s="774">
        <f t="shared" si="0"/>
        <v>0</v>
      </c>
    </row>
    <row r="15" spans="1:8" x14ac:dyDescent="0.25">
      <c r="A15" s="771" t="s">
        <v>1724</v>
      </c>
      <c r="B15" s="772"/>
      <c r="C15" s="772"/>
      <c r="D15" s="772"/>
      <c r="E15" s="772"/>
      <c r="F15" s="773"/>
      <c r="G15" s="773"/>
      <c r="H15" s="774">
        <f t="shared" si="0"/>
        <v>0</v>
      </c>
    </row>
    <row r="16" spans="1:8" x14ac:dyDescent="0.25">
      <c r="A16" s="771" t="s">
        <v>1725</v>
      </c>
      <c r="B16" s="772"/>
      <c r="C16" s="772"/>
      <c r="D16" s="772"/>
      <c r="E16" s="772"/>
      <c r="F16" s="773"/>
      <c r="G16" s="773"/>
      <c r="H16" s="774">
        <f t="shared" si="0"/>
        <v>0</v>
      </c>
    </row>
    <row r="17" spans="1:8" x14ac:dyDescent="0.25">
      <c r="A17" s="775" t="s">
        <v>1726</v>
      </c>
      <c r="B17" s="772">
        <f t="shared" ref="B17:G17" si="5">+B15-B16</f>
        <v>0</v>
      </c>
      <c r="C17" s="772">
        <f t="shared" si="5"/>
        <v>0</v>
      </c>
      <c r="D17" s="772">
        <f t="shared" si="5"/>
        <v>0</v>
      </c>
      <c r="E17" s="772">
        <f t="shared" si="5"/>
        <v>0</v>
      </c>
      <c r="F17" s="773">
        <f t="shared" si="5"/>
        <v>0</v>
      </c>
      <c r="G17" s="773">
        <f t="shared" si="5"/>
        <v>0</v>
      </c>
      <c r="H17" s="774">
        <f t="shared" si="0"/>
        <v>0</v>
      </c>
    </row>
    <row r="18" spans="1:8" x14ac:dyDescent="0.25">
      <c r="A18" s="775" t="s">
        <v>1727</v>
      </c>
      <c r="B18" s="772">
        <f t="shared" ref="B18:G18" si="6">+B14+B17</f>
        <v>0</v>
      </c>
      <c r="C18" s="772">
        <f t="shared" si="6"/>
        <v>0</v>
      </c>
      <c r="D18" s="772">
        <f t="shared" si="6"/>
        <v>0</v>
      </c>
      <c r="E18" s="772">
        <f t="shared" si="6"/>
        <v>0</v>
      </c>
      <c r="F18" s="773">
        <f t="shared" si="6"/>
        <v>0</v>
      </c>
      <c r="G18" s="773">
        <f t="shared" si="6"/>
        <v>0</v>
      </c>
      <c r="H18" s="774">
        <f t="shared" si="0"/>
        <v>0</v>
      </c>
    </row>
    <row r="19" spans="1:8" x14ac:dyDescent="0.25">
      <c r="A19" s="779" t="s">
        <v>1728</v>
      </c>
      <c r="B19" s="780">
        <f t="shared" ref="B19:G19" si="7">+B11+B18</f>
        <v>529401436</v>
      </c>
      <c r="C19" s="780">
        <f t="shared" si="7"/>
        <v>73928</v>
      </c>
      <c r="D19" s="780">
        <f t="shared" si="7"/>
        <v>1177021</v>
      </c>
      <c r="E19" s="780">
        <f t="shared" si="7"/>
        <v>45213</v>
      </c>
      <c r="F19" s="781">
        <f t="shared" si="7"/>
        <v>32707</v>
      </c>
      <c r="G19" s="781">
        <f t="shared" si="7"/>
        <v>46953</v>
      </c>
      <c r="H19" s="782">
        <f t="shared" si="0"/>
        <v>530777258</v>
      </c>
    </row>
    <row r="20" spans="1:8" ht="29.25" x14ac:dyDescent="0.25">
      <c r="A20" s="775" t="s">
        <v>1729</v>
      </c>
      <c r="B20" s="776">
        <f>9128312+517850861</f>
        <v>526979173</v>
      </c>
      <c r="C20" s="776">
        <f>+C19</f>
        <v>73928</v>
      </c>
      <c r="D20" s="776">
        <f t="shared" ref="D20:G20" si="8">+D19</f>
        <v>1177021</v>
      </c>
      <c r="E20" s="776">
        <f t="shared" si="8"/>
        <v>45213</v>
      </c>
      <c r="F20" s="776">
        <f t="shared" si="8"/>
        <v>32707</v>
      </c>
      <c r="G20" s="776">
        <f t="shared" si="8"/>
        <v>46953</v>
      </c>
      <c r="H20" s="778">
        <f t="shared" si="0"/>
        <v>528354995</v>
      </c>
    </row>
    <row r="21" spans="1:8" x14ac:dyDescent="0.25">
      <c r="A21" s="775" t="s">
        <v>1730</v>
      </c>
      <c r="B21" s="776">
        <f t="shared" ref="B21:G21" si="9">+B19-B20</f>
        <v>2422263</v>
      </c>
      <c r="C21" s="776">
        <f t="shared" si="9"/>
        <v>0</v>
      </c>
      <c r="D21" s="776">
        <f t="shared" si="9"/>
        <v>0</v>
      </c>
      <c r="E21" s="776">
        <f t="shared" si="9"/>
        <v>0</v>
      </c>
      <c r="F21" s="777">
        <f t="shared" si="9"/>
        <v>0</v>
      </c>
      <c r="G21" s="777">
        <f t="shared" si="9"/>
        <v>0</v>
      </c>
      <c r="H21" s="778">
        <f t="shared" si="0"/>
        <v>2422263</v>
      </c>
    </row>
    <row r="22" spans="1:8" ht="29.25" x14ac:dyDescent="0.25">
      <c r="A22" s="775" t="s">
        <v>1731</v>
      </c>
      <c r="B22" s="776">
        <v>0</v>
      </c>
      <c r="C22" s="776">
        <v>0</v>
      </c>
      <c r="D22" s="776">
        <v>0</v>
      </c>
      <c r="E22" s="772"/>
      <c r="F22" s="773"/>
      <c r="G22" s="773"/>
      <c r="H22" s="774">
        <f t="shared" si="0"/>
        <v>0</v>
      </c>
    </row>
    <row r="23" spans="1:8" ht="15.75" thickBot="1" x14ac:dyDescent="0.3">
      <c r="A23" s="787" t="s">
        <v>1732</v>
      </c>
      <c r="B23" s="788"/>
      <c r="C23" s="789"/>
      <c r="D23" s="789"/>
      <c r="E23" s="789"/>
      <c r="F23" s="790"/>
      <c r="G23" s="790"/>
      <c r="H23" s="791">
        <f t="shared" si="0"/>
        <v>0</v>
      </c>
    </row>
    <row r="24" spans="1:8" x14ac:dyDescent="0.25">
      <c r="H24" s="792"/>
    </row>
    <row r="25" spans="1:8" x14ac:dyDescent="0.25">
      <c r="B25" s="765"/>
    </row>
    <row r="26" spans="1:8" x14ac:dyDescent="0.25">
      <c r="A26" s="793"/>
      <c r="B26" s="794"/>
    </row>
    <row r="27" spans="1:8" x14ac:dyDescent="0.25">
      <c r="B27" s="765"/>
    </row>
    <row r="28" spans="1:8" x14ac:dyDescent="0.25">
      <c r="B28" s="765"/>
    </row>
    <row r="29" spans="1:8" x14ac:dyDescent="0.25">
      <c r="B29" s="765"/>
    </row>
    <row r="30" spans="1:8" x14ac:dyDescent="0.25">
      <c r="B30" s="765"/>
    </row>
  </sheetData>
  <mergeCells count="2"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&amp;CTaksony Nagyközség Önkormányzat 2018. évi zárszámadás&amp;R22.sz. melléklet</oddHeader>
    <oddFooter xml:space="preserve">&amp;LKészült: &amp;D
&amp;C&amp;P&amp;R/:Kreisz László://:Dr.Micheller Anita:/
/:Szelecki N.Andrea:/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view="pageBreakPreview" zoomScale="70" zoomScaleNormal="70" zoomScaleSheetLayoutView="70" workbookViewId="0">
      <selection activeCell="H80" activeCellId="1" sqref="H67 H80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18.42578125" style="21" customWidth="1"/>
    <col min="5" max="5" width="15.28515625" style="21" customWidth="1"/>
    <col min="6" max="6" width="11.140625" style="426" customWidth="1"/>
    <col min="7" max="7" width="4.42578125" style="21" customWidth="1"/>
    <col min="8" max="8" width="71.5703125" style="21" customWidth="1"/>
    <col min="9" max="9" width="20.7109375" style="21" customWidth="1"/>
    <col min="10" max="10" width="16.5703125" style="21" customWidth="1"/>
    <col min="11" max="11" width="15.140625" style="21" customWidth="1"/>
    <col min="12" max="12" width="11.5703125" style="426" customWidth="1"/>
    <col min="13" max="16384" width="9.140625" style="21"/>
  </cols>
  <sheetData>
    <row r="1" spans="1:12" ht="40.5" customHeight="1" x14ac:dyDescent="0.25">
      <c r="A1" s="76"/>
      <c r="B1" s="77" t="s">
        <v>509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504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C3+C18+C25+C36</f>
        <v>481216746.91000003</v>
      </c>
      <c r="D2" s="308">
        <f t="shared" ref="D2:E2" si="0">D3+D18+D25+D36</f>
        <v>515542679</v>
      </c>
      <c r="E2" s="308">
        <f t="shared" si="0"/>
        <v>515558466</v>
      </c>
      <c r="F2" s="414">
        <f>+E2/D2</f>
        <v>1.0000306221010269</v>
      </c>
      <c r="G2" s="306"/>
      <c r="H2" s="307" t="s">
        <v>196</v>
      </c>
      <c r="I2" s="308">
        <f>I3+I7+I18+I25+I36</f>
        <v>262314324.2992126</v>
      </c>
      <c r="J2" s="308">
        <f t="shared" ref="J2:K2" si="1">J3+J7+J18+J25+J36</f>
        <v>260085799</v>
      </c>
      <c r="K2" s="308">
        <f t="shared" si="1"/>
        <v>250376996</v>
      </c>
      <c r="L2" s="414">
        <f>+K2/J2</f>
        <v>0.96267076850282007</v>
      </c>
    </row>
    <row r="3" spans="1:12" ht="20.25" customHeight="1" x14ac:dyDescent="0.25">
      <c r="A3" s="231" t="s">
        <v>23</v>
      </c>
      <c r="B3" s="227" t="s">
        <v>312</v>
      </c>
      <c r="C3" s="228">
        <f>C4+C12+C13+C14+C15+C16</f>
        <v>136105509.86500001</v>
      </c>
      <c r="D3" s="228">
        <f>D4+D12+D13+D14+D15+D16</f>
        <v>137600402</v>
      </c>
      <c r="E3" s="228">
        <f>E4+E12+E13+E14+E15+E16</f>
        <v>137587902</v>
      </c>
      <c r="F3" s="415">
        <f>+E3/D3</f>
        <v>0.99990915724214235</v>
      </c>
      <c r="G3" s="231" t="s">
        <v>23</v>
      </c>
      <c r="H3" s="227" t="s">
        <v>213</v>
      </c>
      <c r="I3" s="228">
        <f>SUM(I4:I5)</f>
        <v>36329980</v>
      </c>
      <c r="J3" s="228">
        <f t="shared" ref="J3:K3" si="2">SUM(J4:J5)</f>
        <v>31820275</v>
      </c>
      <c r="K3" s="228">
        <f t="shared" si="2"/>
        <v>30728087</v>
      </c>
      <c r="L3" s="415">
        <f>+K3/J3</f>
        <v>0.96567634943444081</v>
      </c>
    </row>
    <row r="4" spans="1:12" ht="20.25" customHeight="1" x14ac:dyDescent="0.25">
      <c r="A4" s="70"/>
      <c r="B4" s="108" t="s">
        <v>247</v>
      </c>
      <c r="C4" s="106">
        <f>SUM(C5:C8)</f>
        <v>112193823</v>
      </c>
      <c r="D4" s="106">
        <f>SUM(D5:D10)</f>
        <v>122943788</v>
      </c>
      <c r="E4" s="106">
        <f>SUM(E5:E10)</f>
        <v>122943788</v>
      </c>
      <c r="F4" s="427">
        <f>+E4/D4</f>
        <v>1</v>
      </c>
      <c r="G4" s="80"/>
      <c r="H4" s="69" t="s">
        <v>500</v>
      </c>
      <c r="I4" s="95">
        <f>'2.a önkormányzat részletes'!I12</f>
        <v>13023980</v>
      </c>
      <c r="J4" s="95">
        <f>'2.a önkormányzat részletes'!J12</f>
        <v>8514275</v>
      </c>
      <c r="K4" s="95">
        <f>'2.a önkormányzat részletes'!K12</f>
        <v>8337892</v>
      </c>
      <c r="L4" s="427">
        <f>+K4/J4</f>
        <v>0.9792838497699452</v>
      </c>
    </row>
    <row r="5" spans="1:12" ht="24" customHeight="1" x14ac:dyDescent="0.25">
      <c r="A5" s="80"/>
      <c r="B5" s="83" t="s">
        <v>248</v>
      </c>
      <c r="C5" s="106">
        <f>'2.a önkormányzat részletes'!C5</f>
        <v>65694011</v>
      </c>
      <c r="D5" s="106">
        <f>'2.a önkormányzat részletes'!D5</f>
        <v>65744397</v>
      </c>
      <c r="E5" s="106">
        <f>'2.a önkormányzat részletes'!E5</f>
        <v>65744397</v>
      </c>
      <c r="F5" s="427">
        <f t="shared" ref="F5:F10" si="3">+E5/D5</f>
        <v>1</v>
      </c>
      <c r="G5" s="80"/>
      <c r="H5" s="69" t="s">
        <v>501</v>
      </c>
      <c r="I5" s="95">
        <f>'2.a önkormányzat részletes'!I16</f>
        <v>23306000</v>
      </c>
      <c r="J5" s="95">
        <f>'2.a önkormányzat részletes'!J16</f>
        <v>23306000</v>
      </c>
      <c r="K5" s="95">
        <f>'2.a önkormányzat részletes'!K16</f>
        <v>22390195</v>
      </c>
      <c r="L5" s="427">
        <f>+K5/J5</f>
        <v>0.96070518321462284</v>
      </c>
    </row>
    <row r="6" spans="1:12" ht="24" customHeight="1" x14ac:dyDescent="0.25">
      <c r="A6" s="80"/>
      <c r="B6" s="83" t="s">
        <v>249</v>
      </c>
      <c r="C6" s="106">
        <f>'2.a önkormányzat részletes'!C6</f>
        <v>0</v>
      </c>
      <c r="D6" s="106">
        <f>'2.a önkormányzat részletes'!D6</f>
        <v>0</v>
      </c>
      <c r="E6" s="106">
        <f>'2.a önkormányzat részletes'!E6</f>
        <v>0</v>
      </c>
      <c r="F6" s="427"/>
      <c r="G6" s="80"/>
      <c r="H6" s="69"/>
      <c r="I6" s="95"/>
      <c r="J6" s="95"/>
      <c r="K6" s="95"/>
      <c r="L6" s="416"/>
    </row>
    <row r="7" spans="1:12" ht="22.5" customHeight="1" x14ac:dyDescent="0.25">
      <c r="A7" s="80"/>
      <c r="B7" s="83" t="s">
        <v>250</v>
      </c>
      <c r="C7" s="106">
        <f>'2.a önkormányzat részletes'!C7</f>
        <v>38809052</v>
      </c>
      <c r="D7" s="106">
        <f>'2.a önkormányzat részletes'!D7</f>
        <v>41151047</v>
      </c>
      <c r="E7" s="106">
        <f>'2.a önkormányzat részletes'!E7</f>
        <v>41151047</v>
      </c>
      <c r="F7" s="427">
        <f t="shared" si="3"/>
        <v>1</v>
      </c>
      <c r="G7" s="231" t="s">
        <v>45</v>
      </c>
      <c r="H7" s="227" t="s">
        <v>214</v>
      </c>
      <c r="I7" s="228">
        <f>'2.a önkormányzat részletes'!I17</f>
        <v>6226585</v>
      </c>
      <c r="J7" s="228">
        <f>'2.a önkormányzat részletes'!J17</f>
        <v>5781110</v>
      </c>
      <c r="K7" s="228">
        <f>'2.a önkormányzat részletes'!K17</f>
        <v>5780571</v>
      </c>
      <c r="L7" s="415">
        <f>+K7/J7</f>
        <v>0.99990676530977618</v>
      </c>
    </row>
    <row r="8" spans="1:12" ht="22.5" customHeight="1" x14ac:dyDescent="0.25">
      <c r="A8" s="80"/>
      <c r="B8" s="83" t="s">
        <v>251</v>
      </c>
      <c r="C8" s="106">
        <f>'2.a önkormányzat részletes'!C8</f>
        <v>7690760</v>
      </c>
      <c r="D8" s="106">
        <f>'2.a önkormányzat részletes'!D8</f>
        <v>8478377</v>
      </c>
      <c r="E8" s="106">
        <f>'2.a önkormányzat részletes'!E8</f>
        <v>8478377</v>
      </c>
      <c r="F8" s="427">
        <f t="shared" si="3"/>
        <v>1</v>
      </c>
      <c r="G8" s="80"/>
      <c r="H8" s="69"/>
      <c r="I8" s="95"/>
      <c r="J8" s="95"/>
      <c r="K8" s="95"/>
      <c r="L8" s="416"/>
    </row>
    <row r="9" spans="1:12" ht="24.75" customHeight="1" x14ac:dyDescent="0.25">
      <c r="A9" s="80"/>
      <c r="B9" s="83" t="s">
        <v>252</v>
      </c>
      <c r="C9" s="81" t="s">
        <v>253</v>
      </c>
      <c r="D9" s="106">
        <f>+'2.a önkormányzat részletes'!D9</f>
        <v>6644397</v>
      </c>
      <c r="E9" s="106">
        <f>+'2.a önkormányzat részletes'!E9</f>
        <v>6644397</v>
      </c>
      <c r="F9" s="427">
        <f t="shared" si="3"/>
        <v>1</v>
      </c>
      <c r="G9" s="80"/>
      <c r="H9" s="69"/>
      <c r="I9" s="95"/>
      <c r="J9" s="95"/>
      <c r="K9" s="95"/>
      <c r="L9" s="416"/>
    </row>
    <row r="10" spans="1:12" ht="18" customHeight="1" x14ac:dyDescent="0.25">
      <c r="A10" s="80"/>
      <c r="B10" s="83" t="s">
        <v>254</v>
      </c>
      <c r="C10" s="81" t="s">
        <v>253</v>
      </c>
      <c r="D10" s="106">
        <f>+'2.a önkormányzat részletes'!D10</f>
        <v>925570</v>
      </c>
      <c r="E10" s="106">
        <f>+'2.a önkormányzat részletes'!E10</f>
        <v>925570</v>
      </c>
      <c r="F10" s="427">
        <f t="shared" si="3"/>
        <v>1</v>
      </c>
      <c r="G10" s="84"/>
      <c r="H10" s="69"/>
      <c r="I10" s="96"/>
      <c r="J10" s="96"/>
      <c r="K10" s="96"/>
      <c r="L10" s="431"/>
    </row>
    <row r="11" spans="1:12" ht="20.25" customHeight="1" x14ac:dyDescent="0.25">
      <c r="A11" s="80"/>
      <c r="B11" s="111"/>
      <c r="C11" s="87"/>
      <c r="D11" s="87"/>
      <c r="E11" s="87"/>
      <c r="F11" s="422"/>
      <c r="G11" s="84"/>
      <c r="H11" s="69"/>
      <c r="I11" s="97"/>
      <c r="J11" s="97"/>
      <c r="K11" s="97"/>
      <c r="L11" s="419"/>
    </row>
    <row r="12" spans="1:12" ht="20.25" customHeight="1" x14ac:dyDescent="0.25">
      <c r="A12" s="80"/>
      <c r="B12" s="83" t="s">
        <v>255</v>
      </c>
      <c r="C12" s="87"/>
      <c r="D12" s="87"/>
      <c r="E12" s="87"/>
      <c r="F12" s="422"/>
      <c r="G12" s="84"/>
      <c r="I12" s="104"/>
      <c r="J12" s="104"/>
      <c r="K12" s="104"/>
      <c r="L12" s="418"/>
    </row>
    <row r="13" spans="1:12" ht="30" x14ac:dyDescent="0.25">
      <c r="A13" s="70"/>
      <c r="B13" s="83" t="s">
        <v>256</v>
      </c>
      <c r="C13" s="106"/>
      <c r="D13" s="106"/>
      <c r="E13" s="106"/>
      <c r="F13" s="427"/>
      <c r="G13" s="84"/>
      <c r="H13" s="69"/>
      <c r="I13" s="97"/>
      <c r="J13" s="97"/>
      <c r="K13" s="97"/>
      <c r="L13" s="419"/>
    </row>
    <row r="14" spans="1:12" ht="29.25" customHeight="1" x14ac:dyDescent="0.25">
      <c r="A14" s="70"/>
      <c r="B14" s="83" t="s">
        <v>257</v>
      </c>
      <c r="C14" s="106"/>
      <c r="D14" s="106"/>
      <c r="E14" s="106"/>
      <c r="F14" s="427"/>
      <c r="G14" s="84"/>
      <c r="H14" s="69"/>
      <c r="I14" s="97"/>
      <c r="J14" s="97"/>
      <c r="K14" s="97"/>
      <c r="L14" s="419"/>
    </row>
    <row r="15" spans="1:12" ht="29.25" customHeight="1" x14ac:dyDescent="0.25">
      <c r="A15" s="70"/>
      <c r="B15" s="83" t="s">
        <v>258</v>
      </c>
      <c r="C15" s="106"/>
      <c r="D15" s="106"/>
      <c r="E15" s="106"/>
      <c r="F15" s="427"/>
      <c r="G15" s="84"/>
      <c r="H15" s="69"/>
      <c r="I15" s="97"/>
      <c r="J15" s="97"/>
      <c r="K15" s="97"/>
      <c r="L15" s="419"/>
    </row>
    <row r="16" spans="1:12" ht="29.25" customHeight="1" x14ac:dyDescent="0.25">
      <c r="A16" s="70"/>
      <c r="B16" s="83" t="s">
        <v>259</v>
      </c>
      <c r="C16" s="106">
        <f>+'2.a önkormányzat részletes'!C16</f>
        <v>23911686.865000002</v>
      </c>
      <c r="D16" s="106">
        <f>+'2.a önkormányzat részletes'!D16</f>
        <v>14656614</v>
      </c>
      <c r="E16" s="106">
        <f>+'2.a önkormányzat részletes'!E16</f>
        <v>14644114</v>
      </c>
      <c r="F16" s="427">
        <f t="shared" ref="F16" si="4">+E16/D16</f>
        <v>0.999147142716592</v>
      </c>
      <c r="G16" s="84"/>
      <c r="H16" s="87"/>
      <c r="I16" s="104"/>
      <c r="J16" s="104"/>
      <c r="K16" s="104"/>
      <c r="L16" s="418"/>
    </row>
    <row r="17" spans="1:12" ht="18.75" customHeight="1" x14ac:dyDescent="0.25">
      <c r="A17" s="70"/>
      <c r="C17" s="106"/>
      <c r="D17" s="106"/>
      <c r="E17" s="106"/>
      <c r="F17" s="427"/>
      <c r="H17" s="87"/>
      <c r="I17" s="97"/>
      <c r="J17" s="97"/>
      <c r="K17" s="97"/>
      <c r="L17" s="419"/>
    </row>
    <row r="18" spans="1:12" ht="20.25" customHeight="1" x14ac:dyDescent="0.25">
      <c r="A18" s="231" t="s">
        <v>45</v>
      </c>
      <c r="B18" s="227" t="s">
        <v>266</v>
      </c>
      <c r="C18" s="228">
        <f>C19+C20+C24</f>
        <v>324600000</v>
      </c>
      <c r="D18" s="228">
        <f t="shared" ref="D18:E18" si="5">D19+D20+D24</f>
        <v>347048698</v>
      </c>
      <c r="E18" s="228">
        <f t="shared" si="5"/>
        <v>347048698</v>
      </c>
      <c r="F18" s="415">
        <f>+E18/D18</f>
        <v>1</v>
      </c>
      <c r="G18" s="231" t="s">
        <v>56</v>
      </c>
      <c r="H18" s="227" t="s">
        <v>215</v>
      </c>
      <c r="I18" s="228">
        <f>SUM(I19:I23)+1</f>
        <v>157055935.2992126</v>
      </c>
      <c r="J18" s="228">
        <f>SUM(J19:J23)</f>
        <v>173114000</v>
      </c>
      <c r="K18" s="228">
        <f>SUM(K19:K23)</f>
        <v>168327892</v>
      </c>
      <c r="L18" s="415">
        <f>+K18/J18</f>
        <v>0.97235285418856943</v>
      </c>
    </row>
    <row r="19" spans="1:12" ht="20.25" customHeight="1" x14ac:dyDescent="0.25">
      <c r="A19" s="85"/>
      <c r="B19" s="87" t="s">
        <v>267</v>
      </c>
      <c r="C19" s="95">
        <f>'2.a önkormányzat részletes'!C24</f>
        <v>65100000</v>
      </c>
      <c r="D19" s="95">
        <f>'2.a önkormányzat részletes'!D24</f>
        <v>63356148</v>
      </c>
      <c r="E19" s="95">
        <f>'2.a önkormányzat részletes'!E24</f>
        <v>63356148</v>
      </c>
      <c r="F19" s="427">
        <f t="shared" ref="F19:F24" si="6">+E19/D19</f>
        <v>1</v>
      </c>
      <c r="G19" s="71"/>
      <c r="H19" s="115" t="s">
        <v>238</v>
      </c>
      <c r="I19" s="104">
        <f>'2.a önkormányzat részletes'!I36</f>
        <v>4874000</v>
      </c>
      <c r="J19" s="104">
        <f>'2.a önkormányzat részletes'!J36</f>
        <v>5945000</v>
      </c>
      <c r="K19" s="104">
        <f>'2.a önkormányzat részletes'!K36</f>
        <v>5882297</v>
      </c>
      <c r="L19" s="427">
        <f t="shared" ref="L19:L23" si="7">+K19/J19</f>
        <v>0.98945281749369218</v>
      </c>
    </row>
    <row r="20" spans="1:12" ht="20.25" customHeight="1" x14ac:dyDescent="0.25">
      <c r="A20" s="85"/>
      <c r="B20" s="87" t="s">
        <v>268</v>
      </c>
      <c r="C20" s="95">
        <f>C21+C22+C23</f>
        <v>256000000</v>
      </c>
      <c r="D20" s="95">
        <f t="shared" ref="D20:E20" si="8">D21+D22+D23</f>
        <v>282514998</v>
      </c>
      <c r="E20" s="95">
        <f t="shared" si="8"/>
        <v>282514998</v>
      </c>
      <c r="F20" s="427">
        <f t="shared" si="6"/>
        <v>1</v>
      </c>
      <c r="G20" s="71"/>
      <c r="H20" s="115" t="s">
        <v>239</v>
      </c>
      <c r="I20" s="104">
        <f>'2.a önkormányzat részletes'!I48</f>
        <v>3863400</v>
      </c>
      <c r="J20" s="104">
        <f>'2.a önkormányzat részletes'!J48</f>
        <v>4000000</v>
      </c>
      <c r="K20" s="104">
        <f>'2.a önkormányzat részletes'!K48</f>
        <v>3958210</v>
      </c>
      <c r="L20" s="427">
        <f t="shared" si="7"/>
        <v>0.98955249999999995</v>
      </c>
    </row>
    <row r="21" spans="1:12" ht="20.25" customHeight="1" x14ac:dyDescent="0.25">
      <c r="A21" s="85"/>
      <c r="B21" s="87" t="s">
        <v>510</v>
      </c>
      <c r="C21" s="95">
        <f>'2.a önkormányzat részletes'!C31</f>
        <v>235000000</v>
      </c>
      <c r="D21" s="95">
        <f>'2.a önkormányzat részletes'!D31</f>
        <v>258960937</v>
      </c>
      <c r="E21" s="95">
        <f>'2.a önkormányzat részletes'!E31</f>
        <v>258960937</v>
      </c>
      <c r="F21" s="427">
        <f t="shared" si="6"/>
        <v>1</v>
      </c>
      <c r="G21" s="71"/>
      <c r="H21" s="115" t="s">
        <v>240</v>
      </c>
      <c r="I21" s="104">
        <f>'2.a önkormányzat részletes'!I68</f>
        <v>79361034.77952756</v>
      </c>
      <c r="J21" s="104">
        <f>'2.a önkormányzat részletes'!J68</f>
        <v>96750000</v>
      </c>
      <c r="K21" s="104">
        <f>'2.a önkormányzat részletes'!K68</f>
        <v>93116245</v>
      </c>
      <c r="L21" s="427">
        <f t="shared" si="7"/>
        <v>0.96244180878552976</v>
      </c>
    </row>
    <row r="22" spans="1:12" ht="20.25" customHeight="1" x14ac:dyDescent="0.25">
      <c r="A22" s="85"/>
      <c r="B22" s="87" t="s">
        <v>270</v>
      </c>
      <c r="C22" s="95">
        <f>'2.a önkormányzat részletes'!C34</f>
        <v>21000000</v>
      </c>
      <c r="D22" s="95">
        <f>'2.a önkormányzat részletes'!D34</f>
        <v>23389961</v>
      </c>
      <c r="E22" s="95">
        <f>'2.a önkormányzat részletes'!E34</f>
        <v>23389961</v>
      </c>
      <c r="F22" s="427">
        <f t="shared" si="6"/>
        <v>1</v>
      </c>
      <c r="G22" s="71"/>
      <c r="H22" s="115" t="s">
        <v>241</v>
      </c>
      <c r="I22" s="104">
        <f>'2.a önkormányzat részletes'!I71</f>
        <v>8558999.5196850393</v>
      </c>
      <c r="J22" s="104">
        <f>'2.a önkormányzat részletes'!J71</f>
        <v>7429000</v>
      </c>
      <c r="K22" s="104">
        <f>'2.a önkormányzat részletes'!K71</f>
        <v>7387569</v>
      </c>
      <c r="L22" s="427">
        <f t="shared" si="7"/>
        <v>0.99442307174586086</v>
      </c>
    </row>
    <row r="23" spans="1:12" ht="20.25" customHeight="1" x14ac:dyDescent="0.25">
      <c r="A23" s="85"/>
      <c r="B23" s="87" t="s">
        <v>511</v>
      </c>
      <c r="C23" s="95">
        <f>+'2.a önkormányzat részletes'!C39</f>
        <v>0</v>
      </c>
      <c r="D23" s="95">
        <f>+'2.a önkormányzat részletes'!D39</f>
        <v>164100</v>
      </c>
      <c r="E23" s="95">
        <f>+'2.a önkormányzat részletes'!E39</f>
        <v>164100</v>
      </c>
      <c r="F23" s="427">
        <f t="shared" si="6"/>
        <v>1</v>
      </c>
      <c r="G23" s="71"/>
      <c r="H23" s="115" t="s">
        <v>242</v>
      </c>
      <c r="I23" s="104">
        <f>'2.a önkormányzat részletes'!I80</f>
        <v>60398500</v>
      </c>
      <c r="J23" s="104">
        <f>'2.a önkormányzat részletes'!J80</f>
        <v>58990000</v>
      </c>
      <c r="K23" s="104">
        <f>'2.a önkormányzat részletes'!K80</f>
        <v>57983571</v>
      </c>
      <c r="L23" s="427">
        <f t="shared" si="7"/>
        <v>0.9829389896592643</v>
      </c>
    </row>
    <row r="24" spans="1:12" ht="20.25" customHeight="1" x14ac:dyDescent="0.25">
      <c r="A24" s="85"/>
      <c r="B24" s="87" t="s">
        <v>272</v>
      </c>
      <c r="C24" s="95">
        <f>+'2.a önkormányzat részletes'!C41</f>
        <v>3500000</v>
      </c>
      <c r="D24" s="95">
        <f>+'2.a önkormányzat részletes'!D41</f>
        <v>1177552</v>
      </c>
      <c r="E24" s="95">
        <f>+'2.a önkormányzat részletes'!E41</f>
        <v>1177552</v>
      </c>
      <c r="F24" s="427">
        <f t="shared" si="6"/>
        <v>1</v>
      </c>
      <c r="G24" s="71"/>
      <c r="H24" s="71"/>
      <c r="I24" s="97"/>
      <c r="J24" s="97"/>
      <c r="K24" s="97"/>
      <c r="L24" s="419"/>
    </row>
    <row r="25" spans="1:12" ht="20.25" customHeight="1" x14ac:dyDescent="0.25">
      <c r="A25" s="231" t="s">
        <v>56</v>
      </c>
      <c r="B25" s="227" t="s">
        <v>273</v>
      </c>
      <c r="C25" s="228">
        <f>SUM(C26:C35)</f>
        <v>20511237.045000002</v>
      </c>
      <c r="D25" s="228">
        <f t="shared" ref="D25:E25" si="9">SUM(D26:D35)</f>
        <v>26528779</v>
      </c>
      <c r="E25" s="228">
        <f t="shared" si="9"/>
        <v>26557066</v>
      </c>
      <c r="F25" s="415">
        <f>+E25/D25</f>
        <v>1.0010662759865427</v>
      </c>
      <c r="G25" s="231" t="s">
        <v>64</v>
      </c>
      <c r="H25" s="227" t="s">
        <v>216</v>
      </c>
      <c r="I25" s="228">
        <f>SUM(I26:I31)</f>
        <v>5267280</v>
      </c>
      <c r="J25" s="228">
        <f t="shared" ref="J25:K25" si="10">SUM(J26:J31)</f>
        <v>3556080</v>
      </c>
      <c r="K25" s="228">
        <f t="shared" si="10"/>
        <v>3225218</v>
      </c>
      <c r="L25" s="415">
        <f>+K25/J25</f>
        <v>0.90695878607905334</v>
      </c>
    </row>
    <row r="26" spans="1:12" ht="20.25" customHeight="1" x14ac:dyDescent="0.25">
      <c r="A26" s="85"/>
      <c r="B26" s="88" t="s">
        <v>274</v>
      </c>
      <c r="C26" s="101"/>
      <c r="D26" s="101"/>
      <c r="E26" s="101">
        <f>+'2.a önkormányzat részletes'!E58</f>
        <v>28287</v>
      </c>
      <c r="F26" s="427"/>
      <c r="G26" s="71"/>
      <c r="H26" s="71" t="s">
        <v>202</v>
      </c>
      <c r="I26" s="105">
        <f>'2.a önkormányzat részletes'!I82</f>
        <v>967280</v>
      </c>
      <c r="J26" s="105">
        <f>'2.a önkormányzat részletes'!J82</f>
        <v>804080</v>
      </c>
      <c r="K26" s="105">
        <f>'2.a önkormányzat részletes'!K82</f>
        <v>804080</v>
      </c>
      <c r="L26" s="427">
        <f>+K26/J26</f>
        <v>1</v>
      </c>
    </row>
    <row r="27" spans="1:12" ht="20.25" customHeight="1" x14ac:dyDescent="0.25">
      <c r="A27" s="85"/>
      <c r="B27" s="88" t="s">
        <v>275</v>
      </c>
      <c r="C27" s="101">
        <f>'2.a önkormányzat részletes'!C59</f>
        <v>10146000</v>
      </c>
      <c r="D27" s="101">
        <f>'2.a önkormányzat részletes'!D59</f>
        <v>11677696</v>
      </c>
      <c r="E27" s="101">
        <f>'2.a önkormányzat részletes'!E59</f>
        <v>11677696</v>
      </c>
      <c r="F27" s="427">
        <f t="shared" ref="F27:F35" si="11">+E27/D27</f>
        <v>1</v>
      </c>
      <c r="G27" s="71"/>
      <c r="H27" s="87" t="s">
        <v>203</v>
      </c>
      <c r="I27" s="105">
        <f>'2.a önkormányzat részletes'!I83</f>
        <v>0</v>
      </c>
      <c r="J27" s="105">
        <f>'2.a önkormányzat részletes'!J83</f>
        <v>0</v>
      </c>
      <c r="K27" s="105">
        <f>'2.a önkormányzat részletes'!K83</f>
        <v>0</v>
      </c>
      <c r="L27" s="417"/>
    </row>
    <row r="28" spans="1:12" ht="20.25" customHeight="1" x14ac:dyDescent="0.25">
      <c r="A28" s="85"/>
      <c r="B28" s="88" t="s">
        <v>276</v>
      </c>
      <c r="C28" s="101">
        <f>+'2.a önkormányzat részletes'!C65</f>
        <v>722000</v>
      </c>
      <c r="D28" s="101">
        <f>+'2.a önkormányzat részletes'!D65</f>
        <v>2152012</v>
      </c>
      <c r="E28" s="101">
        <f>+'2.a önkormányzat részletes'!E65</f>
        <v>2152012</v>
      </c>
      <c r="F28" s="427">
        <f t="shared" si="11"/>
        <v>1</v>
      </c>
      <c r="G28" s="71"/>
      <c r="H28" s="71" t="s">
        <v>204</v>
      </c>
      <c r="I28" s="105">
        <f>'2.a önkormányzat részletes'!I84</f>
        <v>0</v>
      </c>
      <c r="J28" s="105">
        <f>'2.a önkormányzat részletes'!J84</f>
        <v>0</v>
      </c>
      <c r="K28" s="105">
        <f>'2.a önkormányzat részletes'!K84</f>
        <v>0</v>
      </c>
      <c r="L28" s="417"/>
    </row>
    <row r="29" spans="1:12" ht="20.25" customHeight="1" x14ac:dyDescent="0.25">
      <c r="A29" s="85"/>
      <c r="B29" s="88" t="s">
        <v>277</v>
      </c>
      <c r="C29" s="101">
        <f>+'2.a önkormányzat részletes'!C66</f>
        <v>3512832.0449999999</v>
      </c>
      <c r="D29" s="101">
        <f>+'2.a önkormányzat részletes'!D66</f>
        <v>5005066</v>
      </c>
      <c r="E29" s="101">
        <f>+'2.a önkormányzat részletes'!E66</f>
        <v>5005066</v>
      </c>
      <c r="F29" s="427">
        <f t="shared" si="11"/>
        <v>1</v>
      </c>
      <c r="G29" s="71"/>
      <c r="H29" s="71" t="s">
        <v>205</v>
      </c>
      <c r="I29" s="105">
        <f>'2.a önkormányzat részletes'!I85</f>
        <v>0</v>
      </c>
      <c r="J29" s="105">
        <f>'2.a önkormányzat részletes'!J85</f>
        <v>0</v>
      </c>
      <c r="K29" s="105">
        <f>'2.a önkormányzat részletes'!K85</f>
        <v>0</v>
      </c>
      <c r="L29" s="417"/>
    </row>
    <row r="30" spans="1:12" ht="20.25" customHeight="1" x14ac:dyDescent="0.25">
      <c r="A30" s="85"/>
      <c r="B30" s="88" t="s">
        <v>278</v>
      </c>
      <c r="C30" s="101">
        <f>'2.a önkormányzat részletes'!C74</f>
        <v>0</v>
      </c>
      <c r="D30" s="101">
        <f>'2.a önkormányzat részletes'!D74</f>
        <v>0</v>
      </c>
      <c r="E30" s="101">
        <f>'2.a önkormányzat részletes'!E74</f>
        <v>0</v>
      </c>
      <c r="F30" s="427"/>
      <c r="G30" s="71"/>
      <c r="H30" s="71" t="s">
        <v>206</v>
      </c>
      <c r="I30" s="105">
        <f>'2.a önkormányzat részletes'!I86</f>
        <v>0</v>
      </c>
      <c r="J30" s="105">
        <f>'2.a önkormányzat részletes'!J86</f>
        <v>0</v>
      </c>
      <c r="K30" s="105">
        <f>'2.a önkormányzat részletes'!K86</f>
        <v>0</v>
      </c>
      <c r="L30" s="417"/>
    </row>
    <row r="31" spans="1:12" ht="20.25" customHeight="1" x14ac:dyDescent="0.25">
      <c r="A31" s="85"/>
      <c r="B31" s="88" t="s">
        <v>279</v>
      </c>
      <c r="C31" s="101">
        <f>'2.a önkormányzat részletes'!C70</f>
        <v>2980405</v>
      </c>
      <c r="D31" s="101">
        <f>'2.a önkormányzat részletes'!D70</f>
        <v>3380711</v>
      </c>
      <c r="E31" s="101">
        <f>'2.a önkormányzat részletes'!E70</f>
        <v>3380711</v>
      </c>
      <c r="F31" s="427">
        <f t="shared" si="11"/>
        <v>1</v>
      </c>
      <c r="G31" s="71"/>
      <c r="H31" s="71" t="s">
        <v>207</v>
      </c>
      <c r="I31" s="105">
        <f>'2.a önkormányzat részletes'!I87</f>
        <v>4300000</v>
      </c>
      <c r="J31" s="105">
        <f>'2.a önkormányzat részletes'!J87</f>
        <v>2752000</v>
      </c>
      <c r="K31" s="105">
        <f>'2.a önkormányzat részletes'!K87</f>
        <v>2421138</v>
      </c>
      <c r="L31" s="427">
        <f>+K31/J31</f>
        <v>0.87977398255813954</v>
      </c>
    </row>
    <row r="32" spans="1:12" ht="20.25" customHeight="1" x14ac:dyDescent="0.25">
      <c r="A32" s="85"/>
      <c r="B32" s="88" t="s">
        <v>280</v>
      </c>
      <c r="C32" s="101">
        <f>'2.a önkormányzat részletes'!C83</f>
        <v>0</v>
      </c>
      <c r="D32" s="101">
        <f>'2.a önkormányzat részletes'!D83</f>
        <v>0</v>
      </c>
      <c r="E32" s="101">
        <f>'2.a önkormányzat részletes'!E83</f>
        <v>0</v>
      </c>
      <c r="F32" s="427"/>
      <c r="G32" s="71"/>
      <c r="H32" s="71"/>
      <c r="I32" s="97"/>
      <c r="J32" s="97"/>
      <c r="K32" s="97"/>
      <c r="L32" s="419"/>
    </row>
    <row r="33" spans="1:12" ht="20.25" customHeight="1" x14ac:dyDescent="0.25">
      <c r="A33" s="85"/>
      <c r="B33" s="88" t="s">
        <v>281</v>
      </c>
      <c r="C33" s="101">
        <f>+'2.a önkormányzat részletes'!C73</f>
        <v>3150000</v>
      </c>
      <c r="D33" s="101">
        <f>+'2.a önkormányzat részletes'!D73++'2.a önkormányzat részletes'!D72</f>
        <v>3616479</v>
      </c>
      <c r="E33" s="101">
        <f>+'2.a önkormányzat részletes'!E72+'2.a önkormányzat részletes'!E73</f>
        <v>3616479</v>
      </c>
      <c r="F33" s="427">
        <f t="shared" si="11"/>
        <v>1</v>
      </c>
      <c r="G33" s="71"/>
      <c r="I33" s="104"/>
      <c r="J33" s="104"/>
      <c r="K33" s="104"/>
      <c r="L33" s="418"/>
    </row>
    <row r="34" spans="1:12" ht="20.25" customHeight="1" x14ac:dyDescent="0.25">
      <c r="A34" s="85"/>
      <c r="B34" s="88" t="s">
        <v>282</v>
      </c>
      <c r="C34" s="101">
        <f>'2.a önkormányzat részletes'!C85</f>
        <v>0</v>
      </c>
      <c r="D34" s="101">
        <f>+'2.a önkormányzat részletes'!D74</f>
        <v>0</v>
      </c>
      <c r="E34" s="101">
        <f>'2.a önkormányzat részletes'!E85</f>
        <v>0</v>
      </c>
      <c r="F34" s="427"/>
      <c r="G34" s="71"/>
      <c r="H34" s="71"/>
      <c r="I34" s="97"/>
      <c r="J34" s="97"/>
      <c r="K34" s="97"/>
      <c r="L34" s="419"/>
    </row>
    <row r="35" spans="1:12" ht="20.25" customHeight="1" x14ac:dyDescent="0.25">
      <c r="A35" s="85"/>
      <c r="B35" s="88" t="s">
        <v>283</v>
      </c>
      <c r="C35" s="101">
        <f>'2.a önkormányzat részletes'!C86</f>
        <v>0</v>
      </c>
      <c r="D35" s="101">
        <f>+'2.a önkormányzat részletes'!D75</f>
        <v>696815</v>
      </c>
      <c r="E35" s="101">
        <f>+'2.a önkormányzat részletes'!E75</f>
        <v>696815</v>
      </c>
      <c r="F35" s="427">
        <f t="shared" si="11"/>
        <v>1</v>
      </c>
      <c r="G35" s="71"/>
      <c r="H35" s="71"/>
      <c r="I35" s="97"/>
      <c r="J35" s="97"/>
      <c r="K35" s="97"/>
      <c r="L35" s="419"/>
    </row>
    <row r="36" spans="1:12" ht="20.25" customHeight="1" x14ac:dyDescent="0.25">
      <c r="A36" s="231" t="s">
        <v>64</v>
      </c>
      <c r="B36" s="227" t="s">
        <v>290</v>
      </c>
      <c r="C36" s="228">
        <f>'2.a önkormányzat részletes'!C91</f>
        <v>0</v>
      </c>
      <c r="D36" s="228">
        <f>'2.a önkormányzat részletes'!D91</f>
        <v>4364800</v>
      </c>
      <c r="E36" s="228">
        <f>'2.a önkormányzat részletes'!E91</f>
        <v>4364800</v>
      </c>
      <c r="F36" s="415">
        <f>'2.a önkormányzat részletes'!F91</f>
        <v>1</v>
      </c>
      <c r="G36" s="231" t="s">
        <v>100</v>
      </c>
      <c r="H36" s="227" t="s">
        <v>237</v>
      </c>
      <c r="I36" s="228">
        <f>SUM(I37:I42)</f>
        <v>57434544</v>
      </c>
      <c r="J36" s="228">
        <f t="shared" ref="J36:K36" si="12">SUM(J37:J42)</f>
        <v>45814334</v>
      </c>
      <c r="K36" s="228">
        <f t="shared" si="12"/>
        <v>42315228</v>
      </c>
      <c r="L36" s="415">
        <f>+K36/J36</f>
        <v>0.92362420896481878</v>
      </c>
    </row>
    <row r="37" spans="1:12" ht="30" x14ac:dyDescent="0.25">
      <c r="A37" s="85"/>
      <c r="B37" s="88" t="s">
        <v>291</v>
      </c>
      <c r="C37" s="101"/>
      <c r="D37" s="101"/>
      <c r="E37" s="101"/>
      <c r="F37" s="422"/>
      <c r="G37" s="71"/>
      <c r="H37" s="71" t="s">
        <v>208</v>
      </c>
      <c r="I37" s="105" t="s">
        <v>253</v>
      </c>
      <c r="J37" s="105">
        <f>+'2.a önkormányzat részletes'!J89</f>
        <v>4555700</v>
      </c>
      <c r="K37" s="105">
        <f>+'2.a önkormányzat részletes'!K89</f>
        <v>4555700</v>
      </c>
      <c r="L37" s="427">
        <f t="shared" ref="L37:L41" si="13">+K37/J37</f>
        <v>1</v>
      </c>
    </row>
    <row r="38" spans="1:12" ht="28.5" customHeight="1" x14ac:dyDescent="0.25">
      <c r="A38" s="85"/>
      <c r="B38" s="83" t="s">
        <v>292</v>
      </c>
      <c r="C38" s="101"/>
      <c r="D38" s="101"/>
      <c r="E38" s="101"/>
      <c r="F38" s="422"/>
      <c r="G38" s="71"/>
      <c r="H38" s="71" t="s">
        <v>210</v>
      </c>
      <c r="I38" s="100"/>
      <c r="J38" s="100"/>
      <c r="K38" s="100"/>
      <c r="L38" s="427"/>
    </row>
    <row r="39" spans="1:12" ht="19.5" customHeight="1" x14ac:dyDescent="0.25">
      <c r="A39" s="85"/>
      <c r="B39" s="88" t="s">
        <v>293</v>
      </c>
      <c r="C39" s="101">
        <f>+'2.a önkormányzat részletes'!C94</f>
        <v>0</v>
      </c>
      <c r="D39" s="101">
        <f>+'2.a önkormányzat részletes'!D94</f>
        <v>4364800</v>
      </c>
      <c r="E39" s="101">
        <f>+'2.a önkormányzat részletes'!E94</f>
        <v>4364800</v>
      </c>
      <c r="F39" s="422">
        <f>+'2.a önkormányzat részletes'!F94</f>
        <v>1</v>
      </c>
      <c r="G39" s="71"/>
      <c r="H39" s="71" t="s">
        <v>209</v>
      </c>
      <c r="I39" s="105">
        <f>'2.a önkormányzat részletes'!I91</f>
        <v>18076620</v>
      </c>
      <c r="J39" s="105">
        <f>'2.a önkormányzat részletes'!J91</f>
        <v>17554940</v>
      </c>
      <c r="K39" s="105">
        <f>'2.a önkormányzat részletes'!K91</f>
        <v>17554928</v>
      </c>
      <c r="L39" s="427">
        <f t="shared" si="13"/>
        <v>0.99999931643172801</v>
      </c>
    </row>
    <row r="40" spans="1:12" ht="19.5" customHeight="1" x14ac:dyDescent="0.25">
      <c r="A40" s="85"/>
      <c r="B40" s="88"/>
      <c r="C40" s="101"/>
      <c r="D40" s="101"/>
      <c r="E40" s="101"/>
      <c r="F40" s="422"/>
      <c r="G40" s="71"/>
      <c r="H40" s="71" t="s">
        <v>211</v>
      </c>
      <c r="I40" s="100"/>
      <c r="J40" s="100"/>
      <c r="K40" s="100"/>
      <c r="L40" s="427"/>
    </row>
    <row r="41" spans="1:12" ht="19.5" customHeight="1" x14ac:dyDescent="0.25">
      <c r="A41" s="85"/>
      <c r="B41" s="88"/>
      <c r="C41" s="99"/>
      <c r="D41" s="99"/>
      <c r="E41" s="99"/>
      <c r="F41" s="430"/>
      <c r="G41" s="71"/>
      <c r="H41" s="71" t="s">
        <v>376</v>
      </c>
      <c r="I41" s="105">
        <f>'2.a önkormányzat részletes'!I98</f>
        <v>13905000</v>
      </c>
      <c r="J41" s="105">
        <f>'2.a önkormányzat részletes'!J98</f>
        <v>20204600</v>
      </c>
      <c r="K41" s="105">
        <f>'2.a önkormányzat részletes'!K98</f>
        <v>20204600</v>
      </c>
      <c r="L41" s="427">
        <f t="shared" si="13"/>
        <v>1</v>
      </c>
    </row>
    <row r="42" spans="1:12" ht="19.5" customHeight="1" x14ac:dyDescent="0.25">
      <c r="A42" s="85"/>
      <c r="B42" s="88"/>
      <c r="C42" s="99"/>
      <c r="D42" s="99"/>
      <c r="E42" s="99"/>
      <c r="F42" s="430"/>
      <c r="G42" s="71"/>
      <c r="H42" s="71" t="s">
        <v>212</v>
      </c>
      <c r="I42" s="105">
        <f>'2.a önkormányzat részletes'!I103</f>
        <v>25452924</v>
      </c>
      <c r="J42" s="105">
        <f>'2.a önkormányzat részletes'!J103</f>
        <v>3499094</v>
      </c>
      <c r="K42" s="105">
        <f>'2.a önkormányzat részletes'!K103</f>
        <v>0</v>
      </c>
      <c r="L42" s="427"/>
    </row>
    <row r="43" spans="1:12" ht="20.25" customHeight="1" x14ac:dyDescent="0.25">
      <c r="A43" s="85"/>
      <c r="B43" s="88"/>
      <c r="C43" s="99"/>
      <c r="D43" s="99"/>
      <c r="E43" s="99"/>
      <c r="F43" s="430"/>
      <c r="G43" s="71"/>
      <c r="H43" s="71"/>
      <c r="I43" s="100"/>
      <c r="J43" s="100"/>
      <c r="K43" s="100"/>
      <c r="L43" s="420"/>
    </row>
    <row r="44" spans="1:12" ht="20.25" customHeight="1" x14ac:dyDescent="0.25">
      <c r="A44" s="306"/>
      <c r="B44" s="307" t="s">
        <v>192</v>
      </c>
      <c r="C44" s="308">
        <f>C45+C51+C57</f>
        <v>41186399</v>
      </c>
      <c r="D44" s="308">
        <f t="shared" ref="D44:F44" si="14">D45+D51+D57</f>
        <v>326487173</v>
      </c>
      <c r="E44" s="308">
        <f t="shared" si="14"/>
        <v>326487173</v>
      </c>
      <c r="F44" s="414">
        <f t="shared" si="14"/>
        <v>3</v>
      </c>
      <c r="G44" s="306"/>
      <c r="H44" s="307" t="s">
        <v>200</v>
      </c>
      <c r="I44" s="308">
        <f>I45+I53+I58+1</f>
        <v>427011093.08661419</v>
      </c>
      <c r="J44" s="308">
        <f>J45+J53+J58</f>
        <v>1102001133.7952757</v>
      </c>
      <c r="K44" s="308">
        <f>K45+K53+K58</f>
        <v>628811189</v>
      </c>
      <c r="L44" s="414">
        <f>+K44/J44</f>
        <v>0.5706084773564466</v>
      </c>
    </row>
    <row r="45" spans="1:12" ht="20.25" customHeight="1" x14ac:dyDescent="0.25">
      <c r="A45" s="231" t="s">
        <v>100</v>
      </c>
      <c r="B45" s="227" t="s">
        <v>260</v>
      </c>
      <c r="C45" s="228">
        <f>SUM(C46:C50)</f>
        <v>41186399</v>
      </c>
      <c r="D45" s="228">
        <f t="shared" ref="D45:E45" si="15">SUM(D46:D50)</f>
        <v>325703880</v>
      </c>
      <c r="E45" s="228">
        <f t="shared" si="15"/>
        <v>325703880</v>
      </c>
      <c r="F45" s="415">
        <f>+E45/D45</f>
        <v>1</v>
      </c>
      <c r="G45" s="231" t="s">
        <v>181</v>
      </c>
      <c r="H45" s="227" t="s">
        <v>217</v>
      </c>
      <c r="I45" s="228">
        <f>SUM(I46:I52)</f>
        <v>182634395.51181105</v>
      </c>
      <c r="J45" s="228">
        <f t="shared" ref="J45:K45" si="16">SUM(J46:J52)</f>
        <v>73720036.795275584</v>
      </c>
      <c r="K45" s="228">
        <f t="shared" si="16"/>
        <v>52439265</v>
      </c>
      <c r="L45" s="415">
        <f>+K45/J45</f>
        <v>0.71132988098780514</v>
      </c>
    </row>
    <row r="46" spans="1:12" ht="20.25" customHeight="1" x14ac:dyDescent="0.25">
      <c r="A46" s="85"/>
      <c r="B46" s="83" t="s">
        <v>261</v>
      </c>
      <c r="C46" s="101">
        <f>+'2.a önkormányzat részletes'!C106</f>
        <v>41186399</v>
      </c>
      <c r="D46" s="101">
        <f>+'2.a önkormányzat részletes'!D106</f>
        <v>14129638</v>
      </c>
      <c r="E46" s="101">
        <f>+'2.a önkormányzat részletes'!E106</f>
        <v>14129638</v>
      </c>
      <c r="F46" s="427">
        <f t="shared" ref="F46" si="17">+E46/D46</f>
        <v>1</v>
      </c>
      <c r="G46" s="85"/>
      <c r="H46" s="91" t="s">
        <v>218</v>
      </c>
      <c r="I46" s="95">
        <f>'2.a önkormányzat részletes'!I106</f>
        <v>9750000</v>
      </c>
      <c r="J46" s="95">
        <f>'2.a önkormányzat részletes'!J106</f>
        <v>9750000</v>
      </c>
      <c r="K46" s="95">
        <f>'2.a önkormányzat részletes'!K106</f>
        <v>1300000</v>
      </c>
      <c r="L46" s="427">
        <f t="shared" ref="L46:L52" si="18">+K46/J46</f>
        <v>0.13333333333333333</v>
      </c>
    </row>
    <row r="47" spans="1:12" ht="29.25" customHeight="1" x14ac:dyDescent="0.25">
      <c r="A47" s="85"/>
      <c r="B47" s="83" t="s">
        <v>262</v>
      </c>
      <c r="C47" s="101"/>
      <c r="D47" s="101"/>
      <c r="E47" s="101"/>
      <c r="F47" s="422"/>
      <c r="G47" s="85"/>
      <c r="H47" s="91" t="s">
        <v>219</v>
      </c>
      <c r="I47" s="95">
        <f>'2.a önkormányzat részletes'!I107</f>
        <v>147800134.71653545</v>
      </c>
      <c r="J47" s="95">
        <f>'2.a önkormányzat részletes'!J107</f>
        <v>50962239</v>
      </c>
      <c r="K47" s="95">
        <f>'2.a önkormányzat részletes'!K107</f>
        <v>47958769</v>
      </c>
      <c r="L47" s="427">
        <f t="shared" si="18"/>
        <v>0.9410647950534512</v>
      </c>
    </row>
    <row r="48" spans="1:12" ht="29.25" customHeight="1" x14ac:dyDescent="0.25">
      <c r="A48" s="85"/>
      <c r="B48" s="83" t="s">
        <v>263</v>
      </c>
      <c r="C48" s="101"/>
      <c r="D48" s="101"/>
      <c r="E48" s="101"/>
      <c r="F48" s="422"/>
      <c r="G48" s="71"/>
      <c r="H48" s="71" t="s">
        <v>220</v>
      </c>
      <c r="I48" s="95">
        <f>'2.a önkormányzat részletes'!I114</f>
        <v>0</v>
      </c>
      <c r="J48" s="95">
        <f>'2.a önkormányzat részletes'!J114</f>
        <v>0</v>
      </c>
      <c r="K48" s="95">
        <f>'2.a önkormányzat részletes'!K114</f>
        <v>0</v>
      </c>
      <c r="L48" s="427"/>
    </row>
    <row r="49" spans="1:12" ht="29.25" customHeight="1" x14ac:dyDescent="0.25">
      <c r="A49" s="85"/>
      <c r="B49" s="83" t="s">
        <v>264</v>
      </c>
      <c r="C49" s="101"/>
      <c r="D49" s="101"/>
      <c r="E49" s="101"/>
      <c r="F49" s="422"/>
      <c r="G49" s="71"/>
      <c r="H49" s="71" t="s">
        <v>221</v>
      </c>
      <c r="I49" s="95">
        <f>'2.a önkormányzat részletes'!I115</f>
        <v>7897630.7952755904</v>
      </c>
      <c r="J49" s="95">
        <f>'2.a önkormányzat részletes'!J115</f>
        <v>7557630.7952755904</v>
      </c>
      <c r="K49" s="95">
        <f>'2.a önkormányzat részletes'!K115</f>
        <v>597086</v>
      </c>
      <c r="L49" s="427">
        <f t="shared" si="18"/>
        <v>7.9004388567545408E-2</v>
      </c>
    </row>
    <row r="50" spans="1:12" ht="21" customHeight="1" x14ac:dyDescent="0.25">
      <c r="A50" s="85"/>
      <c r="B50" s="83" t="s">
        <v>265</v>
      </c>
      <c r="C50" s="101"/>
      <c r="D50" s="101">
        <f>+'2.a önkormányzat részletes'!D110</f>
        <v>311574242</v>
      </c>
      <c r="E50" s="101">
        <f>+'2.a önkormányzat részletes'!E110</f>
        <v>311574242</v>
      </c>
      <c r="F50" s="427">
        <f t="shared" ref="F50" si="19">+E50/D50</f>
        <v>1</v>
      </c>
      <c r="G50" s="71"/>
      <c r="H50" s="71" t="s">
        <v>222</v>
      </c>
      <c r="I50" s="95">
        <f>'2.a önkormányzat részletes'!I120</f>
        <v>0</v>
      </c>
      <c r="J50" s="95">
        <f>'2.a önkormányzat részletes'!J120</f>
        <v>0</v>
      </c>
      <c r="K50" s="95">
        <f>'2.a önkormányzat részletes'!K120</f>
        <v>0</v>
      </c>
      <c r="L50" s="427"/>
    </row>
    <row r="51" spans="1:12" ht="20.25" customHeight="1" x14ac:dyDescent="0.25">
      <c r="A51" s="231" t="s">
        <v>181</v>
      </c>
      <c r="B51" s="227" t="s">
        <v>284</v>
      </c>
      <c r="C51" s="228">
        <f>SUM(C52:C56)</f>
        <v>0</v>
      </c>
      <c r="D51" s="228">
        <f t="shared" ref="D51:F51" si="20">SUM(D52:D56)</f>
        <v>283293</v>
      </c>
      <c r="E51" s="228">
        <f t="shared" si="20"/>
        <v>283293</v>
      </c>
      <c r="F51" s="415">
        <f t="shared" si="20"/>
        <v>1</v>
      </c>
      <c r="G51" s="71"/>
      <c r="H51" s="71" t="s">
        <v>223</v>
      </c>
      <c r="I51" s="95">
        <f>'2.a önkormányzat részletes'!I121</f>
        <v>0</v>
      </c>
      <c r="J51" s="95">
        <f>'2.a önkormányzat részletes'!J121</f>
        <v>0</v>
      </c>
      <c r="K51" s="95">
        <f>'2.a önkormányzat részletes'!K121</f>
        <v>0</v>
      </c>
      <c r="L51" s="427"/>
    </row>
    <row r="52" spans="1:12" ht="20.25" customHeight="1" x14ac:dyDescent="0.25">
      <c r="A52" s="85"/>
      <c r="B52" s="88" t="s">
        <v>285</v>
      </c>
      <c r="C52" s="101"/>
      <c r="D52" s="101"/>
      <c r="E52" s="101"/>
      <c r="F52" s="422"/>
      <c r="G52" s="71"/>
      <c r="H52" s="71" t="s">
        <v>224</v>
      </c>
      <c r="I52" s="95">
        <f>'2.a önkormányzat részletes'!I122</f>
        <v>17186630</v>
      </c>
      <c r="J52" s="95">
        <f>'2.a önkormányzat részletes'!J122</f>
        <v>5450167</v>
      </c>
      <c r="K52" s="95">
        <f>'2.a önkormányzat részletes'!K122</f>
        <v>2583410</v>
      </c>
      <c r="L52" s="427">
        <f t="shared" si="18"/>
        <v>0.47400565890916735</v>
      </c>
    </row>
    <row r="53" spans="1:12" ht="20.25" customHeight="1" x14ac:dyDescent="0.25">
      <c r="A53" s="85"/>
      <c r="B53" s="88" t="s">
        <v>286</v>
      </c>
      <c r="C53" s="101">
        <f>'2.a önkormányzat részletes'!C123</f>
        <v>0</v>
      </c>
      <c r="D53" s="101">
        <f>'2.a önkormányzat részletes'!D123</f>
        <v>283293</v>
      </c>
      <c r="E53" s="101">
        <f>'2.a önkormányzat részletes'!E123</f>
        <v>283293</v>
      </c>
      <c r="F53" s="422">
        <f>'2.a önkormányzat részletes'!F123</f>
        <v>1</v>
      </c>
      <c r="G53" s="231" t="s">
        <v>191</v>
      </c>
      <c r="H53" s="227" t="s">
        <v>225</v>
      </c>
      <c r="I53" s="228">
        <f>SUM(I54:I57)</f>
        <v>234376696.57480314</v>
      </c>
      <c r="J53" s="228">
        <f t="shared" ref="J53:K53" si="21">SUM(J54:J57)</f>
        <v>1004885617</v>
      </c>
      <c r="K53" s="228">
        <f t="shared" si="21"/>
        <v>552976444</v>
      </c>
      <c r="L53" s="415">
        <f>+K53/J53</f>
        <v>0.55028794784710311</v>
      </c>
    </row>
    <row r="54" spans="1:12" ht="20.25" customHeight="1" x14ac:dyDescent="0.25">
      <c r="A54" s="85"/>
      <c r="B54" s="88" t="s">
        <v>287</v>
      </c>
      <c r="C54" s="101"/>
      <c r="D54" s="101"/>
      <c r="E54" s="101"/>
      <c r="F54" s="422"/>
      <c r="G54" s="71"/>
      <c r="H54" s="71" t="s">
        <v>639</v>
      </c>
      <c r="I54" s="98">
        <f>'2.a önkormányzat részletes'!I124</f>
        <v>185505272.57480314</v>
      </c>
      <c r="J54" s="98">
        <f>'2.a önkormányzat részletes'!J124</f>
        <v>936050473</v>
      </c>
      <c r="K54" s="98">
        <f>'2.a önkormányzat részletes'!K124</f>
        <v>486861378</v>
      </c>
      <c r="L54" s="427">
        <f t="shared" ref="L54:L57" si="22">+K54/J54</f>
        <v>0.5201229976836943</v>
      </c>
    </row>
    <row r="55" spans="1:12" ht="20.25" customHeight="1" x14ac:dyDescent="0.25">
      <c r="A55" s="85"/>
      <c r="B55" s="88" t="s">
        <v>288</v>
      </c>
      <c r="C55" s="101">
        <f>'2.a önkormányzat részletes'!C132</f>
        <v>0</v>
      </c>
      <c r="D55" s="101">
        <f>'2.a önkormányzat részletes'!D132</f>
        <v>0</v>
      </c>
      <c r="E55" s="101">
        <f>'2.a önkormányzat részletes'!E132</f>
        <v>0</v>
      </c>
      <c r="F55" s="422"/>
      <c r="G55" s="71"/>
      <c r="H55" s="71" t="s">
        <v>227</v>
      </c>
      <c r="I55" s="98">
        <f>'2.a önkormányzat részletes'!I132</f>
        <v>0</v>
      </c>
      <c r="J55" s="98">
        <f>'2.a önkormányzat részletes'!J132</f>
        <v>0</v>
      </c>
      <c r="K55" s="98">
        <f>'2.a önkormányzat részletes'!K132</f>
        <v>0</v>
      </c>
      <c r="L55" s="427"/>
    </row>
    <row r="56" spans="1:12" ht="20.25" customHeight="1" x14ac:dyDescent="0.25">
      <c r="A56" s="85"/>
      <c r="B56" s="88" t="s">
        <v>289</v>
      </c>
      <c r="C56" s="101"/>
      <c r="D56" s="101"/>
      <c r="E56" s="101"/>
      <c r="F56" s="422"/>
      <c r="G56" s="71"/>
      <c r="H56" s="71" t="s">
        <v>228</v>
      </c>
      <c r="I56" s="98">
        <f>'2.a önkormányzat részletes'!I133</f>
        <v>0</v>
      </c>
      <c r="J56" s="98">
        <f>'2.a önkormányzat részletes'!J133</f>
        <v>1181102</v>
      </c>
      <c r="K56" s="98">
        <f>'2.a önkormányzat részletes'!K133</f>
        <v>1181102</v>
      </c>
      <c r="L56" s="427">
        <f t="shared" si="22"/>
        <v>1</v>
      </c>
    </row>
    <row r="57" spans="1:12" ht="20.25" customHeight="1" x14ac:dyDescent="0.25">
      <c r="A57" s="231" t="s">
        <v>191</v>
      </c>
      <c r="B57" s="227" t="s">
        <v>294</v>
      </c>
      <c r="C57" s="228">
        <f>C58+C59+C60</f>
        <v>0</v>
      </c>
      <c r="D57" s="228">
        <f t="shared" ref="D57:F57" si="23">D58+D59+D60</f>
        <v>500000</v>
      </c>
      <c r="E57" s="228">
        <f t="shared" si="23"/>
        <v>500000</v>
      </c>
      <c r="F57" s="415">
        <f t="shared" si="23"/>
        <v>1</v>
      </c>
      <c r="G57" s="71"/>
      <c r="H57" s="71" t="s">
        <v>229</v>
      </c>
      <c r="I57" s="98">
        <f>'2.a önkormányzat részletes'!I134</f>
        <v>48871424</v>
      </c>
      <c r="J57" s="98">
        <f>'2.a önkormányzat részletes'!J134</f>
        <v>67654042</v>
      </c>
      <c r="K57" s="98">
        <f>'2.a önkormányzat részletes'!K134</f>
        <v>64933964</v>
      </c>
      <c r="L57" s="427">
        <f t="shared" si="22"/>
        <v>0.95979430172110047</v>
      </c>
    </row>
    <row r="58" spans="1:12" ht="29.25" customHeight="1" x14ac:dyDescent="0.25">
      <c r="A58" s="85"/>
      <c r="B58" s="88" t="s">
        <v>295</v>
      </c>
      <c r="C58" s="101"/>
      <c r="D58" s="101"/>
      <c r="E58" s="101"/>
      <c r="F58" s="422"/>
      <c r="G58" s="231" t="s">
        <v>199</v>
      </c>
      <c r="H58" s="227" t="s">
        <v>230</v>
      </c>
      <c r="I58" s="228">
        <f>'2.a önkormányzat részletes'!I135</f>
        <v>10000000</v>
      </c>
      <c r="J58" s="228">
        <f>'2.a önkormányzat részletes'!J135</f>
        <v>23395480</v>
      </c>
      <c r="K58" s="228">
        <f>'2.a önkormányzat részletes'!K135</f>
        <v>23395480</v>
      </c>
      <c r="L58" s="415">
        <f>+K58/J58</f>
        <v>1</v>
      </c>
    </row>
    <row r="59" spans="1:12" ht="29.25" customHeight="1" x14ac:dyDescent="0.25">
      <c r="A59" s="85"/>
      <c r="B59" s="83" t="s">
        <v>296</v>
      </c>
      <c r="C59" s="101"/>
      <c r="D59" s="101"/>
      <c r="E59" s="101"/>
      <c r="F59" s="422"/>
      <c r="G59" s="71"/>
      <c r="H59" s="71"/>
      <c r="I59" s="98"/>
      <c r="J59" s="98"/>
      <c r="K59" s="98"/>
      <c r="L59" s="421"/>
    </row>
    <row r="60" spans="1:12" ht="21" customHeight="1" x14ac:dyDescent="0.25">
      <c r="A60" s="85"/>
      <c r="B60" s="88" t="s">
        <v>1208</v>
      </c>
      <c r="C60" s="101">
        <f>'2.a önkormányzat részletes'!C137</f>
        <v>0</v>
      </c>
      <c r="D60" s="101">
        <f>+'2.a önkormányzat részletes'!D136</f>
        <v>500000</v>
      </c>
      <c r="E60" s="101">
        <f>+'2.a önkormányzat részletes'!E136</f>
        <v>500000</v>
      </c>
      <c r="F60" s="422">
        <f>+E60/D60</f>
        <v>1</v>
      </c>
      <c r="G60" s="71"/>
      <c r="H60" s="71"/>
      <c r="I60" s="98"/>
      <c r="J60" s="98"/>
      <c r="K60" s="98"/>
      <c r="L60" s="421"/>
    </row>
    <row r="61" spans="1:12" ht="20.25" customHeight="1" x14ac:dyDescent="0.25">
      <c r="A61" s="306"/>
      <c r="B61" s="307" t="s">
        <v>298</v>
      </c>
      <c r="C61" s="308">
        <f>C73+C84</f>
        <v>641674818</v>
      </c>
      <c r="D61" s="308">
        <f t="shared" ref="D61:E61" si="24">D73+D84</f>
        <v>1182516958</v>
      </c>
      <c r="E61" s="308">
        <f t="shared" si="24"/>
        <v>1182516958</v>
      </c>
      <c r="F61" s="414">
        <f t="shared" ref="F61" si="25">F73+F84</f>
        <v>2</v>
      </c>
      <c r="G61" s="306"/>
      <c r="H61" s="307" t="s">
        <v>299</v>
      </c>
      <c r="I61" s="308">
        <f>I71+I83</f>
        <v>474752547</v>
      </c>
      <c r="J61" s="308">
        <f t="shared" ref="J61:K61" si="26">J71+J83</f>
        <v>662459877</v>
      </c>
      <c r="K61" s="308">
        <f t="shared" si="26"/>
        <v>615972976</v>
      </c>
      <c r="L61" s="414">
        <f>+K61/J61</f>
        <v>0.92982684293195317</v>
      </c>
    </row>
    <row r="62" spans="1:12" ht="21" customHeight="1" x14ac:dyDescent="0.25">
      <c r="A62" s="75"/>
      <c r="B62" s="93" t="s">
        <v>300</v>
      </c>
      <c r="C62" s="101"/>
      <c r="D62" s="101"/>
      <c r="E62" s="101"/>
      <c r="F62" s="422"/>
      <c r="G62" s="75"/>
      <c r="H62" s="93" t="s">
        <v>231</v>
      </c>
      <c r="I62" s="101"/>
      <c r="J62" s="101"/>
      <c r="K62" s="101"/>
      <c r="L62" s="422"/>
    </row>
    <row r="63" spans="1:12" ht="20.25" customHeight="1" x14ac:dyDescent="0.25">
      <c r="A63" s="75"/>
      <c r="B63" s="93" t="s">
        <v>301</v>
      </c>
      <c r="C63" s="101"/>
      <c r="D63" s="101"/>
      <c r="E63" s="101"/>
      <c r="F63" s="422"/>
      <c r="G63" s="75"/>
      <c r="H63" s="93" t="s">
        <v>232</v>
      </c>
      <c r="I63" s="101"/>
      <c r="J63" s="101"/>
      <c r="K63" s="101"/>
      <c r="L63" s="422"/>
    </row>
    <row r="64" spans="1:12" ht="20.25" customHeight="1" x14ac:dyDescent="0.25">
      <c r="A64" s="75"/>
      <c r="B64" s="93" t="s">
        <v>302</v>
      </c>
      <c r="C64" s="101"/>
      <c r="D64" s="101"/>
      <c r="E64" s="101"/>
      <c r="F64" s="422"/>
      <c r="G64" s="75"/>
      <c r="H64" s="93" t="s">
        <v>233</v>
      </c>
      <c r="I64" s="101"/>
      <c r="J64" s="101"/>
      <c r="K64" s="101"/>
      <c r="L64" s="422"/>
    </row>
    <row r="65" spans="1:12" ht="20.25" customHeight="1" x14ac:dyDescent="0.25">
      <c r="A65" s="75"/>
      <c r="B65" s="94" t="s">
        <v>303</v>
      </c>
      <c r="C65" s="101">
        <f>C62+C63+C64</f>
        <v>0</v>
      </c>
      <c r="D65" s="101">
        <f t="shared" ref="D65:F65" si="27">D62+D63+D64</f>
        <v>0</v>
      </c>
      <c r="E65" s="101">
        <f t="shared" si="27"/>
        <v>0</v>
      </c>
      <c r="F65" s="422">
        <f t="shared" si="27"/>
        <v>0</v>
      </c>
      <c r="G65" s="75"/>
      <c r="H65" s="94" t="s">
        <v>243</v>
      </c>
      <c r="I65" s="101">
        <f>I62+I63+I64</f>
        <v>0</v>
      </c>
      <c r="J65" s="101">
        <f t="shared" ref="J65:K65" si="28">J62+J63+J64</f>
        <v>0</v>
      </c>
      <c r="K65" s="101">
        <f t="shared" si="28"/>
        <v>0</v>
      </c>
      <c r="L65" s="427"/>
    </row>
    <row r="66" spans="1:12" ht="20.25" customHeight="1" x14ac:dyDescent="0.25">
      <c r="A66" s="75"/>
      <c r="B66" s="69" t="s">
        <v>304</v>
      </c>
      <c r="C66" s="101">
        <f>+'2.a önkormányzat részletes'!C143</f>
        <v>280000000</v>
      </c>
      <c r="D66" s="101">
        <f>+'2.a önkormányzat részletes'!D143</f>
        <v>210010000</v>
      </c>
      <c r="E66" s="101">
        <f>+'2.a önkormányzat részletes'!E143</f>
        <v>210010000</v>
      </c>
      <c r="F66" s="427">
        <f t="shared" ref="F66:F70" si="29">+E66/D66</f>
        <v>1</v>
      </c>
      <c r="G66" s="75"/>
      <c r="H66" s="93" t="s">
        <v>235</v>
      </c>
      <c r="I66" s="101">
        <f>+'2.a önkormányzat részletes'!I143</f>
        <v>140000000</v>
      </c>
      <c r="J66" s="101">
        <f>+'2.a önkormányzat részletes'!J143</f>
        <v>140000000</v>
      </c>
      <c r="K66" s="101">
        <f>+'2.a önkormányzat részletes'!K143</f>
        <v>140000000</v>
      </c>
      <c r="L66" s="427">
        <f t="shared" ref="L66:L71" si="30">+K66/J66</f>
        <v>1</v>
      </c>
    </row>
    <row r="67" spans="1:12" ht="20.25" customHeight="1" x14ac:dyDescent="0.25">
      <c r="A67" s="75"/>
      <c r="B67" s="69" t="s">
        <v>1755</v>
      </c>
      <c r="C67" s="101"/>
      <c r="D67" s="101">
        <f>+'2.a önkormányzat részletes'!D144</f>
        <v>30000000</v>
      </c>
      <c r="E67" s="101">
        <f>+'2.a önkormányzat részletes'!E144</f>
        <v>30000000</v>
      </c>
      <c r="F67" s="427">
        <f t="shared" si="29"/>
        <v>1</v>
      </c>
      <c r="G67" s="75"/>
      <c r="H67" s="93" t="s">
        <v>1795</v>
      </c>
      <c r="I67" s="101">
        <f>+'2.a önkormányzat részletes'!I144</f>
        <v>0</v>
      </c>
      <c r="J67" s="101">
        <f>+'2.a önkormányzat részletes'!J144</f>
        <v>199450000</v>
      </c>
      <c r="K67" s="101">
        <f>+'2.a önkormányzat részletes'!K144</f>
        <v>199450000</v>
      </c>
      <c r="L67" s="427">
        <f t="shared" si="30"/>
        <v>1</v>
      </c>
    </row>
    <row r="68" spans="1:12" ht="20.25" customHeight="1" x14ac:dyDescent="0.25">
      <c r="A68" s="75"/>
      <c r="B68" s="70" t="s">
        <v>306</v>
      </c>
      <c r="C68" s="101">
        <f>C66+C67</f>
        <v>280000000</v>
      </c>
      <c r="D68" s="101">
        <f t="shared" ref="D68:E68" si="31">D66+D67</f>
        <v>240010000</v>
      </c>
      <c r="E68" s="101">
        <f t="shared" si="31"/>
        <v>240010000</v>
      </c>
      <c r="F68" s="427">
        <f t="shared" si="29"/>
        <v>1</v>
      </c>
      <c r="G68" s="75"/>
      <c r="H68" s="94" t="s">
        <v>244</v>
      </c>
      <c r="I68" s="101">
        <f>I66+I67</f>
        <v>140000000</v>
      </c>
      <c r="J68" s="101">
        <f t="shared" ref="J68:K68" si="32">J66+J67</f>
        <v>339450000</v>
      </c>
      <c r="K68" s="101">
        <f t="shared" si="32"/>
        <v>339450000</v>
      </c>
      <c r="L68" s="427">
        <f t="shared" si="30"/>
        <v>1</v>
      </c>
    </row>
    <row r="69" spans="1:12" ht="30" x14ac:dyDescent="0.25">
      <c r="A69" s="75"/>
      <c r="B69" s="70" t="s">
        <v>307</v>
      </c>
      <c r="C69" s="101">
        <f>'2.a önkormányzat részletes'!C146</f>
        <v>3499094</v>
      </c>
      <c r="D69" s="101">
        <f>'2.a önkormányzat részletes'!D146</f>
        <v>3499094</v>
      </c>
      <c r="E69" s="101">
        <f>'2.a önkormányzat részletes'!E146</f>
        <v>3499094</v>
      </c>
      <c r="F69" s="427">
        <f t="shared" si="29"/>
        <v>1</v>
      </c>
      <c r="G69" s="75"/>
      <c r="H69" s="94" t="s">
        <v>740</v>
      </c>
      <c r="I69" s="101">
        <f>+'2.a önkormányzat részletes'!I146</f>
        <v>4296852</v>
      </c>
      <c r="J69" s="101">
        <f>+'2.a önkormányzat részletes'!J146</f>
        <v>8189821</v>
      </c>
      <c r="K69" s="101">
        <f>+'2.a önkormányzat részletes'!K146</f>
        <v>8189821</v>
      </c>
      <c r="L69" s="427">
        <f t="shared" si="30"/>
        <v>1</v>
      </c>
    </row>
    <row r="70" spans="1:12" ht="20.25" customHeight="1" x14ac:dyDescent="0.25">
      <c r="A70" s="75"/>
      <c r="B70" s="70" t="s">
        <v>1792</v>
      </c>
      <c r="C70" s="101">
        <f>'2.a önkormányzat részletes'!C147</f>
        <v>4296852</v>
      </c>
      <c r="D70" s="101">
        <f>'2.a önkormányzat részletes'!D147</f>
        <v>6662777</v>
      </c>
      <c r="E70" s="101">
        <f>'2.a önkormányzat részletes'!E147</f>
        <v>6662777</v>
      </c>
      <c r="F70" s="427">
        <f t="shared" si="29"/>
        <v>1</v>
      </c>
      <c r="G70" s="75"/>
      <c r="H70" s="94" t="s">
        <v>236</v>
      </c>
      <c r="I70" s="101">
        <f>'2.a önkormányzat részletes'!I147</f>
        <v>298871815</v>
      </c>
      <c r="J70" s="101">
        <f>'2.a önkormányzat részletes'!J147</f>
        <v>299451176</v>
      </c>
      <c r="K70" s="101">
        <f>'2.a önkormányzat részletes'!K147</f>
        <v>263221073</v>
      </c>
      <c r="L70" s="427">
        <f t="shared" si="30"/>
        <v>0.87901165230354616</v>
      </c>
    </row>
    <row r="71" spans="1:12" ht="20.25" customHeight="1" x14ac:dyDescent="0.25">
      <c r="A71" s="75"/>
      <c r="B71" s="70" t="s">
        <v>308</v>
      </c>
      <c r="C71" s="101"/>
      <c r="D71" s="101"/>
      <c r="E71" s="101"/>
      <c r="F71" s="427"/>
      <c r="G71" s="75"/>
      <c r="H71" s="75" t="s">
        <v>245</v>
      </c>
      <c r="I71" s="109">
        <f>I65+I68+I70+I69</f>
        <v>443168667</v>
      </c>
      <c r="J71" s="109">
        <f t="shared" ref="J71:K71" si="33">J65+J68+J70+J69</f>
        <v>647090997</v>
      </c>
      <c r="K71" s="109">
        <f t="shared" si="33"/>
        <v>610860894</v>
      </c>
      <c r="L71" s="437">
        <f t="shared" si="30"/>
        <v>0.94401080656666903</v>
      </c>
    </row>
    <row r="72" spans="1:12" ht="20.25" customHeight="1" x14ac:dyDescent="0.25">
      <c r="A72" s="75"/>
      <c r="B72" s="70" t="s">
        <v>739</v>
      </c>
      <c r="C72" s="101">
        <f>+'2.a önkormányzat részletes'!C149</f>
        <v>0</v>
      </c>
      <c r="D72" s="101">
        <f>+'2.a önkormányzat részletes'!D149</f>
        <v>0</v>
      </c>
      <c r="E72" s="101">
        <f>+'2.a önkormányzat részletes'!E149</f>
        <v>0</v>
      </c>
      <c r="F72" s="427"/>
      <c r="G72" s="75"/>
      <c r="H72" s="75"/>
      <c r="I72" s="109"/>
      <c r="J72" s="109"/>
      <c r="K72" s="109"/>
      <c r="L72" s="423"/>
    </row>
    <row r="73" spans="1:12" ht="20.25" customHeight="1" x14ac:dyDescent="0.25">
      <c r="A73" s="75"/>
      <c r="B73" s="80" t="s">
        <v>309</v>
      </c>
      <c r="C73" s="109">
        <f>C65+C68+C70+C71+C72+C69</f>
        <v>287795946</v>
      </c>
      <c r="D73" s="109">
        <f t="shared" ref="D73:E73" si="34">D65+D68+D70+D71+D72+D69</f>
        <v>250171871</v>
      </c>
      <c r="E73" s="109">
        <f t="shared" si="34"/>
        <v>250171871</v>
      </c>
      <c r="F73" s="437">
        <f t="shared" ref="F73" si="35">+E73/D73</f>
        <v>1</v>
      </c>
      <c r="G73" s="75"/>
      <c r="H73" s="94"/>
      <c r="I73" s="101"/>
      <c r="J73" s="101"/>
      <c r="K73" s="101"/>
      <c r="L73" s="422"/>
    </row>
    <row r="74" spans="1:12" ht="20.25" customHeight="1" x14ac:dyDescent="0.25">
      <c r="A74" s="89"/>
      <c r="B74" s="79"/>
      <c r="C74" s="102"/>
      <c r="D74" s="102"/>
      <c r="E74" s="102"/>
      <c r="F74" s="424"/>
      <c r="G74" s="89"/>
      <c r="H74" s="89"/>
      <c r="I74" s="102"/>
      <c r="J74" s="102"/>
      <c r="K74" s="102"/>
      <c r="L74" s="424"/>
    </row>
    <row r="75" spans="1:12" ht="20.25" customHeight="1" x14ac:dyDescent="0.25">
      <c r="A75" s="75"/>
      <c r="B75" s="93" t="s">
        <v>300</v>
      </c>
      <c r="C75" s="101"/>
      <c r="D75" s="101"/>
      <c r="E75" s="101"/>
      <c r="F75" s="422"/>
      <c r="G75" s="75"/>
      <c r="H75" s="93" t="s">
        <v>231</v>
      </c>
      <c r="I75" s="101">
        <f>'2.a önkormányzat részletes'!I152</f>
        <v>0</v>
      </c>
      <c r="J75" s="101">
        <f>'2.a önkormányzat részletes'!J152</f>
        <v>0</v>
      </c>
      <c r="K75" s="101">
        <f>'2.a önkormányzat részletes'!K152</f>
        <v>0</v>
      </c>
      <c r="L75" s="422"/>
    </row>
    <row r="76" spans="1:12" ht="20.25" customHeight="1" x14ac:dyDescent="0.25">
      <c r="A76" s="75"/>
      <c r="B76" s="93" t="s">
        <v>301</v>
      </c>
      <c r="C76" s="101"/>
      <c r="D76" s="101"/>
      <c r="E76" s="101"/>
      <c r="F76" s="422"/>
      <c r="G76" s="75"/>
      <c r="H76" s="93" t="s">
        <v>232</v>
      </c>
      <c r="I76" s="101"/>
      <c r="J76" s="101"/>
      <c r="K76" s="101"/>
      <c r="L76" s="422"/>
    </row>
    <row r="77" spans="1:12" ht="20.25" customHeight="1" x14ac:dyDescent="0.25">
      <c r="A77" s="75"/>
      <c r="B77" s="93" t="s">
        <v>302</v>
      </c>
      <c r="C77" s="101"/>
      <c r="D77" s="101"/>
      <c r="E77" s="101"/>
      <c r="F77" s="422"/>
      <c r="G77" s="75"/>
      <c r="H77" s="93" t="s">
        <v>233</v>
      </c>
      <c r="I77" s="101"/>
      <c r="J77" s="101"/>
      <c r="K77" s="101"/>
      <c r="L77" s="422"/>
    </row>
    <row r="78" spans="1:12" ht="20.25" customHeight="1" x14ac:dyDescent="0.25">
      <c r="A78" s="75"/>
      <c r="B78" s="94" t="s">
        <v>303</v>
      </c>
      <c r="C78" s="101">
        <f>C75+C76+C77</f>
        <v>0</v>
      </c>
      <c r="D78" s="101">
        <f t="shared" ref="D78:E78" si="36">D75+D76+D77</f>
        <v>0</v>
      </c>
      <c r="E78" s="101">
        <f t="shared" si="36"/>
        <v>0</v>
      </c>
      <c r="F78" s="427"/>
      <c r="G78" s="75"/>
      <c r="H78" s="94" t="s">
        <v>243</v>
      </c>
      <c r="I78" s="101">
        <f>I75+I76+I77</f>
        <v>0</v>
      </c>
      <c r="J78" s="101">
        <f t="shared" ref="J78:K78" si="37">J75+J76+J77</f>
        <v>0</v>
      </c>
      <c r="K78" s="101">
        <f t="shared" si="37"/>
        <v>0</v>
      </c>
      <c r="L78" s="422"/>
    </row>
    <row r="79" spans="1:12" ht="20.25" customHeight="1" x14ac:dyDescent="0.25">
      <c r="A79" s="75"/>
      <c r="B79" s="69" t="s">
        <v>304</v>
      </c>
      <c r="C79" s="101"/>
      <c r="D79" s="101"/>
      <c r="E79" s="101"/>
      <c r="F79" s="427"/>
      <c r="G79" s="75"/>
      <c r="H79" s="93" t="s">
        <v>235</v>
      </c>
      <c r="I79" s="101"/>
      <c r="J79" s="101"/>
      <c r="K79" s="101"/>
      <c r="L79" s="422"/>
    </row>
    <row r="80" spans="1:12" ht="20.25" customHeight="1" x14ac:dyDescent="0.25">
      <c r="A80" s="75"/>
      <c r="B80" s="69" t="s">
        <v>305</v>
      </c>
      <c r="C80" s="101"/>
      <c r="D80" s="101"/>
      <c r="E80" s="101"/>
      <c r="F80" s="427"/>
      <c r="G80" s="75"/>
      <c r="H80" s="93" t="s">
        <v>1795</v>
      </c>
      <c r="I80" s="101"/>
      <c r="J80" s="101"/>
      <c r="K80" s="101"/>
      <c r="L80" s="422"/>
    </row>
    <row r="81" spans="1:12" ht="20.25" customHeight="1" x14ac:dyDescent="0.25">
      <c r="A81" s="75"/>
      <c r="B81" s="70" t="s">
        <v>306</v>
      </c>
      <c r="C81" s="101">
        <f>C79+C80</f>
        <v>0</v>
      </c>
      <c r="D81" s="101">
        <f t="shared" ref="D81:E81" si="38">D79+D80</f>
        <v>0</v>
      </c>
      <c r="E81" s="101">
        <f t="shared" si="38"/>
        <v>0</v>
      </c>
      <c r="F81" s="427"/>
      <c r="G81" s="75"/>
      <c r="H81" s="94" t="s">
        <v>244</v>
      </c>
      <c r="I81" s="101">
        <f>I79+I80</f>
        <v>0</v>
      </c>
      <c r="J81" s="101">
        <f t="shared" ref="J81:K81" si="39">J79+J80</f>
        <v>0</v>
      </c>
      <c r="K81" s="101">
        <f t="shared" si="39"/>
        <v>0</v>
      </c>
      <c r="L81" s="422"/>
    </row>
    <row r="82" spans="1:12" ht="20.25" customHeight="1" x14ac:dyDescent="0.25">
      <c r="A82" s="75"/>
      <c r="B82" s="70" t="s">
        <v>311</v>
      </c>
      <c r="C82" s="101">
        <f>'2.a önkormányzat részletes'!C159</f>
        <v>353878872</v>
      </c>
      <c r="D82" s="101">
        <f>'2.a önkormányzat részletes'!D159</f>
        <v>932345087</v>
      </c>
      <c r="E82" s="101">
        <f>'2.a önkormányzat részletes'!E159</f>
        <v>932345087</v>
      </c>
      <c r="F82" s="427">
        <f t="shared" ref="F82:F84" si="40">+E82/D82</f>
        <v>1</v>
      </c>
      <c r="G82" s="75"/>
      <c r="H82" s="94" t="s">
        <v>236</v>
      </c>
      <c r="I82" s="101">
        <f>'2.a önkormányzat részletes'!I159</f>
        <v>31583880</v>
      </c>
      <c r="J82" s="101">
        <f>'2.a önkormányzat részletes'!J159</f>
        <v>15368880</v>
      </c>
      <c r="K82" s="101">
        <f>'2.a önkormányzat részletes'!K159</f>
        <v>5112082</v>
      </c>
      <c r="L82" s="427">
        <f>+K82/J82</f>
        <v>0.33262553940170003</v>
      </c>
    </row>
    <row r="83" spans="1:12" ht="20.25" customHeight="1" x14ac:dyDescent="0.25">
      <c r="A83" s="75"/>
      <c r="B83" s="70" t="s">
        <v>308</v>
      </c>
      <c r="C83" s="101">
        <f>'2.a önkormányzat részletes'!C160</f>
        <v>0</v>
      </c>
      <c r="D83" s="101">
        <f>'2.a önkormányzat részletes'!D160</f>
        <v>0</v>
      </c>
      <c r="E83" s="101">
        <f>'2.a önkormányzat részletes'!E160</f>
        <v>0</v>
      </c>
      <c r="F83" s="427"/>
      <c r="G83" s="75"/>
      <c r="H83" s="75" t="s">
        <v>246</v>
      </c>
      <c r="I83" s="109">
        <f>I78+I81+I82</f>
        <v>31583880</v>
      </c>
      <c r="J83" s="109">
        <f t="shared" ref="J83:K83" si="41">J78+J81+J82</f>
        <v>15368880</v>
      </c>
      <c r="K83" s="109">
        <f t="shared" si="41"/>
        <v>5112082</v>
      </c>
      <c r="L83" s="437">
        <f t="shared" ref="L83" si="42">+K83/J83</f>
        <v>0.33262553940170003</v>
      </c>
    </row>
    <row r="84" spans="1:12" ht="20.25" customHeight="1" x14ac:dyDescent="0.25">
      <c r="A84" s="107"/>
      <c r="B84" s="80" t="s">
        <v>310</v>
      </c>
      <c r="C84" s="109">
        <f>C78+C81+C82+C83</f>
        <v>353878872</v>
      </c>
      <c r="D84" s="109">
        <f t="shared" ref="D84:E84" si="43">D78+D81+D82+D83</f>
        <v>932345087</v>
      </c>
      <c r="E84" s="109">
        <f t="shared" si="43"/>
        <v>932345087</v>
      </c>
      <c r="F84" s="437">
        <f t="shared" si="40"/>
        <v>1</v>
      </c>
      <c r="G84" s="107"/>
      <c r="H84" s="94"/>
      <c r="I84" s="101"/>
      <c r="J84" s="101"/>
      <c r="K84" s="101"/>
      <c r="L84" s="422"/>
    </row>
    <row r="85" spans="1:12" ht="20.25" customHeight="1" x14ac:dyDescent="0.25">
      <c r="A85" s="849" t="s">
        <v>143</v>
      </c>
      <c r="B85" s="850"/>
      <c r="C85" s="237">
        <f>C2+C44+C61</f>
        <v>1164077963.9100001</v>
      </c>
      <c r="D85" s="237">
        <f t="shared" ref="D85:E85" si="44">D2+D44+D61</f>
        <v>2024546810</v>
      </c>
      <c r="E85" s="237">
        <f t="shared" si="44"/>
        <v>2024562597</v>
      </c>
      <c r="F85" s="440">
        <f>+E85/D85</f>
        <v>1.0000077977945099</v>
      </c>
      <c r="G85" s="849" t="s">
        <v>144</v>
      </c>
      <c r="H85" s="850"/>
      <c r="I85" s="237">
        <f>I2+I44+I61</f>
        <v>1164077964.3858268</v>
      </c>
      <c r="J85" s="237">
        <f t="shared" ref="J85:K85" si="45">J2+J44+J61</f>
        <v>2024546809.7952757</v>
      </c>
      <c r="K85" s="237">
        <f t="shared" si="45"/>
        <v>1495161161</v>
      </c>
      <c r="L85" s="440">
        <f>+K85/J85</f>
        <v>0.73851646885417888</v>
      </c>
    </row>
    <row r="86" spans="1:12" x14ac:dyDescent="0.25">
      <c r="K86" s="113">
        <f>+K85-'2.a önkormányzat részletes'!K162</f>
        <v>0</v>
      </c>
    </row>
    <row r="87" spans="1:12" x14ac:dyDescent="0.25">
      <c r="C87" s="113">
        <f>+C85-'2.a önkormányzat részletes'!C162</f>
        <v>0</v>
      </c>
      <c r="D87" s="113">
        <f>+D85-'2.a önkormányzat részletes'!D162</f>
        <v>0</v>
      </c>
      <c r="E87" s="113">
        <f>+E85-'2.a önkormányzat részletes'!E162</f>
        <v>0</v>
      </c>
      <c r="I87" s="113">
        <f>C85-I85</f>
        <v>-0.47582674026489258</v>
      </c>
      <c r="J87" s="113">
        <f t="shared" ref="J87:K87" si="46">D85-J85</f>
        <v>0.20472431182861328</v>
      </c>
      <c r="K87" s="113">
        <f t="shared" si="46"/>
        <v>529401436</v>
      </c>
    </row>
    <row r="91" spans="1:12" x14ac:dyDescent="0.25">
      <c r="C91" s="113"/>
      <c r="D91" s="113"/>
      <c r="E91" s="113"/>
    </row>
  </sheetData>
  <mergeCells count="2">
    <mergeCell ref="A85:B85"/>
    <mergeCell ref="G85:H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&amp;CTaksony Nagyközség Önkormányzat 2018. évi zárszámadás&amp;R2.sz. melléklet</oddHeader>
    <oddFooter xml:space="preserve">&amp;LKészült: &amp;D
&amp;C&amp;P&amp;R/:Kreisz László://:Dr.Micheller Anita:/
/:Szelecki N.Andrea:/       </oddFooter>
  </headerFooter>
  <rowBreaks count="1" manualBreakCount="1">
    <brk id="43" max="11" man="1"/>
  </rowBreaks>
  <colBreaks count="1" manualBreakCount="1">
    <brk id="6" max="8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73"/>
  <sheetViews>
    <sheetView view="pageBreakPreview" zoomScale="80" zoomScaleNormal="80" zoomScaleSheetLayoutView="80" workbookViewId="0">
      <pane ySplit="1" topLeftCell="A2" activePane="bottomLeft" state="frozen"/>
      <selection activeCell="L86" sqref="L86"/>
      <selection pane="bottomLeft" activeCell="B157" sqref="B157"/>
    </sheetView>
  </sheetViews>
  <sheetFormatPr defaultRowHeight="15" x14ac:dyDescent="0.25"/>
  <cols>
    <col min="1" max="1" width="4.85546875" style="21" customWidth="1"/>
    <col min="2" max="2" width="77" style="21" customWidth="1"/>
    <col min="3" max="3" width="20.7109375" style="21" customWidth="1"/>
    <col min="4" max="4" width="16" style="21" customWidth="1"/>
    <col min="5" max="5" width="18.28515625" style="21" customWidth="1"/>
    <col min="6" max="6" width="14" style="426" customWidth="1"/>
    <col min="7" max="7" width="5.140625" style="21" customWidth="1"/>
    <col min="8" max="8" width="70.85546875" style="21" customWidth="1"/>
    <col min="9" max="11" width="18" style="301" customWidth="1"/>
    <col min="12" max="12" width="15.140625" style="460" customWidth="1"/>
    <col min="13" max="13" width="14" style="217" bestFit="1" customWidth="1"/>
    <col min="14" max="14" width="17.7109375" style="217" bestFit="1" customWidth="1"/>
    <col min="15" max="15" width="13.28515625" style="217" customWidth="1"/>
    <col min="16" max="46" width="9.140625" style="217"/>
    <col min="47" max="16384" width="9.140625" style="21"/>
  </cols>
  <sheetData>
    <row r="1" spans="1:14" ht="40.5" customHeight="1" x14ac:dyDescent="0.25">
      <c r="A1" s="76"/>
      <c r="B1" s="77" t="s">
        <v>509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504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4" ht="20.25" customHeight="1" x14ac:dyDescent="0.25">
      <c r="A2" s="306"/>
      <c r="B2" s="307" t="s">
        <v>180</v>
      </c>
      <c r="C2" s="308">
        <f>C3+C23+C57+C91</f>
        <v>481216746.91000003</v>
      </c>
      <c r="D2" s="308">
        <f t="shared" ref="D2:E2" si="0">D3+D23+D57+D91</f>
        <v>515542679</v>
      </c>
      <c r="E2" s="308">
        <f t="shared" si="0"/>
        <v>515558466</v>
      </c>
      <c r="F2" s="414">
        <f>+E2/D2</f>
        <v>1.0000306221010269</v>
      </c>
      <c r="G2" s="306"/>
      <c r="H2" s="307" t="s">
        <v>196</v>
      </c>
      <c r="I2" s="317">
        <f>I3+I17+I23+I81+I88</f>
        <v>262314324.2992126</v>
      </c>
      <c r="J2" s="317">
        <f t="shared" ref="J2:K2" si="1">J3+J17+J23+J81+J88</f>
        <v>260085799</v>
      </c>
      <c r="K2" s="317">
        <f t="shared" si="1"/>
        <v>250376996</v>
      </c>
      <c r="L2" s="414">
        <f>+K2/J2</f>
        <v>0.96267076850282007</v>
      </c>
      <c r="M2" s="439"/>
      <c r="N2" s="439"/>
    </row>
    <row r="3" spans="1:14" ht="20.25" customHeight="1" x14ac:dyDescent="0.25">
      <c r="A3" s="231" t="s">
        <v>23</v>
      </c>
      <c r="B3" s="227" t="s">
        <v>402</v>
      </c>
      <c r="C3" s="228">
        <f>C4+C12+C13+C14+C15+C16</f>
        <v>136105509.86500001</v>
      </c>
      <c r="D3" s="228">
        <f t="shared" ref="D3:E3" si="2">D4+D12+D13+D14+D15+D16</f>
        <v>137600402</v>
      </c>
      <c r="E3" s="228">
        <f t="shared" si="2"/>
        <v>137587902</v>
      </c>
      <c r="F3" s="415">
        <f>+E3/D3</f>
        <v>0.99990915724214235</v>
      </c>
      <c r="G3" s="231" t="s">
        <v>23</v>
      </c>
      <c r="H3" s="227" t="s">
        <v>313</v>
      </c>
      <c r="I3" s="290">
        <f>I12+I16</f>
        <v>36329980</v>
      </c>
      <c r="J3" s="290">
        <f t="shared" ref="J3:K3" si="3">J12+J16</f>
        <v>31820275</v>
      </c>
      <c r="K3" s="290">
        <f t="shared" si="3"/>
        <v>30728087</v>
      </c>
      <c r="L3" s="415">
        <f>+K3/J3</f>
        <v>0.96567634943444081</v>
      </c>
      <c r="M3" s="439"/>
      <c r="N3" s="439"/>
    </row>
    <row r="4" spans="1:14" x14ac:dyDescent="0.25">
      <c r="A4" s="70"/>
      <c r="B4" s="108" t="s">
        <v>403</v>
      </c>
      <c r="C4" s="106">
        <f>SUM(C5:C8)</f>
        <v>112193823</v>
      </c>
      <c r="D4" s="106">
        <f>SUM(D5:D10)</f>
        <v>122943788</v>
      </c>
      <c r="E4" s="106">
        <f>SUM(E5:E10)</f>
        <v>122943788</v>
      </c>
      <c r="F4" s="427">
        <f>+E4/D4</f>
        <v>1</v>
      </c>
      <c r="G4" s="80"/>
      <c r="H4" s="69" t="s">
        <v>1068</v>
      </c>
      <c r="I4" s="291">
        <f>2282840+1059890+9539010</f>
        <v>12881740</v>
      </c>
      <c r="J4" s="291">
        <v>7968035</v>
      </c>
      <c r="K4" s="291">
        <v>7968035</v>
      </c>
      <c r="L4" s="427">
        <f>+K4/J4</f>
        <v>1</v>
      </c>
      <c r="M4" s="439"/>
      <c r="N4" s="439"/>
    </row>
    <row r="5" spans="1:14" ht="24" customHeight="1" x14ac:dyDescent="0.25">
      <c r="A5" s="80"/>
      <c r="B5" s="83" t="s">
        <v>404</v>
      </c>
      <c r="C5" s="106">
        <v>65694011</v>
      </c>
      <c r="D5" s="106">
        <v>65744397</v>
      </c>
      <c r="E5" s="106">
        <v>65744397</v>
      </c>
      <c r="F5" s="427">
        <f t="shared" ref="F5:F10" si="4">+E5/D5</f>
        <v>1</v>
      </c>
      <c r="G5" s="80"/>
      <c r="H5" s="69" t="s">
        <v>314</v>
      </c>
      <c r="I5" s="291"/>
      <c r="J5" s="291"/>
      <c r="K5" s="291"/>
      <c r="L5" s="453"/>
      <c r="M5" s="439"/>
      <c r="N5" s="439"/>
    </row>
    <row r="6" spans="1:14" ht="29.25" customHeight="1" x14ac:dyDescent="0.25">
      <c r="A6" s="80"/>
      <c r="B6" s="83" t="s">
        <v>405</v>
      </c>
      <c r="C6" s="106"/>
      <c r="D6" s="106"/>
      <c r="E6" s="106"/>
      <c r="F6" s="427"/>
      <c r="G6" s="80"/>
      <c r="H6" s="69" t="s">
        <v>315</v>
      </c>
      <c r="I6" s="291"/>
      <c r="J6" s="291"/>
      <c r="K6" s="291"/>
      <c r="L6" s="453"/>
      <c r="M6" s="439"/>
      <c r="N6" s="439"/>
    </row>
    <row r="7" spans="1:14" ht="30" x14ac:dyDescent="0.25">
      <c r="A7" s="80"/>
      <c r="B7" s="83" t="s">
        <v>657</v>
      </c>
      <c r="C7" s="106">
        <v>38809052</v>
      </c>
      <c r="D7" s="106">
        <v>41151047</v>
      </c>
      <c r="E7" s="106">
        <v>41151047</v>
      </c>
      <c r="F7" s="427">
        <f t="shared" si="4"/>
        <v>1</v>
      </c>
      <c r="G7" s="80"/>
      <c r="H7" s="69" t="s">
        <v>316</v>
      </c>
      <c r="I7" s="291"/>
      <c r="J7" s="291"/>
      <c r="K7" s="291"/>
      <c r="L7" s="453"/>
      <c r="M7" s="439"/>
      <c r="N7" s="439"/>
    </row>
    <row r="8" spans="1:14" ht="22.5" customHeight="1" x14ac:dyDescent="0.25">
      <c r="A8" s="80"/>
      <c r="B8" s="83" t="s">
        <v>406</v>
      </c>
      <c r="C8" s="106">
        <v>7690760</v>
      </c>
      <c r="D8" s="106">
        <v>8478377</v>
      </c>
      <c r="E8" s="106">
        <v>8478377</v>
      </c>
      <c r="F8" s="427">
        <f t="shared" si="4"/>
        <v>1</v>
      </c>
      <c r="G8" s="80"/>
      <c r="H8" s="69" t="s">
        <v>726</v>
      </c>
      <c r="I8" s="291">
        <f>I47*127%*20%</f>
        <v>142240</v>
      </c>
      <c r="J8" s="291">
        <v>196240</v>
      </c>
      <c r="K8" s="291">
        <v>57147</v>
      </c>
      <c r="L8" s="453">
        <f>+K8/J8</f>
        <v>0.29120974317162657</v>
      </c>
      <c r="M8" s="439"/>
      <c r="N8" s="439"/>
    </row>
    <row r="9" spans="1:14" ht="24.75" customHeight="1" x14ac:dyDescent="0.25">
      <c r="A9" s="80"/>
      <c r="B9" s="83" t="s">
        <v>658</v>
      </c>
      <c r="C9" s="81" t="s">
        <v>253</v>
      </c>
      <c r="D9" s="106">
        <v>6644397</v>
      </c>
      <c r="E9" s="106">
        <v>6644397</v>
      </c>
      <c r="F9" s="427">
        <f t="shared" si="4"/>
        <v>1</v>
      </c>
      <c r="G9" s="80"/>
      <c r="H9" s="69" t="s">
        <v>317</v>
      </c>
      <c r="I9" s="291"/>
      <c r="J9" s="291"/>
      <c r="K9" s="291"/>
      <c r="L9" s="453"/>
      <c r="M9" s="439"/>
      <c r="N9" s="439"/>
    </row>
    <row r="10" spans="1:14" ht="18" customHeight="1" x14ac:dyDescent="0.25">
      <c r="A10" s="80"/>
      <c r="B10" s="83" t="s">
        <v>659</v>
      </c>
      <c r="C10" s="81" t="s">
        <v>253</v>
      </c>
      <c r="D10" s="106">
        <v>925570</v>
      </c>
      <c r="E10" s="106">
        <v>925570</v>
      </c>
      <c r="F10" s="427">
        <f t="shared" si="4"/>
        <v>1</v>
      </c>
      <c r="G10" s="84"/>
      <c r="H10" s="69" t="s">
        <v>318</v>
      </c>
      <c r="I10" s="292"/>
      <c r="J10" s="292"/>
      <c r="K10" s="292"/>
      <c r="L10" s="503"/>
      <c r="M10" s="439"/>
      <c r="N10" s="439"/>
    </row>
    <row r="11" spans="1:14" ht="20.25" customHeight="1" x14ac:dyDescent="0.25">
      <c r="A11" s="80"/>
      <c r="B11" s="111"/>
      <c r="C11" s="81"/>
      <c r="D11" s="81"/>
      <c r="E11" s="81"/>
      <c r="F11" s="427"/>
      <c r="G11" s="84"/>
      <c r="H11" s="69" t="s">
        <v>319</v>
      </c>
      <c r="I11" s="204"/>
      <c r="J11" s="204">
        <v>350000</v>
      </c>
      <c r="K11" s="204">
        <v>312710</v>
      </c>
      <c r="L11" s="453">
        <f t="shared" ref="L11:L21" si="5">+K11/J11</f>
        <v>0.89345714285714284</v>
      </c>
      <c r="M11" s="439"/>
      <c r="N11" s="439"/>
    </row>
    <row r="12" spans="1:14" ht="20.25" customHeight="1" x14ac:dyDescent="0.25">
      <c r="A12" s="80"/>
      <c r="B12" s="83" t="s">
        <v>409</v>
      </c>
      <c r="C12" s="81"/>
      <c r="D12" s="81"/>
      <c r="E12" s="81"/>
      <c r="F12" s="427"/>
      <c r="G12" s="84"/>
      <c r="H12" s="70" t="s">
        <v>320</v>
      </c>
      <c r="I12" s="204">
        <f>I4+I5+I6+I7+I8+I9+I10+I11</f>
        <v>13023980</v>
      </c>
      <c r="J12" s="204">
        <f t="shared" ref="J12:K12" si="6">J4+J5+J6+J7+J8+J9+J10+J11</f>
        <v>8514275</v>
      </c>
      <c r="K12" s="204">
        <f t="shared" si="6"/>
        <v>8337892</v>
      </c>
      <c r="L12" s="453">
        <f t="shared" si="5"/>
        <v>0.9792838497699452</v>
      </c>
      <c r="M12" s="439"/>
      <c r="N12" s="439"/>
    </row>
    <row r="13" spans="1:14" ht="30" x14ac:dyDescent="0.25">
      <c r="A13" s="70"/>
      <c r="B13" s="83" t="s">
        <v>410</v>
      </c>
      <c r="C13" s="106"/>
      <c r="D13" s="106"/>
      <c r="E13" s="106"/>
      <c r="F13" s="427"/>
      <c r="G13" s="84"/>
      <c r="H13" s="69" t="s">
        <v>727</v>
      </c>
      <c r="I13" s="204">
        <f>7180000+3590000+90000*12+41000*12+149000*2+7*15000*12+8*10000*12</f>
        <v>14860000</v>
      </c>
      <c r="J13" s="204">
        <v>14090000</v>
      </c>
      <c r="K13" s="204">
        <v>13179584</v>
      </c>
      <c r="L13" s="453">
        <f t="shared" si="5"/>
        <v>0.93538566359119946</v>
      </c>
      <c r="M13" s="439"/>
      <c r="N13" s="439"/>
    </row>
    <row r="14" spans="1:14" ht="29.25" customHeight="1" x14ac:dyDescent="0.25">
      <c r="A14" s="70"/>
      <c r="B14" s="83" t="s">
        <v>411</v>
      </c>
      <c r="C14" s="106"/>
      <c r="D14" s="106"/>
      <c r="E14" s="106"/>
      <c r="F14" s="427"/>
      <c r="G14" s="84"/>
      <c r="H14" s="69" t="s">
        <v>322</v>
      </c>
      <c r="I14" s="293"/>
      <c r="J14" s="204">
        <v>7120000</v>
      </c>
      <c r="K14" s="204">
        <v>7117104</v>
      </c>
      <c r="L14" s="453">
        <f t="shared" si="5"/>
        <v>0.99959325842696634</v>
      </c>
      <c r="M14" s="439"/>
      <c r="N14" s="439"/>
    </row>
    <row r="15" spans="1:14" ht="29.25" customHeight="1" x14ac:dyDescent="0.25">
      <c r="A15" s="70"/>
      <c r="B15" s="83" t="s">
        <v>412</v>
      </c>
      <c r="C15" s="106"/>
      <c r="D15" s="106"/>
      <c r="E15" s="106"/>
      <c r="F15" s="427"/>
      <c r="G15" s="84"/>
      <c r="H15" s="69" t="s">
        <v>1069</v>
      </c>
      <c r="I15" s="204">
        <f>85500*12+30000*12+6*100000+900000+80000*12+2*45000+1000000+130000+900000+2480000</f>
        <v>8446000</v>
      </c>
      <c r="J15" s="204">
        <v>2096000</v>
      </c>
      <c r="K15" s="204">
        <v>2093507</v>
      </c>
      <c r="L15" s="453">
        <f t="shared" si="5"/>
        <v>0.99881059160305341</v>
      </c>
      <c r="M15" s="439"/>
      <c r="N15" s="439"/>
    </row>
    <row r="16" spans="1:14" ht="36" customHeight="1" x14ac:dyDescent="0.25">
      <c r="A16" s="70"/>
      <c r="B16" s="83" t="s">
        <v>713</v>
      </c>
      <c r="C16" s="106">
        <f>SUM(C17:C22)</f>
        <v>23911686.865000002</v>
      </c>
      <c r="D16" s="106">
        <f t="shared" ref="D16:E16" si="7">SUM(D17:D22)</f>
        <v>14656614</v>
      </c>
      <c r="E16" s="106">
        <f t="shared" si="7"/>
        <v>14644114</v>
      </c>
      <c r="F16" s="427">
        <f t="shared" ref="F16:F47" si="8">+E16/D16</f>
        <v>0.999147142716592</v>
      </c>
      <c r="G16" s="84"/>
      <c r="H16" s="70" t="s">
        <v>324</v>
      </c>
      <c r="I16" s="204">
        <f>I13+I14+I15</f>
        <v>23306000</v>
      </c>
      <c r="J16" s="204">
        <f t="shared" ref="J16:K16" si="9">J13+J14+J15</f>
        <v>23306000</v>
      </c>
      <c r="K16" s="204">
        <f t="shared" si="9"/>
        <v>22390195</v>
      </c>
      <c r="L16" s="453">
        <f>+K16/J16</f>
        <v>0.96070518321462284</v>
      </c>
      <c r="M16" s="439"/>
      <c r="N16" s="439"/>
    </row>
    <row r="17" spans="1:14" ht="18.75" customHeight="1" x14ac:dyDescent="0.25">
      <c r="A17" s="70"/>
      <c r="B17" s="83" t="s">
        <v>1198</v>
      </c>
      <c r="C17" s="106">
        <f>3343911+9000056</f>
        <v>12343967</v>
      </c>
      <c r="D17" s="106">
        <v>7955434</v>
      </c>
      <c r="E17" s="106">
        <v>7955434</v>
      </c>
      <c r="F17" s="427">
        <f t="shared" si="8"/>
        <v>1</v>
      </c>
      <c r="G17" s="231" t="s">
        <v>45</v>
      </c>
      <c r="H17" s="227" t="s">
        <v>325</v>
      </c>
      <c r="I17" s="290">
        <f>SUM(I18:I22)</f>
        <v>6226585</v>
      </c>
      <c r="J17" s="290">
        <f t="shared" ref="J17" si="10">SUM(J18:J22)</f>
        <v>5781110</v>
      </c>
      <c r="K17" s="290">
        <f>SUM(K18:K22)</f>
        <v>5780571</v>
      </c>
      <c r="L17" s="415">
        <f>+K17/J17</f>
        <v>0.99990676530977618</v>
      </c>
      <c r="M17" s="439"/>
      <c r="N17" s="439"/>
    </row>
    <row r="18" spans="1:14" ht="18.75" customHeight="1" x14ac:dyDescent="0.25">
      <c r="A18" s="70"/>
      <c r="B18" s="83" t="s">
        <v>722</v>
      </c>
      <c r="C18" s="106">
        <f>((302092-90371)*12+90371*5)*119.5%</f>
        <v>3576045.8650000002</v>
      </c>
      <c r="D18" s="106">
        <v>0</v>
      </c>
      <c r="E18" s="106">
        <v>0</v>
      </c>
      <c r="F18" s="427"/>
      <c r="G18" s="80"/>
      <c r="H18" s="93" t="s">
        <v>759</v>
      </c>
      <c r="I18" s="204">
        <v>5700313</v>
      </c>
      <c r="J18" s="204">
        <v>4713760</v>
      </c>
      <c r="K18" s="204">
        <v>4713753</v>
      </c>
      <c r="L18" s="453">
        <f t="shared" si="5"/>
        <v>0.99999851498591363</v>
      </c>
      <c r="M18" s="439"/>
      <c r="N18" s="439"/>
    </row>
    <row r="19" spans="1:14" ht="18.75" customHeight="1" x14ac:dyDescent="0.25">
      <c r="A19" s="70"/>
      <c r="B19" s="83" t="s">
        <v>1062</v>
      </c>
      <c r="C19" s="106">
        <f>(38600*12+38600*10)*119.5%</f>
        <v>1014794</v>
      </c>
      <c r="D19" s="106">
        <v>0</v>
      </c>
      <c r="E19" s="106">
        <v>0</v>
      </c>
      <c r="F19" s="427"/>
      <c r="G19" s="80"/>
      <c r="H19" s="93" t="s">
        <v>760</v>
      </c>
      <c r="I19" s="204">
        <v>289050</v>
      </c>
      <c r="J19" s="204">
        <v>550100</v>
      </c>
      <c r="K19" s="204">
        <v>550010</v>
      </c>
      <c r="L19" s="453">
        <f t="shared" si="5"/>
        <v>0.99983639338302122</v>
      </c>
      <c r="M19" s="439"/>
      <c r="N19" s="439"/>
    </row>
    <row r="20" spans="1:14" ht="18.75" customHeight="1" x14ac:dyDescent="0.25">
      <c r="A20" s="70"/>
      <c r="B20" s="83" t="s">
        <v>1063</v>
      </c>
      <c r="C20" s="106">
        <v>5490000</v>
      </c>
      <c r="D20" s="106">
        <v>5377500</v>
      </c>
      <c r="E20" s="106">
        <v>5377500</v>
      </c>
      <c r="F20" s="427">
        <f t="shared" si="8"/>
        <v>1</v>
      </c>
      <c r="G20" s="80"/>
      <c r="H20" s="93" t="s">
        <v>687</v>
      </c>
      <c r="I20" s="204">
        <v>237222</v>
      </c>
      <c r="J20" s="204">
        <v>417250</v>
      </c>
      <c r="K20" s="204">
        <v>417241</v>
      </c>
      <c r="L20" s="453">
        <f t="shared" si="5"/>
        <v>0.99997843019772314</v>
      </c>
      <c r="M20" s="439"/>
      <c r="N20" s="439"/>
    </row>
    <row r="21" spans="1:14" ht="18.75" customHeight="1" x14ac:dyDescent="0.25">
      <c r="A21" s="70"/>
      <c r="B21" s="83" t="s">
        <v>1064</v>
      </c>
      <c r="C21" s="106">
        <f>43300*12</f>
        <v>519600</v>
      </c>
      <c r="D21" s="106">
        <f t="shared" ref="D21" si="11">43300*12</f>
        <v>519600</v>
      </c>
      <c r="E21" s="106">
        <v>519600</v>
      </c>
      <c r="F21" s="427">
        <f t="shared" si="8"/>
        <v>1</v>
      </c>
      <c r="G21" s="80"/>
      <c r="H21" s="93" t="s">
        <v>1157</v>
      </c>
      <c r="I21" s="204"/>
      <c r="J21" s="204">
        <v>100000</v>
      </c>
      <c r="K21" s="204">
        <v>99567</v>
      </c>
      <c r="L21" s="453">
        <f t="shared" si="5"/>
        <v>0.99567000000000005</v>
      </c>
      <c r="M21" s="439"/>
      <c r="N21" s="439"/>
    </row>
    <row r="22" spans="1:14" ht="18.75" customHeight="1" x14ac:dyDescent="0.25">
      <c r="A22" s="70"/>
      <c r="B22" s="246" t="s">
        <v>1065</v>
      </c>
      <c r="C22" s="106">
        <f>+I82</f>
        <v>967280</v>
      </c>
      <c r="D22" s="106">
        <f t="shared" ref="D22" si="12">+J82</f>
        <v>804080</v>
      </c>
      <c r="E22" s="106">
        <v>791580</v>
      </c>
      <c r="F22" s="427">
        <f t="shared" si="8"/>
        <v>0.98445428315590489</v>
      </c>
      <c r="G22" s="80"/>
      <c r="H22" s="93"/>
      <c r="I22" s="204"/>
      <c r="J22" s="204"/>
      <c r="K22" s="204"/>
      <c r="L22" s="441"/>
      <c r="M22" s="439"/>
      <c r="N22" s="439"/>
    </row>
    <row r="23" spans="1:14" ht="20.25" customHeight="1" x14ac:dyDescent="0.25">
      <c r="A23" s="231" t="s">
        <v>45</v>
      </c>
      <c r="B23" s="227" t="s">
        <v>445</v>
      </c>
      <c r="C23" s="228">
        <f>C24+C30+C41</f>
        <v>324600000</v>
      </c>
      <c r="D23" s="228">
        <f t="shared" ref="D23:E23" si="13">D24+D30+D41</f>
        <v>347048698</v>
      </c>
      <c r="E23" s="228">
        <f t="shared" si="13"/>
        <v>347048698</v>
      </c>
      <c r="F23" s="415">
        <f>+E23/D23</f>
        <v>1</v>
      </c>
      <c r="G23" s="231" t="s">
        <v>56</v>
      </c>
      <c r="H23" s="227" t="s">
        <v>326</v>
      </c>
      <c r="I23" s="290">
        <f>I36+I48+I68+I71+I80+1</f>
        <v>157055935.2992126</v>
      </c>
      <c r="J23" s="290">
        <f>J36+J48+J68+J71+J80</f>
        <v>173114000</v>
      </c>
      <c r="K23" s="290">
        <f>K36+K48+K68+K71+K80</f>
        <v>168327892</v>
      </c>
      <c r="L23" s="415">
        <f>+K23/J23</f>
        <v>0.97235285418856943</v>
      </c>
      <c r="M23" s="439"/>
      <c r="N23" s="439"/>
    </row>
    <row r="24" spans="1:14" ht="20.25" customHeight="1" x14ac:dyDescent="0.25">
      <c r="A24" s="85"/>
      <c r="B24" s="87" t="s">
        <v>467</v>
      </c>
      <c r="C24" s="95">
        <f>SUM(C25:C29)</f>
        <v>65100000</v>
      </c>
      <c r="D24" s="95">
        <f t="shared" ref="D24:E24" si="14">SUM(D25:D29)</f>
        <v>63356148</v>
      </c>
      <c r="E24" s="95">
        <f t="shared" si="14"/>
        <v>63356148</v>
      </c>
      <c r="F24" s="427">
        <f t="shared" si="8"/>
        <v>1</v>
      </c>
      <c r="G24" s="71"/>
      <c r="H24" s="71" t="s">
        <v>327</v>
      </c>
      <c r="I24" s="204">
        <f>SUM(I25:I27)</f>
        <v>74000</v>
      </c>
      <c r="J24" s="204">
        <f t="shared" ref="J24:K24" si="15">SUM(J25:J27)</f>
        <v>1930000</v>
      </c>
      <c r="K24" s="204">
        <f t="shared" si="15"/>
        <v>1929914</v>
      </c>
      <c r="L24" s="453">
        <f t="shared" ref="L24:L82" si="16">+K24/J24</f>
        <v>0.99995544041450779</v>
      </c>
      <c r="M24" s="439"/>
      <c r="N24" s="439"/>
    </row>
    <row r="25" spans="1:14" ht="20.25" customHeight="1" x14ac:dyDescent="0.25">
      <c r="A25" s="85"/>
      <c r="B25" s="87" t="s">
        <v>468</v>
      </c>
      <c r="C25" s="95">
        <v>43500000</v>
      </c>
      <c r="D25" s="95">
        <v>44341375</v>
      </c>
      <c r="E25" s="95">
        <v>44341375</v>
      </c>
      <c r="F25" s="427">
        <f t="shared" si="8"/>
        <v>1</v>
      </c>
      <c r="G25" s="71"/>
      <c r="H25" s="71" t="s">
        <v>328</v>
      </c>
      <c r="I25" s="204"/>
      <c r="J25" s="204"/>
      <c r="K25" s="204"/>
      <c r="L25" s="453"/>
      <c r="M25" s="439"/>
      <c r="N25" s="439"/>
    </row>
    <row r="26" spans="1:14" ht="20.25" customHeight="1" x14ac:dyDescent="0.25">
      <c r="A26" s="85"/>
      <c r="B26" s="87" t="s">
        <v>469</v>
      </c>
      <c r="C26" s="95"/>
      <c r="D26" s="95"/>
      <c r="E26" s="95"/>
      <c r="F26" s="427"/>
      <c r="G26" s="71"/>
      <c r="H26" s="71" t="s">
        <v>1203</v>
      </c>
      <c r="I26" s="204">
        <f>14000+60000</f>
        <v>74000</v>
      </c>
      <c r="J26" s="204">
        <v>1930000</v>
      </c>
      <c r="K26" s="204">
        <v>1929914</v>
      </c>
      <c r="L26" s="453">
        <f t="shared" si="16"/>
        <v>0.99995544041450779</v>
      </c>
      <c r="M26" s="439"/>
      <c r="N26" s="439"/>
    </row>
    <row r="27" spans="1:14" ht="20.25" customHeight="1" x14ac:dyDescent="0.25">
      <c r="A27" s="85"/>
      <c r="B27" s="87" t="s">
        <v>470</v>
      </c>
      <c r="C27" s="95">
        <v>18000000</v>
      </c>
      <c r="D27" s="95">
        <v>16162589</v>
      </c>
      <c r="E27" s="95">
        <v>16162589</v>
      </c>
      <c r="F27" s="427">
        <f t="shared" si="8"/>
        <v>1</v>
      </c>
      <c r="G27" s="71"/>
      <c r="H27" s="71" t="s">
        <v>330</v>
      </c>
      <c r="I27" s="204"/>
      <c r="J27" s="204"/>
      <c r="K27" s="204"/>
      <c r="L27" s="453"/>
      <c r="M27" s="439"/>
      <c r="N27" s="439"/>
    </row>
    <row r="28" spans="1:14" ht="20.25" customHeight="1" x14ac:dyDescent="0.25">
      <c r="A28" s="85"/>
      <c r="B28" s="87" t="s">
        <v>471</v>
      </c>
      <c r="C28" s="95">
        <v>3600000</v>
      </c>
      <c r="D28" s="95">
        <v>2852184</v>
      </c>
      <c r="E28" s="95">
        <v>2852184</v>
      </c>
      <c r="F28" s="427">
        <f t="shared" si="8"/>
        <v>1</v>
      </c>
      <c r="G28" s="71"/>
      <c r="H28" s="71" t="s">
        <v>337</v>
      </c>
      <c r="I28" s="204">
        <f>SUM(I29:I34)</f>
        <v>4800000</v>
      </c>
      <c r="J28" s="204">
        <f t="shared" ref="J28" si="17">SUM(J29:J34)</f>
        <v>4015000</v>
      </c>
      <c r="K28" s="204">
        <f>SUM(K29:K34)</f>
        <v>3952383</v>
      </c>
      <c r="L28" s="453">
        <f t="shared" si="16"/>
        <v>0.98440423412204237</v>
      </c>
      <c r="M28" s="439"/>
      <c r="N28" s="439"/>
    </row>
    <row r="29" spans="1:14" ht="20.25" customHeight="1" x14ac:dyDescent="0.25">
      <c r="A29" s="85"/>
      <c r="B29" s="87" t="s">
        <v>472</v>
      </c>
      <c r="C29" s="95"/>
      <c r="D29" s="95"/>
      <c r="E29" s="95"/>
      <c r="F29" s="427"/>
      <c r="G29" s="71"/>
      <c r="H29" s="71" t="s">
        <v>331</v>
      </c>
      <c r="I29" s="204"/>
      <c r="J29" s="204"/>
      <c r="K29" s="204"/>
      <c r="L29" s="453"/>
      <c r="M29" s="439"/>
      <c r="N29" s="439"/>
    </row>
    <row r="30" spans="1:14" ht="20.25" customHeight="1" x14ac:dyDescent="0.25">
      <c r="A30" s="85"/>
      <c r="B30" s="87" t="s">
        <v>473</v>
      </c>
      <c r="C30" s="95">
        <f>C31+C34+C39</f>
        <v>256000000</v>
      </c>
      <c r="D30" s="95">
        <f t="shared" ref="D30:E30" si="18">D31+D34+D39</f>
        <v>282514998</v>
      </c>
      <c r="E30" s="95">
        <f t="shared" si="18"/>
        <v>282514998</v>
      </c>
      <c r="F30" s="427">
        <f t="shared" si="8"/>
        <v>1</v>
      </c>
      <c r="G30" s="71"/>
      <c r="H30" s="71" t="s">
        <v>332</v>
      </c>
      <c r="I30" s="204">
        <v>10000</v>
      </c>
      <c r="J30" s="204">
        <v>13440</v>
      </c>
      <c r="K30" s="204">
        <v>13440</v>
      </c>
      <c r="L30" s="453">
        <f t="shared" si="16"/>
        <v>1</v>
      </c>
      <c r="M30" s="439"/>
      <c r="N30" s="439"/>
    </row>
    <row r="31" spans="1:14" ht="20.25" customHeight="1" x14ac:dyDescent="0.25">
      <c r="A31" s="85"/>
      <c r="B31" s="87" t="s">
        <v>474</v>
      </c>
      <c r="C31" s="95">
        <f>C32+C33</f>
        <v>235000000</v>
      </c>
      <c r="D31" s="95">
        <f t="shared" ref="D31:E31" si="19">D32+D33</f>
        <v>258960937</v>
      </c>
      <c r="E31" s="95">
        <f t="shared" si="19"/>
        <v>258960937</v>
      </c>
      <c r="F31" s="427">
        <f t="shared" si="8"/>
        <v>1</v>
      </c>
      <c r="G31" s="71"/>
      <c r="H31" s="71" t="s">
        <v>333</v>
      </c>
      <c r="I31" s="204">
        <v>50000</v>
      </c>
      <c r="J31" s="204">
        <v>0</v>
      </c>
      <c r="K31" s="204"/>
      <c r="L31" s="453"/>
      <c r="M31" s="439"/>
      <c r="N31" s="439"/>
    </row>
    <row r="32" spans="1:14" ht="20.25" customHeight="1" x14ac:dyDescent="0.25">
      <c r="A32" s="85"/>
      <c r="B32" s="87" t="s">
        <v>475</v>
      </c>
      <c r="C32" s="95">
        <v>235000000</v>
      </c>
      <c r="D32" s="95">
        <v>258960937</v>
      </c>
      <c r="E32" s="95">
        <v>258960937</v>
      </c>
      <c r="F32" s="427">
        <f t="shared" si="8"/>
        <v>1</v>
      </c>
      <c r="G32" s="71"/>
      <c r="H32" s="71" t="s">
        <v>334</v>
      </c>
      <c r="I32" s="204">
        <v>1100000</v>
      </c>
      <c r="J32" s="204">
        <v>1000000</v>
      </c>
      <c r="K32" s="204">
        <v>998615</v>
      </c>
      <c r="L32" s="453">
        <f t="shared" si="16"/>
        <v>0.99861500000000003</v>
      </c>
      <c r="M32" s="439"/>
      <c r="N32" s="439"/>
    </row>
    <row r="33" spans="1:14" ht="20.25" customHeight="1" x14ac:dyDescent="0.25">
      <c r="A33" s="85"/>
      <c r="B33" s="87" t="s">
        <v>476</v>
      </c>
      <c r="C33" s="95"/>
      <c r="D33" s="95"/>
      <c r="E33" s="95"/>
      <c r="F33" s="427"/>
      <c r="G33" s="71"/>
      <c r="H33" s="71" t="s">
        <v>1204</v>
      </c>
      <c r="I33" s="204"/>
      <c r="J33" s="204">
        <f>150000-3440</f>
        <v>146560</v>
      </c>
      <c r="K33" s="204">
        <v>140000</v>
      </c>
      <c r="L33" s="453">
        <f t="shared" si="16"/>
        <v>0.95524017467248912</v>
      </c>
      <c r="M33" s="439"/>
      <c r="N33" s="439"/>
    </row>
    <row r="34" spans="1:14" ht="31.5" customHeight="1" x14ac:dyDescent="0.25">
      <c r="A34" s="85"/>
      <c r="B34" s="87" t="s">
        <v>477</v>
      </c>
      <c r="C34" s="95">
        <f>SUM(C35:C38)</f>
        <v>21000000</v>
      </c>
      <c r="D34" s="95">
        <f t="shared" ref="D34:E34" si="20">SUM(D35:D38)</f>
        <v>23389961</v>
      </c>
      <c r="E34" s="95">
        <f t="shared" si="20"/>
        <v>23389961</v>
      </c>
      <c r="F34" s="427">
        <f t="shared" si="8"/>
        <v>1</v>
      </c>
      <c r="G34" s="71"/>
      <c r="H34" s="112" t="s">
        <v>1794</v>
      </c>
      <c r="I34" s="204">
        <f>500000+800000+700000+250000+1000000+390000</f>
        <v>3640000</v>
      </c>
      <c r="J34" s="204">
        <f>3575000-720000</f>
        <v>2855000</v>
      </c>
      <c r="K34" s="204">
        <f>1613450+1186878</f>
        <v>2800328</v>
      </c>
      <c r="L34" s="453">
        <f t="shared" si="16"/>
        <v>0.98085043782837122</v>
      </c>
      <c r="M34" s="439"/>
      <c r="N34" s="439"/>
    </row>
    <row r="35" spans="1:14" ht="20.25" customHeight="1" x14ac:dyDescent="0.25">
      <c r="A35" s="85"/>
      <c r="B35" s="87" t="s">
        <v>478</v>
      </c>
      <c r="C35" s="95"/>
      <c r="D35" s="95"/>
      <c r="E35" s="95"/>
      <c r="F35" s="427"/>
      <c r="G35" s="71"/>
      <c r="H35" s="71" t="s">
        <v>338</v>
      </c>
      <c r="I35" s="204"/>
      <c r="J35" s="204"/>
      <c r="K35" s="204"/>
      <c r="L35" s="453"/>
      <c r="M35" s="439"/>
      <c r="N35" s="439"/>
    </row>
    <row r="36" spans="1:14" ht="20.25" customHeight="1" x14ac:dyDescent="0.25">
      <c r="A36" s="85"/>
      <c r="B36" s="87" t="s">
        <v>479</v>
      </c>
      <c r="C36" s="95">
        <v>21000000</v>
      </c>
      <c r="D36" s="95">
        <v>23389961</v>
      </c>
      <c r="E36" s="95">
        <v>23389961</v>
      </c>
      <c r="F36" s="427">
        <f t="shared" si="8"/>
        <v>1</v>
      </c>
      <c r="G36" s="71"/>
      <c r="H36" s="72" t="s">
        <v>339</v>
      </c>
      <c r="I36" s="204">
        <f>I24+I28+I35</f>
        <v>4874000</v>
      </c>
      <c r="J36" s="204">
        <f>J24+J28+J35</f>
        <v>5945000</v>
      </c>
      <c r="K36" s="204">
        <f t="shared" ref="K36" si="21">K24+K28+K35</f>
        <v>5882297</v>
      </c>
      <c r="L36" s="453">
        <f t="shared" si="16"/>
        <v>0.98945281749369218</v>
      </c>
      <c r="M36" s="439"/>
      <c r="N36" s="439"/>
    </row>
    <row r="37" spans="1:14" ht="20.25" customHeight="1" x14ac:dyDescent="0.25">
      <c r="A37" s="85"/>
      <c r="B37" s="87" t="s">
        <v>480</v>
      </c>
      <c r="C37" s="95"/>
      <c r="D37" s="95"/>
      <c r="E37" s="95"/>
      <c r="F37" s="427"/>
      <c r="G37" s="71"/>
      <c r="H37" s="71" t="s">
        <v>341</v>
      </c>
      <c r="I37" s="204">
        <f>SUM(I38:I45)</f>
        <v>3303400</v>
      </c>
      <c r="J37" s="204">
        <f t="shared" ref="J37" si="22">SUM(J38:J45)</f>
        <v>3746000</v>
      </c>
      <c r="K37" s="204">
        <f>SUM(K38:K45)</f>
        <v>3705617</v>
      </c>
      <c r="L37" s="453">
        <f t="shared" si="16"/>
        <v>0.98921970101441536</v>
      </c>
      <c r="M37" s="439"/>
      <c r="N37" s="439"/>
    </row>
    <row r="38" spans="1:14" ht="20.25" customHeight="1" x14ac:dyDescent="0.25">
      <c r="A38" s="85"/>
      <c r="B38" s="87" t="s">
        <v>481</v>
      </c>
      <c r="C38" s="95"/>
      <c r="D38" s="95"/>
      <c r="E38" s="95"/>
      <c r="F38" s="427"/>
      <c r="G38" s="71"/>
      <c r="H38" s="71" t="s">
        <v>620</v>
      </c>
      <c r="I38" s="204">
        <f>8500*12+21000*12</f>
        <v>354000</v>
      </c>
      <c r="J38" s="204">
        <f>248400+30600</f>
        <v>279000</v>
      </c>
      <c r="K38" s="204">
        <v>240345</v>
      </c>
      <c r="L38" s="453">
        <f t="shared" si="16"/>
        <v>0.86145161290322581</v>
      </c>
      <c r="M38" s="439"/>
      <c r="N38" s="439"/>
    </row>
    <row r="39" spans="1:14" ht="20.25" customHeight="1" x14ac:dyDescent="0.25">
      <c r="A39" s="85"/>
      <c r="B39" s="87" t="s">
        <v>482</v>
      </c>
      <c r="C39" s="95">
        <f>+C40</f>
        <v>0</v>
      </c>
      <c r="D39" s="95">
        <f t="shared" ref="D39:E39" si="23">+D40</f>
        <v>164100</v>
      </c>
      <c r="E39" s="95">
        <f t="shared" si="23"/>
        <v>164100</v>
      </c>
      <c r="F39" s="427">
        <f>+E39/D39</f>
        <v>1</v>
      </c>
      <c r="G39" s="71"/>
      <c r="H39" s="71" t="s">
        <v>728</v>
      </c>
      <c r="I39" s="204">
        <f>240000+125400+396000+422000+128000</f>
        <v>1311400</v>
      </c>
      <c r="J39" s="204">
        <v>1586000</v>
      </c>
      <c r="K39" s="204">
        <v>1585142</v>
      </c>
      <c r="L39" s="453">
        <f t="shared" si="16"/>
        <v>0.99945901639344259</v>
      </c>
      <c r="M39" s="439"/>
      <c r="N39" s="439"/>
    </row>
    <row r="40" spans="1:14" ht="20.25" customHeight="1" x14ac:dyDescent="0.25">
      <c r="A40" s="85"/>
      <c r="B40" s="88" t="s">
        <v>483</v>
      </c>
      <c r="C40" s="101"/>
      <c r="D40" s="101">
        <v>164100</v>
      </c>
      <c r="E40" s="101">
        <v>164100</v>
      </c>
      <c r="F40" s="427">
        <f t="shared" si="8"/>
        <v>1</v>
      </c>
      <c r="G40" s="71"/>
      <c r="H40" s="71" t="s">
        <v>729</v>
      </c>
      <c r="I40" s="204">
        <f>622000+276000</f>
        <v>898000</v>
      </c>
      <c r="J40" s="204">
        <v>635000</v>
      </c>
      <c r="K40" s="204">
        <v>634400</v>
      </c>
      <c r="L40" s="453">
        <f t="shared" si="16"/>
        <v>0.99905511811023617</v>
      </c>
      <c r="M40" s="439"/>
      <c r="N40" s="439"/>
    </row>
    <row r="41" spans="1:14" ht="20.25" customHeight="1" x14ac:dyDescent="0.25">
      <c r="A41" s="85"/>
      <c r="B41" s="87" t="s">
        <v>485</v>
      </c>
      <c r="C41" s="101">
        <f>SUM(C42:C46)</f>
        <v>3500000</v>
      </c>
      <c r="D41" s="101">
        <f>SUM(D42:D47)</f>
        <v>1177552</v>
      </c>
      <c r="E41" s="101">
        <f>SUM(E42:E47)</f>
        <v>1177552</v>
      </c>
      <c r="F41" s="427">
        <f t="shared" si="8"/>
        <v>1</v>
      </c>
      <c r="G41" s="71"/>
      <c r="H41" s="71" t="s">
        <v>730</v>
      </c>
      <c r="I41" s="204">
        <v>170000</v>
      </c>
      <c r="J41" s="204">
        <v>171000</v>
      </c>
      <c r="K41" s="204">
        <v>170730</v>
      </c>
      <c r="L41" s="453">
        <f t="shared" si="16"/>
        <v>0.99842105263157899</v>
      </c>
      <c r="M41" s="439"/>
      <c r="N41" s="439"/>
    </row>
    <row r="42" spans="1:14" ht="20.25" customHeight="1" x14ac:dyDescent="0.25">
      <c r="A42" s="85"/>
      <c r="B42" s="87" t="s">
        <v>486</v>
      </c>
      <c r="C42" s="101">
        <v>100000</v>
      </c>
      <c r="D42" s="101">
        <v>0</v>
      </c>
      <c r="E42" s="101"/>
      <c r="F42" s="427"/>
      <c r="G42" s="71"/>
      <c r="H42" s="71" t="s">
        <v>1070</v>
      </c>
      <c r="I42" s="204">
        <f>135000*2</f>
        <v>270000</v>
      </c>
      <c r="J42" s="204">
        <v>135000</v>
      </c>
      <c r="K42" s="204">
        <v>135000</v>
      </c>
      <c r="L42" s="453">
        <f t="shared" si="16"/>
        <v>1</v>
      </c>
      <c r="M42" s="439"/>
      <c r="N42" s="439"/>
    </row>
    <row r="43" spans="1:14" ht="20.25" customHeight="1" x14ac:dyDescent="0.25">
      <c r="A43" s="85"/>
      <c r="B43" s="88" t="s">
        <v>487</v>
      </c>
      <c r="C43" s="101">
        <v>50000</v>
      </c>
      <c r="D43" s="101">
        <v>0</v>
      </c>
      <c r="E43" s="101"/>
      <c r="F43" s="427"/>
      <c r="G43" s="71"/>
      <c r="H43" s="71" t="s">
        <v>1071</v>
      </c>
      <c r="I43" s="204">
        <v>300000</v>
      </c>
      <c r="J43" s="204">
        <v>130000</v>
      </c>
      <c r="K43" s="204">
        <v>130000</v>
      </c>
      <c r="L43" s="453">
        <f t="shared" si="16"/>
        <v>1</v>
      </c>
      <c r="M43" s="439"/>
      <c r="N43" s="439"/>
    </row>
    <row r="44" spans="1:14" ht="20.25" customHeight="1" x14ac:dyDescent="0.25">
      <c r="A44" s="85"/>
      <c r="B44" s="87" t="s">
        <v>488</v>
      </c>
      <c r="C44" s="95">
        <v>350000</v>
      </c>
      <c r="D44" s="95">
        <v>670633</v>
      </c>
      <c r="E44" s="95">
        <v>670633</v>
      </c>
      <c r="F44" s="427">
        <f t="shared" si="8"/>
        <v>1</v>
      </c>
      <c r="G44" s="71"/>
      <c r="H44" s="71" t="s">
        <v>1135</v>
      </c>
      <c r="I44" s="204"/>
      <c r="J44" s="204">
        <v>810000</v>
      </c>
      <c r="K44" s="204">
        <v>810000</v>
      </c>
      <c r="L44" s="453">
        <f t="shared" si="16"/>
        <v>1</v>
      </c>
      <c r="M44" s="439"/>
      <c r="N44" s="439"/>
    </row>
    <row r="45" spans="1:14" ht="20.25" customHeight="1" x14ac:dyDescent="0.25">
      <c r="A45" s="85"/>
      <c r="B45" s="88" t="s">
        <v>490</v>
      </c>
      <c r="C45" s="101">
        <v>2000000</v>
      </c>
      <c r="D45" s="101">
        <v>290492</v>
      </c>
      <c r="E45" s="101">
        <f>288230+2262</f>
        <v>290492</v>
      </c>
      <c r="F45" s="427">
        <f t="shared" si="8"/>
        <v>1</v>
      </c>
      <c r="G45" s="71"/>
      <c r="H45" s="71"/>
      <c r="I45" s="204"/>
      <c r="J45" s="204"/>
      <c r="K45" s="204"/>
      <c r="L45" s="453"/>
      <c r="M45" s="439"/>
      <c r="N45" s="439"/>
    </row>
    <row r="46" spans="1:14" ht="20.25" customHeight="1" x14ac:dyDescent="0.25">
      <c r="A46" s="85"/>
      <c r="B46" s="88" t="s">
        <v>484</v>
      </c>
      <c r="C46" s="95">
        <v>1000000</v>
      </c>
      <c r="D46" s="95">
        <v>134385</v>
      </c>
      <c r="E46" s="95">
        <v>134385</v>
      </c>
      <c r="F46" s="427">
        <f t="shared" si="8"/>
        <v>1</v>
      </c>
      <c r="G46" s="71"/>
      <c r="H46" s="71" t="s">
        <v>582</v>
      </c>
      <c r="I46" s="296">
        <f>SUM(I47:I47)</f>
        <v>560000</v>
      </c>
      <c r="J46" s="296">
        <f t="shared" ref="J46:K46" si="24">SUM(J47:J47)</f>
        <v>254000</v>
      </c>
      <c r="K46" s="296">
        <f t="shared" si="24"/>
        <v>252593</v>
      </c>
      <c r="L46" s="453">
        <f t="shared" si="16"/>
        <v>0.99446062992125983</v>
      </c>
      <c r="M46" s="439"/>
      <c r="N46" s="439"/>
    </row>
    <row r="47" spans="1:14" ht="20.25" customHeight="1" x14ac:dyDescent="0.25">
      <c r="A47" s="85"/>
      <c r="B47" s="87" t="s">
        <v>1199</v>
      </c>
      <c r="C47" s="95"/>
      <c r="D47" s="95">
        <v>82042</v>
      </c>
      <c r="E47" s="95">
        <v>82042</v>
      </c>
      <c r="F47" s="427">
        <f t="shared" si="8"/>
        <v>1</v>
      </c>
      <c r="G47" s="71"/>
      <c r="H47" s="71" t="s">
        <v>676</v>
      </c>
      <c r="I47" s="204">
        <v>560000</v>
      </c>
      <c r="J47" s="204">
        <v>254000</v>
      </c>
      <c r="K47" s="204">
        <v>252593</v>
      </c>
      <c r="L47" s="453">
        <f t="shared" si="16"/>
        <v>0.99446062992125983</v>
      </c>
      <c r="M47" s="439"/>
      <c r="N47" s="439"/>
    </row>
    <row r="48" spans="1:14" ht="19.5" customHeight="1" x14ac:dyDescent="0.25">
      <c r="A48" s="85"/>
      <c r="B48" s="87"/>
      <c r="C48" s="95"/>
      <c r="D48" s="95"/>
      <c r="E48" s="95"/>
      <c r="F48" s="416"/>
      <c r="G48" s="71"/>
      <c r="H48" s="72" t="s">
        <v>340</v>
      </c>
      <c r="I48" s="204">
        <f>I46+I37</f>
        <v>3863400</v>
      </c>
      <c r="J48" s="204">
        <f t="shared" ref="J48:K48" si="25">J46+J37</f>
        <v>4000000</v>
      </c>
      <c r="K48" s="204">
        <f t="shared" si="25"/>
        <v>3958210</v>
      </c>
      <c r="L48" s="453">
        <f t="shared" si="16"/>
        <v>0.98955249999999995</v>
      </c>
      <c r="M48" s="439"/>
      <c r="N48" s="439"/>
    </row>
    <row r="49" spans="1:14" ht="20.25" customHeight="1" x14ac:dyDescent="0.25">
      <c r="A49" s="85"/>
      <c r="B49" s="88"/>
      <c r="C49" s="101"/>
      <c r="D49" s="101"/>
      <c r="E49" s="101"/>
      <c r="F49" s="422"/>
      <c r="G49" s="71"/>
      <c r="H49" s="71" t="s">
        <v>344</v>
      </c>
      <c r="I49" s="204">
        <f>SUM(I50:I52)</f>
        <v>10426000</v>
      </c>
      <c r="J49" s="204">
        <f t="shared" ref="J49:K49" si="26">SUM(J50:J52)</f>
        <v>10616000</v>
      </c>
      <c r="K49" s="204">
        <f t="shared" si="26"/>
        <v>10596242</v>
      </c>
      <c r="L49" s="453">
        <f t="shared" si="16"/>
        <v>0.99813884702336098</v>
      </c>
      <c r="M49" s="439"/>
      <c r="N49" s="439"/>
    </row>
    <row r="50" spans="1:14" ht="36" customHeight="1" x14ac:dyDescent="0.25">
      <c r="A50" s="85"/>
      <c r="B50" s="88"/>
      <c r="C50" s="101"/>
      <c r="D50" s="101"/>
      <c r="E50" s="101"/>
      <c r="F50" s="422"/>
      <c r="G50" s="71"/>
      <c r="H50" s="249" t="s">
        <v>731</v>
      </c>
      <c r="I50" s="204">
        <f>3200000+3800000+300000+10000*12+40000+12000*12+300000</f>
        <v>7904000</v>
      </c>
      <c r="J50" s="204">
        <v>8918000</v>
      </c>
      <c r="K50" s="204">
        <v>8917620</v>
      </c>
      <c r="L50" s="453">
        <f t="shared" si="16"/>
        <v>0.99995738954922631</v>
      </c>
      <c r="M50" s="439"/>
      <c r="N50" s="439"/>
    </row>
    <row r="51" spans="1:14" ht="20.25" customHeight="1" x14ac:dyDescent="0.25">
      <c r="A51" s="85"/>
      <c r="B51" s="87"/>
      <c r="C51" s="101"/>
      <c r="D51" s="101"/>
      <c r="E51" s="101"/>
      <c r="F51" s="422"/>
      <c r="G51" s="71"/>
      <c r="H51" s="246" t="s">
        <v>732</v>
      </c>
      <c r="I51" s="204">
        <f>12000+1100000+210000</f>
        <v>1322000</v>
      </c>
      <c r="J51" s="204">
        <v>1008000</v>
      </c>
      <c r="K51" s="204">
        <v>1007762</v>
      </c>
      <c r="L51" s="453">
        <f t="shared" si="16"/>
        <v>0.9997638888888889</v>
      </c>
      <c r="M51" s="439"/>
      <c r="N51" s="439"/>
    </row>
    <row r="52" spans="1:14" ht="20.25" customHeight="1" x14ac:dyDescent="0.25">
      <c r="A52" s="85"/>
      <c r="B52" s="87"/>
      <c r="C52" s="101"/>
      <c r="D52" s="101"/>
      <c r="E52" s="101"/>
      <c r="F52" s="422"/>
      <c r="G52" s="71"/>
      <c r="H52" s="246" t="s">
        <v>733</v>
      </c>
      <c r="I52" s="204">
        <v>1200000</v>
      </c>
      <c r="J52" s="204">
        <f>671000+19000</f>
        <v>690000</v>
      </c>
      <c r="K52" s="204">
        <v>670860</v>
      </c>
      <c r="L52" s="453">
        <f t="shared" si="16"/>
        <v>0.9722608695652174</v>
      </c>
      <c r="M52" s="439"/>
      <c r="N52" s="439"/>
    </row>
    <row r="53" spans="1:14" ht="20.25" customHeight="1" x14ac:dyDescent="0.25">
      <c r="A53" s="85"/>
      <c r="B53" s="88"/>
      <c r="C53" s="101"/>
      <c r="D53" s="101"/>
      <c r="E53" s="101"/>
      <c r="F53" s="422"/>
      <c r="G53" s="71"/>
      <c r="H53" s="71" t="s">
        <v>348</v>
      </c>
      <c r="I53" s="204">
        <v>0</v>
      </c>
      <c r="J53" s="204">
        <v>0</v>
      </c>
      <c r="K53" s="204">
        <v>0</v>
      </c>
      <c r="L53" s="453"/>
      <c r="M53" s="439"/>
      <c r="N53" s="439"/>
    </row>
    <row r="54" spans="1:14" ht="30" customHeight="1" x14ac:dyDescent="0.25">
      <c r="A54" s="85"/>
      <c r="B54" s="87"/>
      <c r="C54" s="95"/>
      <c r="D54" s="95"/>
      <c r="E54" s="95"/>
      <c r="F54" s="416"/>
      <c r="G54" s="71"/>
      <c r="H54" s="249" t="s">
        <v>1072</v>
      </c>
      <c r="I54" s="204">
        <f>12*50000+773000*2+54000*2+70000</f>
        <v>2324000</v>
      </c>
      <c r="J54" s="204">
        <v>1696000</v>
      </c>
      <c r="K54" s="204">
        <v>1695576</v>
      </c>
      <c r="L54" s="453">
        <f t="shared" si="16"/>
        <v>0.99975000000000003</v>
      </c>
      <c r="M54" s="439"/>
      <c r="N54" s="439"/>
    </row>
    <row r="55" spans="1:14" ht="20.25" customHeight="1" x14ac:dyDescent="0.25">
      <c r="A55" s="85"/>
      <c r="B55" s="88"/>
      <c r="C55" s="101"/>
      <c r="D55" s="101"/>
      <c r="E55" s="101"/>
      <c r="F55" s="422"/>
      <c r="G55" s="71"/>
      <c r="H55" s="71" t="s">
        <v>619</v>
      </c>
      <c r="I55" s="204">
        <v>820000</v>
      </c>
      <c r="J55" s="204">
        <v>1272000</v>
      </c>
      <c r="K55" s="204">
        <v>1271203</v>
      </c>
      <c r="L55" s="453">
        <f t="shared" si="16"/>
        <v>0.99937342767295601</v>
      </c>
      <c r="M55" s="439"/>
      <c r="N55" s="439"/>
    </row>
    <row r="56" spans="1:14" ht="20.25" customHeight="1" x14ac:dyDescent="0.25">
      <c r="A56" s="85"/>
      <c r="B56" s="88"/>
      <c r="C56" s="101"/>
      <c r="D56" s="101"/>
      <c r="E56" s="101"/>
      <c r="F56" s="422"/>
      <c r="G56" s="71"/>
      <c r="H56" s="71" t="s">
        <v>629</v>
      </c>
      <c r="I56" s="204">
        <v>722000</v>
      </c>
      <c r="J56" s="204">
        <f>1332000+9000</f>
        <v>1341000</v>
      </c>
      <c r="K56" s="204">
        <v>1331768</v>
      </c>
      <c r="L56" s="453">
        <f t="shared" si="16"/>
        <v>0.99311558538404177</v>
      </c>
      <c r="M56" s="439"/>
      <c r="N56" s="439"/>
    </row>
    <row r="57" spans="1:14" ht="48" customHeight="1" x14ac:dyDescent="0.25">
      <c r="A57" s="231" t="s">
        <v>56</v>
      </c>
      <c r="B57" s="227" t="s">
        <v>444</v>
      </c>
      <c r="C57" s="228">
        <f>C58+C59+C65+C70+C66+C73</f>
        <v>20511237.045000002</v>
      </c>
      <c r="D57" s="228">
        <f>D58+D59+D65+D70+D66+D73+D72+D75</f>
        <v>26528779</v>
      </c>
      <c r="E57" s="228">
        <f>E58+E59+E65+E70+E66+E73+E75+E72</f>
        <v>26557066</v>
      </c>
      <c r="F57" s="415">
        <f>+E57/D57</f>
        <v>1.0010662759865427</v>
      </c>
      <c r="G57" s="71"/>
      <c r="H57" s="249" t="s">
        <v>1124</v>
      </c>
      <c r="I57" s="204">
        <f>150000*12+229000*12+43300*12+1125000+380000*4+15*5000+200000+20000+375000+255000/127%+200000+500000+2479889/127%+5000000/127%+36</f>
        <v>15173099.77952756</v>
      </c>
      <c r="J57" s="204">
        <f>22100000+225000</f>
        <v>22325000</v>
      </c>
      <c r="K57" s="204">
        <v>22099220</v>
      </c>
      <c r="L57" s="453">
        <f t="shared" si="16"/>
        <v>0.98988667413213882</v>
      </c>
      <c r="M57" s="439"/>
      <c r="N57" s="439"/>
    </row>
    <row r="58" spans="1:14" ht="20.25" customHeight="1" x14ac:dyDescent="0.25">
      <c r="A58" s="85"/>
      <c r="B58" s="88" t="s">
        <v>1200</v>
      </c>
      <c r="C58" s="101"/>
      <c r="D58" s="101"/>
      <c r="E58" s="101">
        <v>28287</v>
      </c>
      <c r="F58" s="427"/>
      <c r="G58" s="71"/>
      <c r="H58" s="71" t="s">
        <v>353</v>
      </c>
      <c r="I58" s="204">
        <f>SUM(I59:I67)</f>
        <v>49895935</v>
      </c>
      <c r="J58" s="204">
        <f t="shared" ref="J58:K58" si="27">SUM(J59:J67)</f>
        <v>59500000</v>
      </c>
      <c r="K58" s="204">
        <f t="shared" si="27"/>
        <v>56122236</v>
      </c>
      <c r="L58" s="453">
        <f t="shared" si="16"/>
        <v>0.94323085714285715</v>
      </c>
      <c r="M58" s="439">
        <f>+K58-K62</f>
        <v>54995676</v>
      </c>
      <c r="N58" s="439"/>
    </row>
    <row r="59" spans="1:14" ht="25.5" customHeight="1" x14ac:dyDescent="0.25">
      <c r="A59" s="85"/>
      <c r="B59" s="88" t="s">
        <v>447</v>
      </c>
      <c r="C59" s="101">
        <f>SUM(C60:C64)</f>
        <v>10146000</v>
      </c>
      <c r="D59" s="101">
        <f>SUM(D60:D64)</f>
        <v>11677696</v>
      </c>
      <c r="E59" s="101">
        <f t="shared" ref="E59" si="28">SUM(E60:E64)</f>
        <v>11677696</v>
      </c>
      <c r="F59" s="427">
        <f t="shared" ref="F59:F78" si="29">+E59/D59</f>
        <v>1</v>
      </c>
      <c r="G59" s="71"/>
      <c r="H59" s="71" t="s">
        <v>735</v>
      </c>
      <c r="I59" s="204">
        <f>1022335+420000+50000+96000+181600+360000</f>
        <v>2129935</v>
      </c>
      <c r="J59" s="204">
        <v>737000</v>
      </c>
      <c r="K59" s="204">
        <v>736423</v>
      </c>
      <c r="L59" s="453">
        <f t="shared" si="16"/>
        <v>0.99921709633649936</v>
      </c>
      <c r="M59" s="439"/>
      <c r="N59" s="439"/>
    </row>
    <row r="60" spans="1:14" ht="20.25" customHeight="1" x14ac:dyDescent="0.25">
      <c r="A60" s="85"/>
      <c r="B60" s="88" t="s">
        <v>583</v>
      </c>
      <c r="C60" s="101">
        <f>10000*12+113900*12+373000+2000*12+234000*12+2000*12+50450*12+40400*12+1100000+140000</f>
        <v>7046000</v>
      </c>
      <c r="D60" s="101">
        <v>6505507</v>
      </c>
      <c r="E60" s="101">
        <v>6505507</v>
      </c>
      <c r="F60" s="427">
        <f t="shared" si="29"/>
        <v>1</v>
      </c>
      <c r="G60" s="71"/>
      <c r="H60" s="71" t="s">
        <v>734</v>
      </c>
      <c r="I60" s="204">
        <f>2630000*12+1000000</f>
        <v>32560000</v>
      </c>
      <c r="J60" s="204">
        <f>34131000+3225000</f>
        <v>37356000</v>
      </c>
      <c r="K60" s="204">
        <v>34130296</v>
      </c>
      <c r="L60" s="453">
        <f t="shared" si="16"/>
        <v>0.91364964128921722</v>
      </c>
      <c r="M60" s="439"/>
      <c r="N60" s="439"/>
    </row>
    <row r="61" spans="1:14" ht="20.25" customHeight="1" x14ac:dyDescent="0.25">
      <c r="A61" s="85"/>
      <c r="B61" s="88" t="s">
        <v>464</v>
      </c>
      <c r="C61" s="101">
        <v>1400000</v>
      </c>
      <c r="D61" s="101">
        <v>907204</v>
      </c>
      <c r="E61" s="101">
        <f>877283+4622+10464+14835</f>
        <v>907204</v>
      </c>
      <c r="F61" s="427">
        <f t="shared" si="29"/>
        <v>1</v>
      </c>
      <c r="G61" s="71"/>
      <c r="H61" s="71" t="s">
        <v>677</v>
      </c>
      <c r="I61" s="204">
        <f>140000*12</f>
        <v>1680000</v>
      </c>
      <c r="J61" s="204">
        <v>2427000</v>
      </c>
      <c r="K61" s="204">
        <v>2426488</v>
      </c>
      <c r="L61" s="453">
        <f t="shared" si="16"/>
        <v>0.9997890399670375</v>
      </c>
      <c r="M61" s="439"/>
      <c r="N61" s="439"/>
    </row>
    <row r="62" spans="1:14" ht="30" x14ac:dyDescent="0.25">
      <c r="A62" s="85"/>
      <c r="B62" s="216" t="s">
        <v>723</v>
      </c>
      <c r="C62" s="101">
        <f>25000*12+130000+900000</f>
        <v>1330000</v>
      </c>
      <c r="D62" s="101">
        <v>2024312</v>
      </c>
      <c r="E62" s="101">
        <f>2014312+10000</f>
        <v>2024312</v>
      </c>
      <c r="F62" s="427">
        <f t="shared" si="29"/>
        <v>1</v>
      </c>
      <c r="G62" s="71"/>
      <c r="H62" s="71" t="s">
        <v>1073</v>
      </c>
      <c r="I62" s="204">
        <f>170000*4+52000*2*4+(172000+20800*4+15000*4)+10000*4</f>
        <v>1451200</v>
      </c>
      <c r="J62" s="204">
        <v>1127000</v>
      </c>
      <c r="K62" s="204">
        <v>1126560</v>
      </c>
      <c r="L62" s="453">
        <f t="shared" si="16"/>
        <v>0.99960958296362024</v>
      </c>
      <c r="M62" s="439"/>
      <c r="N62" s="439"/>
    </row>
    <row r="63" spans="1:14" ht="20.25" customHeight="1" x14ac:dyDescent="0.25">
      <c r="A63" s="85"/>
      <c r="B63" s="88" t="s">
        <v>1066</v>
      </c>
      <c r="C63" s="101">
        <v>370000</v>
      </c>
      <c r="D63" s="101">
        <v>2240673</v>
      </c>
      <c r="E63" s="101">
        <f>2238173+2500</f>
        <v>2240673</v>
      </c>
      <c r="F63" s="427">
        <f t="shared" si="29"/>
        <v>1</v>
      </c>
      <c r="G63" s="71"/>
      <c r="H63" s="71" t="s">
        <v>680</v>
      </c>
      <c r="I63" s="204">
        <v>4000000</v>
      </c>
      <c r="J63" s="204">
        <v>4776000</v>
      </c>
      <c r="K63" s="204">
        <v>4775066</v>
      </c>
      <c r="L63" s="453">
        <f t="shared" si="16"/>
        <v>0.99980443886097148</v>
      </c>
      <c r="M63" s="439"/>
      <c r="N63" s="439"/>
    </row>
    <row r="64" spans="1:14" ht="20.25" customHeight="1" x14ac:dyDescent="0.25">
      <c r="A64" s="85"/>
      <c r="B64" s="88"/>
      <c r="C64" s="101"/>
      <c r="D64" s="101"/>
      <c r="E64" s="101"/>
      <c r="F64" s="427"/>
      <c r="G64" s="71"/>
      <c r="H64" s="71" t="s">
        <v>737</v>
      </c>
      <c r="I64" s="204">
        <f>1500000+740000</f>
        <v>2240000</v>
      </c>
      <c r="J64" s="204">
        <f>5019000+121000</f>
        <v>5140000</v>
      </c>
      <c r="K64" s="204">
        <v>5018819</v>
      </c>
      <c r="L64" s="453">
        <f t="shared" si="16"/>
        <v>0.97642392996108951</v>
      </c>
      <c r="M64" s="439"/>
      <c r="N64" s="439"/>
    </row>
    <row r="65" spans="1:14" ht="30" customHeight="1" x14ac:dyDescent="0.25">
      <c r="A65" s="85"/>
      <c r="B65" s="88" t="s">
        <v>724</v>
      </c>
      <c r="C65" s="101">
        <f>6000*12+220000+250000+180000</f>
        <v>722000</v>
      </c>
      <c r="D65" s="101">
        <v>2152012</v>
      </c>
      <c r="E65" s="101">
        <v>2152012</v>
      </c>
      <c r="F65" s="427">
        <f t="shared" si="29"/>
        <v>1</v>
      </c>
      <c r="G65" s="71"/>
      <c r="H65" s="246" t="s">
        <v>1074</v>
      </c>
      <c r="I65" s="204">
        <f>200000*4+452000*10</f>
        <v>5320000</v>
      </c>
      <c r="J65" s="204">
        <v>7313000</v>
      </c>
      <c r="K65" s="204">
        <v>7312612</v>
      </c>
      <c r="L65" s="453">
        <f t="shared" si="16"/>
        <v>0.99994694379871463</v>
      </c>
      <c r="M65" s="439"/>
      <c r="N65" s="439"/>
    </row>
    <row r="66" spans="1:14" ht="20.25" customHeight="1" x14ac:dyDescent="0.25">
      <c r="A66" s="85"/>
      <c r="B66" s="88" t="s">
        <v>449</v>
      </c>
      <c r="C66" s="296">
        <f>3219392045*0.001+115000+14870*12</f>
        <v>3512832.0449999999</v>
      </c>
      <c r="D66" s="296">
        <v>5005066</v>
      </c>
      <c r="E66" s="296">
        <v>5005066</v>
      </c>
      <c r="F66" s="427">
        <f t="shared" si="29"/>
        <v>1</v>
      </c>
      <c r="G66" s="71"/>
      <c r="H66" s="246" t="s">
        <v>736</v>
      </c>
      <c r="I66" s="204">
        <f>125000*4+3700*4</f>
        <v>514800</v>
      </c>
      <c r="J66" s="204">
        <f>596000+28000</f>
        <v>624000</v>
      </c>
      <c r="K66" s="204">
        <v>595972</v>
      </c>
      <c r="L66" s="453">
        <f t="shared" si="16"/>
        <v>0.95508333333333328</v>
      </c>
      <c r="M66" s="439"/>
      <c r="N66" s="439"/>
    </row>
    <row r="67" spans="1:14" ht="20.25" customHeight="1" x14ac:dyDescent="0.25">
      <c r="A67" s="85"/>
      <c r="B67" s="88" t="s">
        <v>450</v>
      </c>
      <c r="C67" s="101">
        <f>SUM(C68:C69)</f>
        <v>0</v>
      </c>
      <c r="D67" s="101">
        <f t="shared" ref="D67:E67" si="30">SUM(D68:D69)</f>
        <v>0</v>
      </c>
      <c r="E67" s="101">
        <f t="shared" si="30"/>
        <v>0</v>
      </c>
      <c r="F67" s="427"/>
      <c r="G67" s="71"/>
      <c r="H67" s="246"/>
      <c r="I67" s="204"/>
      <c r="J67" s="204"/>
      <c r="K67" s="204"/>
      <c r="L67" s="453"/>
      <c r="M67" s="439"/>
      <c r="N67" s="439"/>
    </row>
    <row r="68" spans="1:14" ht="20.25" customHeight="1" x14ac:dyDescent="0.25">
      <c r="A68" s="85"/>
      <c r="B68" s="87" t="s">
        <v>496</v>
      </c>
      <c r="C68" s="101"/>
      <c r="D68" s="101"/>
      <c r="E68" s="101"/>
      <c r="F68" s="427"/>
      <c r="G68" s="71"/>
      <c r="H68" s="72" t="s">
        <v>343</v>
      </c>
      <c r="I68" s="204">
        <f>I49+I53+I54+I55+I56+I57+I58</f>
        <v>79361034.77952756</v>
      </c>
      <c r="J68" s="204">
        <f>J49+J53+J54+J55+J56+J57+J58</f>
        <v>96750000</v>
      </c>
      <c r="K68" s="204">
        <f>K49+K53+K54+K55+K56+K57+K58</f>
        <v>93116245</v>
      </c>
      <c r="L68" s="453">
        <f t="shared" si="16"/>
        <v>0.96244180878552976</v>
      </c>
      <c r="M68" s="439"/>
      <c r="N68" s="439"/>
    </row>
    <row r="69" spans="1:14" ht="20.25" customHeight="1" x14ac:dyDescent="0.25">
      <c r="A69" s="85"/>
      <c r="C69" s="101"/>
      <c r="D69" s="101"/>
      <c r="E69" s="101"/>
      <c r="F69" s="427"/>
      <c r="G69" s="71"/>
      <c r="H69" s="71" t="s">
        <v>356</v>
      </c>
      <c r="I69" s="204">
        <v>500000</v>
      </c>
      <c r="J69" s="204">
        <v>262000</v>
      </c>
      <c r="K69" s="204">
        <v>261220</v>
      </c>
      <c r="L69" s="453">
        <f t="shared" si="16"/>
        <v>0.99702290076335875</v>
      </c>
      <c r="M69" s="439"/>
      <c r="N69" s="439"/>
    </row>
    <row r="70" spans="1:14" ht="45.75" customHeight="1" x14ac:dyDescent="0.25">
      <c r="A70" s="85"/>
      <c r="B70" s="88" t="s">
        <v>452</v>
      </c>
      <c r="C70" s="106">
        <v>2980405</v>
      </c>
      <c r="D70" s="106">
        <v>3380711</v>
      </c>
      <c r="E70" s="106">
        <v>3380711</v>
      </c>
      <c r="F70" s="427">
        <f t="shared" si="29"/>
        <v>1</v>
      </c>
      <c r="G70" s="71"/>
      <c r="H70" s="112" t="s">
        <v>1075</v>
      </c>
      <c r="I70" s="204">
        <f>4500000+500000+190000*12+30000+470000+150000+164138/127%-243</f>
        <v>8058999.5196850393</v>
      </c>
      <c r="J70" s="204">
        <v>7167000</v>
      </c>
      <c r="K70" s="204">
        <v>7126349</v>
      </c>
      <c r="L70" s="453">
        <f t="shared" si="16"/>
        <v>0.99432803125436031</v>
      </c>
      <c r="M70" s="439"/>
      <c r="N70" s="439"/>
    </row>
    <row r="71" spans="1:14" ht="20.25" customHeight="1" x14ac:dyDescent="0.25">
      <c r="A71" s="85"/>
      <c r="B71" s="88" t="s">
        <v>453</v>
      </c>
      <c r="C71" s="205"/>
      <c r="D71" s="205"/>
      <c r="E71" s="205"/>
      <c r="F71" s="427"/>
      <c r="G71" s="71"/>
      <c r="H71" s="72" t="s">
        <v>358</v>
      </c>
      <c r="I71" s="204">
        <f>I69+I70</f>
        <v>8558999.5196850393</v>
      </c>
      <c r="J71" s="204">
        <f t="shared" ref="J71:K71" si="31">J69+J70</f>
        <v>7429000</v>
      </c>
      <c r="K71" s="204">
        <f t="shared" si="31"/>
        <v>7387569</v>
      </c>
      <c r="L71" s="453">
        <f t="shared" si="16"/>
        <v>0.99442307174586086</v>
      </c>
      <c r="M71" s="439"/>
      <c r="N71" s="439"/>
    </row>
    <row r="72" spans="1:14" ht="20.25" customHeight="1" x14ac:dyDescent="0.25">
      <c r="A72" s="85"/>
      <c r="B72" s="88" t="s">
        <v>1749</v>
      </c>
      <c r="C72" s="205"/>
      <c r="D72" s="205">
        <v>362512</v>
      </c>
      <c r="E72" s="205">
        <v>362512</v>
      </c>
      <c r="F72" s="427">
        <f t="shared" si="29"/>
        <v>1</v>
      </c>
      <c r="G72" s="71"/>
      <c r="H72" s="72"/>
      <c r="I72" s="204"/>
      <c r="J72" s="204"/>
      <c r="K72" s="204"/>
      <c r="L72" s="453"/>
      <c r="M72" s="439"/>
      <c r="N72" s="439"/>
    </row>
    <row r="73" spans="1:14" ht="20.25" customHeight="1" x14ac:dyDescent="0.25">
      <c r="A73" s="85"/>
      <c r="B73" s="88" t="s">
        <v>660</v>
      </c>
      <c r="C73" s="106">
        <v>3150000</v>
      </c>
      <c r="D73" s="106">
        <v>3253967</v>
      </c>
      <c r="E73" s="106">
        <v>3253967</v>
      </c>
      <c r="F73" s="427">
        <f t="shared" si="29"/>
        <v>1</v>
      </c>
      <c r="G73" s="71"/>
      <c r="H73" s="71" t="s">
        <v>360</v>
      </c>
      <c r="I73" s="204">
        <v>23769000</v>
      </c>
      <c r="J73" s="204">
        <f>25464000+991000</f>
        <v>26455000</v>
      </c>
      <c r="K73" s="204">
        <v>25463342</v>
      </c>
      <c r="L73" s="453">
        <f t="shared" si="16"/>
        <v>0.96251529011529013</v>
      </c>
      <c r="M73" s="439"/>
      <c r="N73" s="439"/>
    </row>
    <row r="74" spans="1:14" ht="20.25" customHeight="1" x14ac:dyDescent="0.25">
      <c r="A74" s="85"/>
      <c r="B74" s="88" t="s">
        <v>455</v>
      </c>
      <c r="C74" s="87"/>
      <c r="D74" s="87"/>
      <c r="E74" s="87"/>
      <c r="F74" s="427"/>
      <c r="G74" s="71"/>
      <c r="H74" s="71" t="s">
        <v>1076</v>
      </c>
      <c r="I74" s="204">
        <v>33017500</v>
      </c>
      <c r="J74" s="204">
        <v>20479000</v>
      </c>
      <c r="K74" s="204">
        <v>20479000</v>
      </c>
      <c r="L74" s="453">
        <f t="shared" si="16"/>
        <v>1</v>
      </c>
      <c r="M74" s="439"/>
      <c r="N74" s="439"/>
    </row>
    <row r="75" spans="1:14" ht="19.5" customHeight="1" x14ac:dyDescent="0.25">
      <c r="A75" s="85"/>
      <c r="B75" s="88" t="s">
        <v>456</v>
      </c>
      <c r="C75" s="87">
        <f>SUM(C76:C78)</f>
        <v>0</v>
      </c>
      <c r="D75" s="106">
        <f t="shared" ref="D75" si="32">SUM(D76:D78)</f>
        <v>696815</v>
      </c>
      <c r="E75" s="106">
        <f>SUM(E76:E78)</f>
        <v>696815</v>
      </c>
      <c r="F75" s="427">
        <f t="shared" si="29"/>
        <v>1</v>
      </c>
      <c r="G75" s="71"/>
      <c r="H75" s="71" t="s">
        <v>362</v>
      </c>
      <c r="I75" s="204"/>
      <c r="J75" s="204">
        <v>1000</v>
      </c>
      <c r="K75" s="204">
        <v>70</v>
      </c>
      <c r="L75" s="453">
        <f t="shared" si="16"/>
        <v>7.0000000000000007E-2</v>
      </c>
      <c r="M75" s="439"/>
      <c r="N75" s="439"/>
    </row>
    <row r="76" spans="1:14" ht="19.5" customHeight="1" x14ac:dyDescent="0.25">
      <c r="A76" s="85"/>
      <c r="B76" s="87" t="s">
        <v>457</v>
      </c>
      <c r="C76" s="87"/>
      <c r="D76" s="87"/>
      <c r="E76" s="106"/>
      <c r="F76" s="427"/>
      <c r="G76" s="71"/>
      <c r="H76" s="71" t="s">
        <v>363</v>
      </c>
      <c r="I76" s="204"/>
      <c r="J76" s="204"/>
      <c r="K76" s="204"/>
      <c r="L76" s="453"/>
      <c r="M76" s="439"/>
      <c r="N76" s="439"/>
    </row>
    <row r="77" spans="1:14" ht="27" customHeight="1" x14ac:dyDescent="0.25">
      <c r="A77" s="85"/>
      <c r="B77" s="87" t="s">
        <v>1156</v>
      </c>
      <c r="C77" s="87"/>
      <c r="D77" s="106">
        <v>231895</v>
      </c>
      <c r="E77" s="106">
        <v>231895</v>
      </c>
      <c r="F77" s="427">
        <f t="shared" si="29"/>
        <v>1</v>
      </c>
      <c r="G77" s="71"/>
      <c r="H77" s="112" t="s">
        <v>364</v>
      </c>
      <c r="I77" s="204">
        <f>SUM(I78:I79)</f>
        <v>3612000</v>
      </c>
      <c r="J77" s="204">
        <f t="shared" ref="J77:K77" si="33">SUM(J78:J79)</f>
        <v>12055000</v>
      </c>
      <c r="K77" s="204">
        <f t="shared" si="33"/>
        <v>12041159</v>
      </c>
      <c r="L77" s="453">
        <f t="shared" si="16"/>
        <v>0.99885184570717545</v>
      </c>
      <c r="M77" s="439"/>
      <c r="N77" s="439"/>
    </row>
    <row r="78" spans="1:14" ht="21.75" customHeight="1" x14ac:dyDescent="0.25">
      <c r="A78" s="85"/>
      <c r="B78" s="87" t="s">
        <v>1201</v>
      </c>
      <c r="C78" s="101"/>
      <c r="D78" s="101">
        <v>464920</v>
      </c>
      <c r="E78" s="106">
        <v>464920</v>
      </c>
      <c r="F78" s="427">
        <f t="shared" si="29"/>
        <v>1</v>
      </c>
      <c r="G78" s="71"/>
      <c r="H78" s="71" t="s">
        <v>678</v>
      </c>
      <c r="I78" s="204">
        <f>150000+90000+240000+132000</f>
        <v>612000</v>
      </c>
      <c r="J78" s="204">
        <v>203000</v>
      </c>
      <c r="K78" s="204">
        <v>202043</v>
      </c>
      <c r="L78" s="453">
        <f t="shared" si="16"/>
        <v>0.99528571428571433</v>
      </c>
      <c r="M78" s="439"/>
      <c r="N78" s="439"/>
    </row>
    <row r="79" spans="1:14" ht="21.75" customHeight="1" x14ac:dyDescent="0.25">
      <c r="A79" s="85"/>
      <c r="B79" s="87"/>
      <c r="C79" s="101"/>
      <c r="D79" s="101"/>
      <c r="E79" s="106"/>
      <c r="F79" s="427"/>
      <c r="G79" s="71"/>
      <c r="H79" s="71" t="s">
        <v>630</v>
      </c>
      <c r="I79" s="204">
        <v>3000000</v>
      </c>
      <c r="J79" s="204">
        <f>11840000+12000</f>
        <v>11852000</v>
      </c>
      <c r="K79" s="204">
        <v>11839116</v>
      </c>
      <c r="L79" s="453">
        <f t="shared" si="16"/>
        <v>0.99891292608842386</v>
      </c>
      <c r="M79" s="439"/>
      <c r="N79" s="439"/>
    </row>
    <row r="80" spans="1:14" ht="19.5" customHeight="1" x14ac:dyDescent="0.25">
      <c r="A80" s="85"/>
      <c r="B80" s="87"/>
      <c r="C80" s="101"/>
      <c r="D80" s="101"/>
      <c r="E80" s="106"/>
      <c r="F80" s="422"/>
      <c r="G80" s="71"/>
      <c r="H80" s="72" t="s">
        <v>359</v>
      </c>
      <c r="I80" s="244">
        <f>I73+I74+I75+I76+I77</f>
        <v>60398500</v>
      </c>
      <c r="J80" s="244">
        <f t="shared" ref="J80:K80" si="34">J73+J74+J75+J76+J77</f>
        <v>58990000</v>
      </c>
      <c r="K80" s="244">
        <f t="shared" si="34"/>
        <v>57983571</v>
      </c>
      <c r="L80" s="453">
        <f t="shared" si="16"/>
        <v>0.9829389896592643</v>
      </c>
      <c r="M80" s="439"/>
      <c r="N80" s="439"/>
    </row>
    <row r="81" spans="1:16" ht="19.5" customHeight="1" x14ac:dyDescent="0.25">
      <c r="A81" s="85"/>
      <c r="C81" s="101"/>
      <c r="D81" s="101"/>
      <c r="E81" s="101"/>
      <c r="F81" s="422"/>
      <c r="G81" s="231" t="s">
        <v>64</v>
      </c>
      <c r="H81" s="227" t="s">
        <v>365</v>
      </c>
      <c r="I81" s="290">
        <f>SUM(I82:I87)</f>
        <v>5267280</v>
      </c>
      <c r="J81" s="290">
        <f t="shared" ref="J81:K81" si="35">SUM(J82:J87)</f>
        <v>3556080</v>
      </c>
      <c r="K81" s="290">
        <f t="shared" si="35"/>
        <v>3225218</v>
      </c>
      <c r="L81" s="415">
        <f>+K81/J81</f>
        <v>0.90695878607905334</v>
      </c>
      <c r="M81" s="439"/>
      <c r="N81" s="439"/>
    </row>
    <row r="82" spans="1:16" ht="19.5" customHeight="1" x14ac:dyDescent="0.2">
      <c r="A82" s="85"/>
      <c r="B82" s="88"/>
      <c r="C82" s="106"/>
      <c r="D82" s="106"/>
      <c r="E82" s="106"/>
      <c r="F82" s="427"/>
      <c r="G82" s="71"/>
      <c r="H82" s="246" t="s">
        <v>366</v>
      </c>
      <c r="I82" s="204">
        <f>6270*12*2+8400*2+800000</f>
        <v>967280</v>
      </c>
      <c r="J82" s="204">
        <v>804080</v>
      </c>
      <c r="K82" s="204">
        <v>804080</v>
      </c>
      <c r="L82" s="453">
        <f t="shared" si="16"/>
        <v>1</v>
      </c>
      <c r="M82" s="439"/>
      <c r="N82" s="439"/>
      <c r="O82" s="303"/>
      <c r="P82" s="302"/>
    </row>
    <row r="83" spans="1:16" ht="19.5" customHeight="1" x14ac:dyDescent="0.2">
      <c r="A83" s="87"/>
      <c r="B83" s="88"/>
      <c r="C83" s="205"/>
      <c r="D83" s="205"/>
      <c r="E83" s="205"/>
      <c r="F83" s="428"/>
      <c r="G83" s="71"/>
      <c r="H83" s="248" t="s">
        <v>367</v>
      </c>
      <c r="I83" s="204"/>
      <c r="J83" s="204"/>
      <c r="K83" s="204"/>
      <c r="L83" s="441"/>
      <c r="M83" s="439"/>
      <c r="N83" s="439"/>
      <c r="O83" s="303"/>
      <c r="P83" s="302"/>
    </row>
    <row r="84" spans="1:16" ht="19.5" customHeight="1" x14ac:dyDescent="0.2">
      <c r="A84" s="87"/>
      <c r="B84" s="88"/>
      <c r="C84" s="87"/>
      <c r="D84" s="87"/>
      <c r="E84" s="87"/>
      <c r="F84" s="422"/>
      <c r="G84" s="71"/>
      <c r="H84" s="246" t="s">
        <v>368</v>
      </c>
      <c r="I84" s="204"/>
      <c r="J84" s="204"/>
      <c r="K84" s="204"/>
      <c r="L84" s="441"/>
      <c r="M84" s="439"/>
      <c r="N84" s="439"/>
      <c r="O84" s="303"/>
      <c r="P84" s="302"/>
    </row>
    <row r="85" spans="1:16" ht="19.5" customHeight="1" x14ac:dyDescent="0.2">
      <c r="A85" s="87"/>
      <c r="B85" s="88"/>
      <c r="C85" s="87"/>
      <c r="D85" s="87"/>
      <c r="E85" s="87"/>
      <c r="F85" s="422"/>
      <c r="G85" s="71"/>
      <c r="H85" s="246" t="s">
        <v>369</v>
      </c>
      <c r="I85" s="204"/>
      <c r="J85" s="204"/>
      <c r="K85" s="204"/>
      <c r="L85" s="441"/>
      <c r="M85" s="439"/>
      <c r="N85" s="439"/>
      <c r="O85" s="303"/>
      <c r="P85" s="302"/>
    </row>
    <row r="86" spans="1:16" ht="19.5" customHeight="1" x14ac:dyDescent="0.2">
      <c r="A86" s="87"/>
      <c r="B86" s="88"/>
      <c r="C86" s="87"/>
      <c r="D86" s="87"/>
      <c r="E86" s="87"/>
      <c r="F86" s="422"/>
      <c r="G86" s="71"/>
      <c r="H86" s="246" t="s">
        <v>738</v>
      </c>
      <c r="I86" s="204"/>
      <c r="J86" s="204"/>
      <c r="K86" s="204"/>
      <c r="L86" s="441"/>
      <c r="M86" s="439"/>
      <c r="N86" s="439"/>
      <c r="O86" s="303"/>
      <c r="P86" s="302"/>
    </row>
    <row r="87" spans="1:16" ht="19.5" customHeight="1" x14ac:dyDescent="0.2">
      <c r="A87" s="87"/>
      <c r="B87" s="87"/>
      <c r="C87" s="87"/>
      <c r="D87" s="87"/>
      <c r="E87" s="87"/>
      <c r="F87" s="422"/>
      <c r="G87" s="71"/>
      <c r="H87" s="246" t="s">
        <v>371</v>
      </c>
      <c r="I87" s="204">
        <v>4300000</v>
      </c>
      <c r="J87" s="204">
        <f>2422000+330000</f>
        <v>2752000</v>
      </c>
      <c r="K87" s="204">
        <v>2421138</v>
      </c>
      <c r="L87" s="453">
        <f t="shared" ref="L87" si="36">+K87/J87</f>
        <v>0.87977398255813954</v>
      </c>
      <c r="M87" s="439"/>
      <c r="N87" s="439"/>
      <c r="O87" s="303"/>
      <c r="P87" s="302"/>
    </row>
    <row r="88" spans="1:16" ht="19.5" customHeight="1" x14ac:dyDescent="0.2">
      <c r="A88" s="87"/>
      <c r="B88" s="87"/>
      <c r="C88" s="87"/>
      <c r="D88" s="87"/>
      <c r="E88" s="87"/>
      <c r="F88" s="422"/>
      <c r="G88" s="231" t="s">
        <v>100</v>
      </c>
      <c r="H88" s="227" t="s">
        <v>499</v>
      </c>
      <c r="I88" s="290">
        <f>I90+I91+I97+I98+I103</f>
        <v>57434544</v>
      </c>
      <c r="J88" s="290">
        <f>J89+J90+J91+J97+J98+J103</f>
        <v>45814334</v>
      </c>
      <c r="K88" s="290">
        <f>K89+K90+K91+K97+K98+K103</f>
        <v>42315228</v>
      </c>
      <c r="L88" s="415">
        <f>+K88/J88</f>
        <v>0.92362420896481878</v>
      </c>
      <c r="M88" s="439"/>
      <c r="N88" s="439"/>
      <c r="O88" s="303"/>
      <c r="P88" s="302"/>
    </row>
    <row r="89" spans="1:16" ht="21.75" customHeight="1" x14ac:dyDescent="0.2">
      <c r="A89" s="85"/>
      <c r="B89" s="87"/>
      <c r="C89" s="101"/>
      <c r="D89" s="101"/>
      <c r="E89" s="101"/>
      <c r="F89" s="422"/>
      <c r="G89" s="71"/>
      <c r="H89" s="71" t="s">
        <v>372</v>
      </c>
      <c r="I89" s="244" t="s">
        <v>253</v>
      </c>
      <c r="J89" s="244">
        <v>4555700</v>
      </c>
      <c r="K89" s="244">
        <v>4555700</v>
      </c>
      <c r="L89" s="453">
        <f t="shared" ref="L89:L101" si="37">+K89/J89</f>
        <v>1</v>
      </c>
      <c r="M89" s="439"/>
      <c r="N89" s="439"/>
      <c r="O89" s="303"/>
      <c r="P89" s="302"/>
    </row>
    <row r="90" spans="1:16" ht="21.75" customHeight="1" x14ac:dyDescent="0.2">
      <c r="A90" s="85"/>
      <c r="B90" s="86"/>
      <c r="C90" s="109"/>
      <c r="D90" s="109"/>
      <c r="E90" s="109"/>
      <c r="F90" s="423"/>
      <c r="G90" s="71"/>
      <c r="H90" s="71" t="s">
        <v>373</v>
      </c>
      <c r="I90" s="294"/>
      <c r="J90" s="294"/>
      <c r="K90" s="294"/>
      <c r="L90" s="455"/>
      <c r="M90" s="439"/>
      <c r="N90" s="439"/>
      <c r="O90" s="303"/>
      <c r="P90" s="302"/>
    </row>
    <row r="91" spans="1:16" ht="20.25" customHeight="1" x14ac:dyDescent="0.2">
      <c r="A91" s="231" t="s">
        <v>64</v>
      </c>
      <c r="B91" s="227" t="s">
        <v>460</v>
      </c>
      <c r="C91" s="228">
        <f>SUM(C92:C94)</f>
        <v>0</v>
      </c>
      <c r="D91" s="228">
        <f t="shared" ref="D91:E91" si="38">SUM(D92:D94)</f>
        <v>4364800</v>
      </c>
      <c r="E91" s="228">
        <f t="shared" si="38"/>
        <v>4364800</v>
      </c>
      <c r="F91" s="415">
        <f>+E91/D91</f>
        <v>1</v>
      </c>
      <c r="G91" s="71"/>
      <c r="H91" s="71" t="s">
        <v>374</v>
      </c>
      <c r="I91" s="244">
        <f>SUM(I92:I96)</f>
        <v>18076620</v>
      </c>
      <c r="J91" s="244">
        <f t="shared" ref="J91:K91" si="39">SUM(J92:J96)</f>
        <v>17554940</v>
      </c>
      <c r="K91" s="244">
        <f t="shared" si="39"/>
        <v>17554928</v>
      </c>
      <c r="L91" s="453">
        <f t="shared" si="37"/>
        <v>0.99999931643172801</v>
      </c>
      <c r="M91" s="439"/>
      <c r="N91" s="439"/>
      <c r="O91" s="303"/>
      <c r="P91" s="302"/>
    </row>
    <row r="92" spans="1:16" ht="30" x14ac:dyDescent="0.25">
      <c r="A92" s="85"/>
      <c r="B92" s="88" t="s">
        <v>461</v>
      </c>
      <c r="C92" s="109"/>
      <c r="D92" s="109"/>
      <c r="E92" s="109"/>
      <c r="F92" s="423"/>
      <c r="G92" s="71"/>
      <c r="H92" s="71" t="s">
        <v>631</v>
      </c>
      <c r="I92" s="244">
        <f>6356*30</f>
        <v>190680</v>
      </c>
      <c r="J92" s="244">
        <v>254240</v>
      </c>
      <c r="K92" s="244">
        <v>254240</v>
      </c>
      <c r="L92" s="453">
        <f t="shared" si="37"/>
        <v>1</v>
      </c>
      <c r="M92" s="439"/>
      <c r="N92" s="439"/>
    </row>
    <row r="93" spans="1:16" ht="30" x14ac:dyDescent="0.25">
      <c r="A93" s="85"/>
      <c r="B93" s="83" t="s">
        <v>661</v>
      </c>
      <c r="C93" s="109"/>
      <c r="D93" s="109"/>
      <c r="E93" s="109"/>
      <c r="F93" s="423"/>
      <c r="G93" s="71"/>
      <c r="H93" s="71" t="s">
        <v>679</v>
      </c>
      <c r="I93" s="244">
        <v>15095600</v>
      </c>
      <c r="J93" s="244">
        <v>15095600</v>
      </c>
      <c r="K93" s="244">
        <v>15095600</v>
      </c>
      <c r="L93" s="453">
        <f t="shared" si="37"/>
        <v>1</v>
      </c>
      <c r="M93" s="439"/>
      <c r="N93" s="439"/>
    </row>
    <row r="94" spans="1:16" ht="20.25" customHeight="1" x14ac:dyDescent="0.25">
      <c r="A94" s="85"/>
      <c r="B94" s="88" t="s">
        <v>614</v>
      </c>
      <c r="C94" s="313"/>
      <c r="D94" s="313">
        <v>4364800</v>
      </c>
      <c r="E94" s="313">
        <v>4364800</v>
      </c>
      <c r="F94" s="441">
        <f>+E94/D94</f>
        <v>1</v>
      </c>
      <c r="G94" s="71"/>
      <c r="H94" s="71" t="s">
        <v>637</v>
      </c>
      <c r="I94" s="244">
        <f>6356*100</f>
        <v>635600</v>
      </c>
      <c r="J94" s="244">
        <v>0</v>
      </c>
      <c r="K94" s="244"/>
      <c r="L94" s="453"/>
      <c r="M94" s="439"/>
      <c r="N94" s="439"/>
    </row>
    <row r="95" spans="1:16" ht="20.25" customHeight="1" x14ac:dyDescent="0.25">
      <c r="A95" s="85"/>
      <c r="B95" s="86"/>
      <c r="C95" s="109"/>
      <c r="D95" s="109"/>
      <c r="E95" s="109"/>
      <c r="F95" s="423"/>
      <c r="G95" s="71"/>
      <c r="H95" s="71" t="s">
        <v>632</v>
      </c>
      <c r="I95" s="244">
        <f>451185*4</f>
        <v>1804740</v>
      </c>
      <c r="J95" s="244">
        <v>1825100</v>
      </c>
      <c r="K95" s="244">
        <v>1825088</v>
      </c>
      <c r="L95" s="453">
        <f t="shared" si="37"/>
        <v>0.99999342501780719</v>
      </c>
      <c r="M95" s="439"/>
      <c r="N95" s="439"/>
    </row>
    <row r="96" spans="1:16" ht="20.25" customHeight="1" x14ac:dyDescent="0.25">
      <c r="A96" s="85"/>
      <c r="B96" s="86"/>
      <c r="C96" s="109"/>
      <c r="D96" s="109"/>
      <c r="E96" s="109"/>
      <c r="F96" s="423"/>
      <c r="G96" s="71"/>
      <c r="H96" s="71" t="s">
        <v>1086</v>
      </c>
      <c r="I96" s="244">
        <v>350000</v>
      </c>
      <c r="J96" s="244">
        <v>380000</v>
      </c>
      <c r="K96" s="244">
        <v>380000</v>
      </c>
      <c r="L96" s="453">
        <f t="shared" si="37"/>
        <v>1</v>
      </c>
      <c r="M96" s="439"/>
      <c r="N96" s="439"/>
    </row>
    <row r="97" spans="1:15" ht="24" customHeight="1" x14ac:dyDescent="0.25">
      <c r="A97" s="85"/>
      <c r="B97" s="88"/>
      <c r="C97" s="101"/>
      <c r="D97" s="101"/>
      <c r="E97" s="101"/>
      <c r="F97" s="422"/>
      <c r="G97" s="71"/>
      <c r="H97" s="71" t="s">
        <v>375</v>
      </c>
      <c r="I97" s="294"/>
      <c r="J97" s="294"/>
      <c r="K97" s="294"/>
      <c r="L97" s="453"/>
      <c r="M97" s="439"/>
      <c r="N97" s="439"/>
    </row>
    <row r="98" spans="1:15" ht="20.25" customHeight="1" x14ac:dyDescent="0.25">
      <c r="A98" s="85"/>
      <c r="B98" s="83"/>
      <c r="C98" s="101"/>
      <c r="D98" s="101"/>
      <c r="E98" s="101"/>
      <c r="F98" s="422"/>
      <c r="G98" s="71"/>
      <c r="H98" s="71" t="s">
        <v>656</v>
      </c>
      <c r="I98" s="244">
        <f>SUM(I99:I101)</f>
        <v>13905000</v>
      </c>
      <c r="J98" s="244">
        <f>SUM(J99:J102)</f>
        <v>20204600</v>
      </c>
      <c r="K98" s="244">
        <f>SUM(K99:K102)</f>
        <v>20204600</v>
      </c>
      <c r="L98" s="453">
        <f t="shared" si="37"/>
        <v>1</v>
      </c>
      <c r="M98" s="439"/>
      <c r="N98" s="439"/>
    </row>
    <row r="99" spans="1:15" x14ac:dyDescent="0.25">
      <c r="A99" s="85"/>
      <c r="B99" s="83"/>
      <c r="C99" s="101"/>
      <c r="D99" s="101"/>
      <c r="E99" s="101"/>
      <c r="F99" s="422"/>
      <c r="G99" s="71"/>
      <c r="H99" s="71" t="s">
        <v>633</v>
      </c>
      <c r="I99" s="244">
        <f>250000*12</f>
        <v>3000000</v>
      </c>
      <c r="J99" s="244">
        <f t="shared" ref="J99" si="40">250000*12</f>
        <v>3000000</v>
      </c>
      <c r="K99" s="244">
        <v>3000000</v>
      </c>
      <c r="L99" s="453">
        <f t="shared" si="37"/>
        <v>1</v>
      </c>
      <c r="M99" s="439"/>
      <c r="N99" s="439"/>
    </row>
    <row r="100" spans="1:15" x14ac:dyDescent="0.25">
      <c r="A100" s="85"/>
      <c r="B100" s="83"/>
      <c r="C100" s="101"/>
      <c r="D100" s="101"/>
      <c r="E100" s="101"/>
      <c r="F100" s="422"/>
      <c r="G100" s="71"/>
      <c r="H100" s="71" t="s">
        <v>634</v>
      </c>
      <c r="I100" s="244">
        <v>300000</v>
      </c>
      <c r="J100" s="244">
        <v>450000</v>
      </c>
      <c r="K100" s="244">
        <v>450000</v>
      </c>
      <c r="L100" s="453">
        <f t="shared" si="37"/>
        <v>1</v>
      </c>
      <c r="M100" s="439"/>
      <c r="N100" s="439"/>
    </row>
    <row r="101" spans="1:15" x14ac:dyDescent="0.25">
      <c r="A101" s="85"/>
      <c r="B101" s="83"/>
      <c r="C101" s="101"/>
      <c r="D101" s="101"/>
      <c r="E101" s="101"/>
      <c r="F101" s="422"/>
      <c r="G101" s="71"/>
      <c r="H101" s="71" t="s">
        <v>635</v>
      </c>
      <c r="I101" s="244">
        <f>9605840+1000000-840</f>
        <v>10605000</v>
      </c>
      <c r="J101" s="244">
        <v>12174300</v>
      </c>
      <c r="K101" s="244">
        <v>12174300</v>
      </c>
      <c r="L101" s="453">
        <f t="shared" si="37"/>
        <v>1</v>
      </c>
      <c r="M101" s="439"/>
      <c r="N101" s="439"/>
    </row>
    <row r="102" spans="1:15" x14ac:dyDescent="0.25">
      <c r="A102" s="85"/>
      <c r="B102" s="83"/>
      <c r="C102" s="101"/>
      <c r="D102" s="101"/>
      <c r="E102" s="101"/>
      <c r="F102" s="422"/>
      <c r="G102" s="71"/>
      <c r="H102" s="71" t="s">
        <v>1205</v>
      </c>
      <c r="I102" s="244"/>
      <c r="J102" s="244">
        <v>4580300</v>
      </c>
      <c r="K102" s="244">
        <v>4580300</v>
      </c>
      <c r="L102" s="453"/>
      <c r="M102" s="439"/>
      <c r="N102" s="439"/>
    </row>
    <row r="103" spans="1:15" ht="20.25" customHeight="1" x14ac:dyDescent="0.25">
      <c r="A103" s="85"/>
      <c r="B103" s="88"/>
      <c r="C103" s="99"/>
      <c r="D103" s="99"/>
      <c r="E103" s="99"/>
      <c r="F103" s="430"/>
      <c r="G103" s="71"/>
      <c r="H103" s="71" t="s">
        <v>1077</v>
      </c>
      <c r="I103" s="204">
        <f>3499094+21953830</f>
        <v>25452924</v>
      </c>
      <c r="J103" s="204">
        <v>3499094</v>
      </c>
      <c r="K103" s="204">
        <v>0</v>
      </c>
      <c r="L103" s="441"/>
      <c r="M103" s="439"/>
      <c r="N103" s="439"/>
    </row>
    <row r="104" spans="1:15" ht="20.25" customHeight="1" x14ac:dyDescent="0.25">
      <c r="A104" s="306"/>
      <c r="B104" s="307" t="s">
        <v>192</v>
      </c>
      <c r="C104" s="308">
        <f>C105+C121+C134</f>
        <v>41186399</v>
      </c>
      <c r="D104" s="308">
        <f t="shared" ref="D104:E104" si="41">D105+D121+D134</f>
        <v>326487173</v>
      </c>
      <c r="E104" s="308">
        <f t="shared" si="41"/>
        <v>326487173</v>
      </c>
      <c r="F104" s="414">
        <f>+E104/D104</f>
        <v>1</v>
      </c>
      <c r="G104" s="306"/>
      <c r="H104" s="307" t="s">
        <v>200</v>
      </c>
      <c r="I104" s="317">
        <f>I105+I123+I135+1</f>
        <v>427011093.08661419</v>
      </c>
      <c r="J104" s="317">
        <f>J105+J123+J135</f>
        <v>1102001133.7952757</v>
      </c>
      <c r="K104" s="317">
        <f>K105+K123+K135</f>
        <v>628811189</v>
      </c>
      <c r="L104" s="502">
        <f>+K104/J104</f>
        <v>0.5706084773564466</v>
      </c>
      <c r="M104" s="439"/>
      <c r="N104" s="439"/>
    </row>
    <row r="105" spans="1:15" ht="20.25" customHeight="1" x14ac:dyDescent="0.25">
      <c r="A105" s="231" t="s">
        <v>100</v>
      </c>
      <c r="B105" s="227" t="s">
        <v>414</v>
      </c>
      <c r="C105" s="228">
        <f>C106+C110</f>
        <v>41186399</v>
      </c>
      <c r="D105" s="228">
        <f t="shared" ref="D105:E105" si="42">D106+D110</f>
        <v>325703880</v>
      </c>
      <c r="E105" s="228">
        <f t="shared" si="42"/>
        <v>325703880</v>
      </c>
      <c r="F105" s="415">
        <f>+E105/D105</f>
        <v>1</v>
      </c>
      <c r="G105" s="231" t="s">
        <v>181</v>
      </c>
      <c r="H105" s="227" t="s">
        <v>379</v>
      </c>
      <c r="I105" s="290">
        <f>I106+I107+I114+I115+I120+I121+I122</f>
        <v>182634395.51181105</v>
      </c>
      <c r="J105" s="290">
        <f t="shared" ref="J105:K105" si="43">J106+J107+J114+J115+J120+J121+J122</f>
        <v>73720036.795275584</v>
      </c>
      <c r="K105" s="290">
        <f t="shared" si="43"/>
        <v>52439265</v>
      </c>
      <c r="L105" s="415">
        <f>+K105/J105</f>
        <v>0.71132988098780514</v>
      </c>
      <c r="M105" s="439"/>
      <c r="N105" s="439"/>
    </row>
    <row r="106" spans="1:15" ht="35.25" customHeight="1" x14ac:dyDescent="0.25">
      <c r="A106" s="85"/>
      <c r="B106" s="83" t="s">
        <v>1067</v>
      </c>
      <c r="C106" s="101">
        <f>54793522-27396761+13789638</f>
        <v>41186399</v>
      </c>
      <c r="D106" s="101">
        <v>14129638</v>
      </c>
      <c r="E106" s="101">
        <f>340000+13789638</f>
        <v>14129638</v>
      </c>
      <c r="F106" s="427">
        <f t="shared" ref="F106" si="44">+E106/D106</f>
        <v>1</v>
      </c>
      <c r="G106" s="85"/>
      <c r="H106" s="379" t="s">
        <v>1078</v>
      </c>
      <c r="I106" s="204">
        <f>6450000-1200000-900000+4900000+500000</f>
        <v>9750000</v>
      </c>
      <c r="J106" s="204">
        <f>6450000-1200000-900000+4900000+500000</f>
        <v>9750000</v>
      </c>
      <c r="K106" s="204">
        <v>1300000</v>
      </c>
      <c r="L106" s="453">
        <f t="shared" ref="L106:L134" si="45">+K106/J106</f>
        <v>0.13333333333333333</v>
      </c>
      <c r="M106" s="439"/>
      <c r="N106" s="439"/>
    </row>
    <row r="107" spans="1:15" ht="29.25" customHeight="1" x14ac:dyDescent="0.25">
      <c r="A107" s="85"/>
      <c r="B107" s="83" t="s">
        <v>416</v>
      </c>
      <c r="C107" s="101"/>
      <c r="D107" s="101"/>
      <c r="E107" s="101"/>
      <c r="F107" s="422"/>
      <c r="G107" s="85"/>
      <c r="H107" s="91" t="s">
        <v>378</v>
      </c>
      <c r="I107" s="291">
        <f>SUM(I108:I112)</f>
        <v>147800134.71653545</v>
      </c>
      <c r="J107" s="291">
        <f>SUM(J108:J113)</f>
        <v>50962239</v>
      </c>
      <c r="K107" s="291">
        <f>SUM(K108:K113)</f>
        <v>47958769</v>
      </c>
      <c r="L107" s="453">
        <f t="shared" si="45"/>
        <v>0.9410647950534512</v>
      </c>
      <c r="M107" s="439"/>
      <c r="N107" s="439"/>
    </row>
    <row r="108" spans="1:15" ht="29.25" customHeight="1" x14ac:dyDescent="0.25">
      <c r="A108" s="85"/>
      <c r="B108" s="83" t="s">
        <v>417</v>
      </c>
      <c r="C108" s="101"/>
      <c r="D108" s="101"/>
      <c r="E108" s="101"/>
      <c r="F108" s="422"/>
      <c r="G108" s="85"/>
      <c r="H108" s="91" t="s">
        <v>636</v>
      </c>
      <c r="I108" s="291">
        <f>16000000+579781+9000000</f>
        <v>25579781</v>
      </c>
      <c r="J108" s="204">
        <f>16000000+579781+9000000-16000000-3143398</f>
        <v>6436383</v>
      </c>
      <c r="K108" s="204">
        <v>6436383</v>
      </c>
      <c r="L108" s="453">
        <f t="shared" si="45"/>
        <v>1</v>
      </c>
      <c r="M108" s="439"/>
      <c r="N108" s="439"/>
      <c r="O108" s="439"/>
    </row>
    <row r="109" spans="1:15" ht="29.25" customHeight="1" x14ac:dyDescent="0.25">
      <c r="A109" s="85"/>
      <c r="B109" s="83" t="s">
        <v>418</v>
      </c>
      <c r="C109" s="101"/>
      <c r="D109" s="101"/>
      <c r="E109" s="101"/>
      <c r="F109" s="422"/>
      <c r="G109" s="85"/>
      <c r="H109" s="91" t="s">
        <v>1136</v>
      </c>
      <c r="I109" s="204">
        <f>55033364/127%+33851286+18386184/127%</f>
        <v>91661953.716535449</v>
      </c>
      <c r="J109" s="204">
        <v>33851286</v>
      </c>
      <c r="K109" s="204">
        <v>33851286</v>
      </c>
      <c r="L109" s="453">
        <f t="shared" si="45"/>
        <v>1</v>
      </c>
      <c r="M109" s="439"/>
      <c r="N109" s="439"/>
    </row>
    <row r="110" spans="1:15" ht="29.25" customHeight="1" x14ac:dyDescent="0.25">
      <c r="A110" s="85"/>
      <c r="B110" s="83" t="s">
        <v>419</v>
      </c>
      <c r="C110" s="101"/>
      <c r="D110" s="101">
        <f>SUM(D111:D114)</f>
        <v>311574242</v>
      </c>
      <c r="E110" s="101">
        <f>SUM(E111:E114)</f>
        <v>311574242</v>
      </c>
      <c r="F110" s="427">
        <f t="shared" ref="F110:F114" si="46">+E110/D110</f>
        <v>1</v>
      </c>
      <c r="G110" s="85"/>
      <c r="H110" s="91" t="s">
        <v>1137</v>
      </c>
      <c r="I110" s="291">
        <f>11007500+10550900</f>
        <v>21558400</v>
      </c>
      <c r="J110" s="204">
        <f>214837091-50116725-164720366</f>
        <v>0</v>
      </c>
      <c r="K110" s="204"/>
      <c r="L110" s="453"/>
      <c r="M110" s="439"/>
      <c r="N110" s="439"/>
    </row>
    <row r="111" spans="1:15" ht="29.25" customHeight="1" x14ac:dyDescent="0.25">
      <c r="A111" s="85"/>
      <c r="B111" s="246" t="s">
        <v>1790</v>
      </c>
      <c r="C111" s="101"/>
      <c r="D111" s="101">
        <v>150350166</v>
      </c>
      <c r="E111" s="101">
        <v>150350166</v>
      </c>
      <c r="F111" s="427">
        <f t="shared" si="46"/>
        <v>1</v>
      </c>
      <c r="G111" s="85"/>
      <c r="H111" s="91" t="s">
        <v>1079</v>
      </c>
      <c r="I111" s="291">
        <v>4000000</v>
      </c>
      <c r="J111" s="204">
        <f>4000000</f>
        <v>4000000</v>
      </c>
      <c r="K111" s="204">
        <v>1000000</v>
      </c>
      <c r="L111" s="453">
        <f t="shared" si="45"/>
        <v>0.25</v>
      </c>
      <c r="M111" s="439"/>
      <c r="N111" s="439"/>
    </row>
    <row r="112" spans="1:15" ht="29.25" customHeight="1" x14ac:dyDescent="0.25">
      <c r="A112" s="85"/>
      <c r="B112" s="246" t="s">
        <v>1788</v>
      </c>
      <c r="C112" s="101"/>
      <c r="D112" s="101">
        <v>27396761</v>
      </c>
      <c r="E112" s="101">
        <v>27396761</v>
      </c>
      <c r="F112" s="427">
        <f t="shared" si="46"/>
        <v>1</v>
      </c>
      <c r="G112" s="85"/>
      <c r="H112" s="91" t="s">
        <v>1206</v>
      </c>
      <c r="I112" s="291">
        <v>5000000</v>
      </c>
      <c r="J112" s="204">
        <f>5000000+1334570</f>
        <v>6334570</v>
      </c>
      <c r="K112" s="204">
        <f>1434570+4900000</f>
        <v>6334570</v>
      </c>
      <c r="L112" s="453">
        <f t="shared" si="45"/>
        <v>1</v>
      </c>
      <c r="M112" s="439"/>
      <c r="N112" s="439"/>
    </row>
    <row r="113" spans="1:14" ht="29.25" customHeight="1" x14ac:dyDescent="0.25">
      <c r="A113" s="85"/>
      <c r="B113" s="246" t="s">
        <v>1789</v>
      </c>
      <c r="C113" s="246"/>
      <c r="D113" s="101">
        <v>127850137</v>
      </c>
      <c r="E113" s="101">
        <v>127850137</v>
      </c>
      <c r="F113" s="427">
        <f t="shared" si="46"/>
        <v>1</v>
      </c>
      <c r="G113" s="85"/>
      <c r="H113" s="91" t="s">
        <v>1751</v>
      </c>
      <c r="I113" s="291"/>
      <c r="J113" s="204">
        <v>340000</v>
      </c>
      <c r="K113" s="204">
        <v>336530</v>
      </c>
      <c r="L113" s="453">
        <f t="shared" si="45"/>
        <v>0.98979411764705882</v>
      </c>
      <c r="M113" s="439"/>
      <c r="N113" s="439"/>
    </row>
    <row r="114" spans="1:14" ht="29.25" customHeight="1" x14ac:dyDescent="0.25">
      <c r="A114" s="85"/>
      <c r="B114" s="246" t="s">
        <v>1748</v>
      </c>
      <c r="C114" s="101"/>
      <c r="D114" s="101">
        <v>5977178</v>
      </c>
      <c r="E114" s="101">
        <v>5977178</v>
      </c>
      <c r="F114" s="427">
        <f t="shared" si="46"/>
        <v>1</v>
      </c>
      <c r="G114" s="71"/>
      <c r="H114" s="71" t="s">
        <v>380</v>
      </c>
      <c r="I114" s="295"/>
      <c r="J114" s="205"/>
      <c r="K114" s="205"/>
      <c r="L114" s="453"/>
      <c r="M114" s="439"/>
      <c r="N114" s="439"/>
    </row>
    <row r="115" spans="1:14" ht="29.25" customHeight="1" x14ac:dyDescent="0.25">
      <c r="A115" s="85"/>
      <c r="B115" s="83"/>
      <c r="C115" s="101"/>
      <c r="D115" s="101"/>
      <c r="E115" s="101"/>
      <c r="F115" s="422"/>
      <c r="G115" s="71"/>
      <c r="H115" s="71" t="s">
        <v>681</v>
      </c>
      <c r="I115" s="295">
        <f>SUM(I116:I118)-1</f>
        <v>7897630.7952755904</v>
      </c>
      <c r="J115" s="295">
        <f>SUM(J116:J119)-1</f>
        <v>7557630.7952755904</v>
      </c>
      <c r="K115" s="295">
        <f>SUM(K116:K119)</f>
        <v>597086</v>
      </c>
      <c r="L115" s="453">
        <f t="shared" si="45"/>
        <v>7.9004388567545408E-2</v>
      </c>
      <c r="M115" s="439"/>
      <c r="N115" s="439"/>
    </row>
    <row r="116" spans="1:14" ht="29.25" customHeight="1" x14ac:dyDescent="0.25">
      <c r="A116" s="85"/>
      <c r="B116" s="83"/>
      <c r="C116" s="101"/>
      <c r="D116" s="101"/>
      <c r="E116" s="101"/>
      <c r="F116" s="422"/>
      <c r="G116" s="71"/>
      <c r="H116" s="71" t="s">
        <v>1207</v>
      </c>
      <c r="I116" s="295">
        <v>2000000</v>
      </c>
      <c r="J116" s="205">
        <f>2000000-340000</f>
        <v>1660000</v>
      </c>
      <c r="K116" s="295"/>
      <c r="L116" s="453"/>
      <c r="M116" s="439"/>
      <c r="N116" s="439"/>
    </row>
    <row r="117" spans="1:14" ht="29.25" customHeight="1" x14ac:dyDescent="0.25">
      <c r="A117" s="85"/>
      <c r="B117" s="83"/>
      <c r="C117" s="101"/>
      <c r="D117" s="101"/>
      <c r="E117" s="101"/>
      <c r="F117" s="422"/>
      <c r="G117" s="71"/>
      <c r="H117" s="71" t="s">
        <v>1085</v>
      </c>
      <c r="I117" s="295">
        <f>4000000/127%-6</f>
        <v>3149600.2992125982</v>
      </c>
      <c r="J117" s="205">
        <f>4000000/127%-6-597086</f>
        <v>2552514.2992125982</v>
      </c>
      <c r="K117" s="295"/>
      <c r="L117" s="453"/>
      <c r="M117" s="439"/>
      <c r="N117" s="439"/>
    </row>
    <row r="118" spans="1:14" ht="29.25" customHeight="1" x14ac:dyDescent="0.25">
      <c r="A118" s="85"/>
      <c r="B118" s="83"/>
      <c r="C118" s="101"/>
      <c r="D118" s="101"/>
      <c r="E118" s="101"/>
      <c r="F118" s="422"/>
      <c r="G118" s="71"/>
      <c r="H118" s="71" t="s">
        <v>1080</v>
      </c>
      <c r="I118" s="205">
        <f>950000/127%+2000000</f>
        <v>2748031.4960629921</v>
      </c>
      <c r="J118" s="205">
        <f>950000/127%+2000000</f>
        <v>2748031.4960629921</v>
      </c>
      <c r="K118" s="205"/>
      <c r="L118" s="453"/>
      <c r="M118" s="439"/>
      <c r="N118" s="439"/>
    </row>
    <row r="119" spans="1:14" ht="29.25" customHeight="1" x14ac:dyDescent="0.25">
      <c r="A119" s="85"/>
      <c r="B119" s="83"/>
      <c r="C119" s="101"/>
      <c r="D119" s="101"/>
      <c r="E119" s="101"/>
      <c r="F119" s="422"/>
      <c r="G119" s="71"/>
      <c r="H119" s="71" t="s">
        <v>1752</v>
      </c>
      <c r="I119" s="205"/>
      <c r="J119" s="205">
        <v>597086</v>
      </c>
      <c r="K119" s="205">
        <v>597086</v>
      </c>
      <c r="L119" s="453">
        <f t="shared" si="45"/>
        <v>1</v>
      </c>
      <c r="M119" s="439"/>
      <c r="N119" s="439"/>
    </row>
    <row r="120" spans="1:14" ht="21" customHeight="1" x14ac:dyDescent="0.25">
      <c r="A120" s="85"/>
      <c r="B120" s="83"/>
      <c r="C120" s="101"/>
      <c r="D120" s="101"/>
      <c r="E120" s="101"/>
      <c r="F120" s="422"/>
      <c r="G120" s="71"/>
      <c r="H120" s="71" t="s">
        <v>381</v>
      </c>
      <c r="I120" s="295"/>
      <c r="J120" s="295"/>
      <c r="K120" s="295"/>
      <c r="L120" s="453"/>
      <c r="M120" s="439"/>
      <c r="N120" s="439"/>
    </row>
    <row r="121" spans="1:14" ht="20.25" customHeight="1" x14ac:dyDescent="0.25">
      <c r="A121" s="231" t="s">
        <v>181</v>
      </c>
      <c r="B121" s="227" t="s">
        <v>420</v>
      </c>
      <c r="C121" s="228">
        <f>SUM(C122:C133)</f>
        <v>0</v>
      </c>
      <c r="D121" s="228">
        <f t="shared" ref="D121:E121" si="47">SUM(D122:D133)</f>
        <v>283293</v>
      </c>
      <c r="E121" s="228">
        <f t="shared" si="47"/>
        <v>283293</v>
      </c>
      <c r="F121" s="415">
        <f>+E121/D121</f>
        <v>1</v>
      </c>
      <c r="G121" s="71"/>
      <c r="H121" s="71" t="s">
        <v>382</v>
      </c>
      <c r="I121" s="295"/>
      <c r="J121" s="295"/>
      <c r="K121" s="295"/>
      <c r="L121" s="453"/>
      <c r="M121" s="439"/>
      <c r="N121" s="439"/>
    </row>
    <row r="122" spans="1:14" ht="20.25" customHeight="1" x14ac:dyDescent="0.25">
      <c r="A122" s="85"/>
      <c r="B122" s="88" t="s">
        <v>421</v>
      </c>
      <c r="C122" s="101"/>
      <c r="D122" s="101"/>
      <c r="E122" s="101"/>
      <c r="F122" s="422"/>
      <c r="G122" s="71"/>
      <c r="H122" s="71" t="s">
        <v>383</v>
      </c>
      <c r="I122" s="295">
        <v>17186630</v>
      </c>
      <c r="J122" s="205">
        <f>13277756-6699389-1128200</f>
        <v>5450167</v>
      </c>
      <c r="K122" s="295">
        <v>2583410</v>
      </c>
      <c r="L122" s="453">
        <f t="shared" si="45"/>
        <v>0.47400565890916735</v>
      </c>
      <c r="M122" s="439"/>
      <c r="N122" s="439"/>
    </row>
    <row r="123" spans="1:14" ht="20.25" customHeight="1" x14ac:dyDescent="0.25">
      <c r="A123" s="85"/>
      <c r="B123" s="88" t="s">
        <v>422</v>
      </c>
      <c r="C123" s="101"/>
      <c r="D123" s="101">
        <v>283293</v>
      </c>
      <c r="E123" s="101">
        <v>283293</v>
      </c>
      <c r="F123" s="427">
        <f t="shared" ref="F123" si="48">+E123/D123</f>
        <v>1</v>
      </c>
      <c r="G123" s="231" t="s">
        <v>191</v>
      </c>
      <c r="H123" s="227" t="s">
        <v>384</v>
      </c>
      <c r="I123" s="290">
        <f>I124+I132+I133+I134</f>
        <v>234376696.57480314</v>
      </c>
      <c r="J123" s="290">
        <f>J124+J132+J133+J134</f>
        <v>1004885617</v>
      </c>
      <c r="K123" s="290">
        <f t="shared" ref="K123" si="49">K124+K132+K133+K134</f>
        <v>552976444</v>
      </c>
      <c r="L123" s="415">
        <f>+K123/J123</f>
        <v>0.55028794784710311</v>
      </c>
      <c r="M123" s="439"/>
      <c r="N123" s="439"/>
    </row>
    <row r="124" spans="1:14" ht="20.25" customHeight="1" x14ac:dyDescent="0.25">
      <c r="A124" s="85"/>
      <c r="B124" s="88" t="s">
        <v>423</v>
      </c>
      <c r="C124" s="101"/>
      <c r="D124" s="101"/>
      <c r="E124" s="101"/>
      <c r="F124" s="422"/>
      <c r="G124" s="71"/>
      <c r="H124" s="71" t="s">
        <v>385</v>
      </c>
      <c r="I124" s="295">
        <f t="shared" ref="I124:J124" si="50">SUM(I125:I131)</f>
        <v>185505272.57480314</v>
      </c>
      <c r="J124" s="295">
        <f t="shared" si="50"/>
        <v>936050473</v>
      </c>
      <c r="K124" s="295">
        <f>SUM(K125:K131)</f>
        <v>486861378</v>
      </c>
      <c r="L124" s="453">
        <f t="shared" si="45"/>
        <v>0.5201229976836943</v>
      </c>
      <c r="M124" s="439"/>
      <c r="N124" s="439"/>
    </row>
    <row r="125" spans="1:14" ht="20.25" customHeight="1" x14ac:dyDescent="0.25">
      <c r="A125" s="85"/>
      <c r="B125" s="88"/>
      <c r="C125" s="101"/>
      <c r="D125" s="101"/>
      <c r="E125" s="101"/>
      <c r="F125" s="422"/>
      <c r="G125" s="71"/>
      <c r="H125" s="71" t="s">
        <v>1081</v>
      </c>
      <c r="I125" s="295">
        <f>5000000+390000+3000000+1800000</f>
        <v>10190000</v>
      </c>
      <c r="J125" s="205">
        <f>5000000+390000+3000000+1800000</f>
        <v>10190000</v>
      </c>
      <c r="K125" s="295">
        <v>274659</v>
      </c>
      <c r="L125" s="453">
        <f t="shared" si="45"/>
        <v>2.6953778213935232E-2</v>
      </c>
      <c r="M125" s="439"/>
      <c r="N125" s="439"/>
    </row>
    <row r="126" spans="1:14" ht="20.25" customHeight="1" x14ac:dyDescent="0.25">
      <c r="A126" s="85"/>
      <c r="B126" s="88"/>
      <c r="C126" s="101"/>
      <c r="D126" s="101"/>
      <c r="E126" s="101"/>
      <c r="F126" s="422"/>
      <c r="G126" s="71"/>
      <c r="H126" s="91" t="s">
        <v>1082</v>
      </c>
      <c r="I126" s="291">
        <f>12593000+4500000+157037681+397190</f>
        <v>174527871</v>
      </c>
      <c r="J126" s="291">
        <f t="shared" ref="J126" si="51">12593000+4500000+157037681+397190</f>
        <v>174527871</v>
      </c>
      <c r="K126" s="291">
        <v>174130491</v>
      </c>
      <c r="L126" s="453">
        <f t="shared" si="45"/>
        <v>0.99772311437867711</v>
      </c>
      <c r="M126" s="439"/>
      <c r="N126" s="439"/>
    </row>
    <row r="127" spans="1:14" ht="20.25" customHeight="1" x14ac:dyDescent="0.25">
      <c r="A127" s="85"/>
      <c r="B127" s="88"/>
      <c r="C127" s="101"/>
      <c r="D127" s="101"/>
      <c r="E127" s="101"/>
      <c r="F127" s="422"/>
      <c r="G127" s="71"/>
      <c r="H127" s="91" t="s">
        <v>1138</v>
      </c>
      <c r="I127" s="291"/>
      <c r="J127" s="291">
        <v>9177589</v>
      </c>
      <c r="K127" s="291">
        <v>9177589</v>
      </c>
      <c r="L127" s="453">
        <f t="shared" si="45"/>
        <v>1</v>
      </c>
      <c r="M127" s="439"/>
      <c r="N127" s="439"/>
    </row>
    <row r="128" spans="1:14" ht="20.25" customHeight="1" x14ac:dyDescent="0.25">
      <c r="A128" s="85"/>
      <c r="B128" s="88"/>
      <c r="C128" s="101"/>
      <c r="D128" s="101"/>
      <c r="E128" s="101"/>
      <c r="F128" s="422"/>
      <c r="G128" s="71"/>
      <c r="H128" s="404" t="s">
        <v>1139</v>
      </c>
      <c r="I128" s="291"/>
      <c r="J128" s="291">
        <v>60933486</v>
      </c>
      <c r="K128" s="291">
        <f>46456176+14324147</f>
        <v>60780323</v>
      </c>
      <c r="L128" s="453">
        <f t="shared" si="45"/>
        <v>0.99748639032403297</v>
      </c>
      <c r="M128" s="439"/>
      <c r="N128" s="439"/>
    </row>
    <row r="129" spans="1:14" ht="20.25" customHeight="1" x14ac:dyDescent="0.25">
      <c r="A129" s="85"/>
      <c r="B129" s="88"/>
      <c r="C129" s="101"/>
      <c r="D129" s="101"/>
      <c r="E129" s="101"/>
      <c r="F129" s="422"/>
      <c r="G129" s="71"/>
      <c r="H129" s="91" t="s">
        <v>1083</v>
      </c>
      <c r="I129" s="291">
        <f>1000000/127%</f>
        <v>787401.57480314956</v>
      </c>
      <c r="J129" s="291">
        <v>0</v>
      </c>
      <c r="K129" s="291"/>
      <c r="L129" s="453"/>
      <c r="M129" s="439"/>
      <c r="N129" s="439"/>
    </row>
    <row r="130" spans="1:14" ht="20.25" customHeight="1" x14ac:dyDescent="0.25">
      <c r="A130" s="85"/>
      <c r="B130" s="88"/>
      <c r="C130" s="101"/>
      <c r="D130" s="101"/>
      <c r="E130" s="101"/>
      <c r="F130" s="422"/>
      <c r="G130" s="71"/>
      <c r="H130" s="91" t="s">
        <v>1140</v>
      </c>
      <c r="I130" s="291"/>
      <c r="J130" s="205">
        <f>5977178+6735716+7372384-20085278</f>
        <v>0</v>
      </c>
      <c r="K130" s="291"/>
      <c r="L130" s="453"/>
      <c r="M130" s="439"/>
      <c r="N130" s="439"/>
    </row>
    <row r="131" spans="1:14" ht="20.25" customHeight="1" x14ac:dyDescent="0.25">
      <c r="A131" s="85"/>
      <c r="B131" s="88"/>
      <c r="C131" s="101"/>
      <c r="D131" s="101"/>
      <c r="E131" s="101"/>
      <c r="F131" s="422"/>
      <c r="G131" s="71"/>
      <c r="H131" s="246" t="s">
        <v>1789</v>
      </c>
      <c r="I131" s="291"/>
      <c r="J131" s="204">
        <f>1078567555-397346028</f>
        <v>681221527</v>
      </c>
      <c r="K131" s="291">
        <v>242498316</v>
      </c>
      <c r="L131" s="453">
        <f t="shared" si="45"/>
        <v>0.35597570891208785</v>
      </c>
      <c r="M131" s="439"/>
      <c r="N131" s="439"/>
    </row>
    <row r="132" spans="1:14" ht="20.25" customHeight="1" x14ac:dyDescent="0.25">
      <c r="A132" s="85"/>
      <c r="B132" s="88" t="s">
        <v>424</v>
      </c>
      <c r="C132" s="101"/>
      <c r="D132" s="101"/>
      <c r="E132" s="101"/>
      <c r="F132" s="422"/>
      <c r="G132" s="71"/>
      <c r="H132" s="71" t="s">
        <v>386</v>
      </c>
      <c r="I132" s="295"/>
      <c r="J132" s="205"/>
      <c r="K132" s="295"/>
      <c r="L132" s="453"/>
      <c r="M132" s="439"/>
      <c r="N132" s="439"/>
    </row>
    <row r="133" spans="1:14" ht="20.25" customHeight="1" x14ac:dyDescent="0.25">
      <c r="A133" s="85"/>
      <c r="B133" s="88" t="s">
        <v>425</v>
      </c>
      <c r="C133" s="101"/>
      <c r="D133" s="101"/>
      <c r="E133" s="101"/>
      <c r="F133" s="422"/>
      <c r="G133" s="71"/>
      <c r="H133" s="71" t="s">
        <v>1753</v>
      </c>
      <c r="I133" s="205"/>
      <c r="J133" s="205">
        <v>1181102</v>
      </c>
      <c r="K133" s="205">
        <v>1181102</v>
      </c>
      <c r="L133" s="453">
        <f t="shared" si="45"/>
        <v>1</v>
      </c>
      <c r="M133" s="439"/>
      <c r="N133" s="439"/>
    </row>
    <row r="134" spans="1:14" ht="20.25" customHeight="1" x14ac:dyDescent="0.25">
      <c r="A134" s="231" t="s">
        <v>191</v>
      </c>
      <c r="B134" s="227" t="s">
        <v>426</v>
      </c>
      <c r="C134" s="228">
        <f>C135+C136+C137</f>
        <v>0</v>
      </c>
      <c r="D134" s="228">
        <f t="shared" ref="D134:E134" si="52">D135+D136+D137</f>
        <v>500000</v>
      </c>
      <c r="E134" s="228">
        <f t="shared" si="52"/>
        <v>500000</v>
      </c>
      <c r="F134" s="415">
        <f>+E134/D134</f>
        <v>1</v>
      </c>
      <c r="G134" s="71"/>
      <c r="H134" s="71" t="s">
        <v>388</v>
      </c>
      <c r="I134" s="205">
        <v>48871424</v>
      </c>
      <c r="J134" s="205">
        <v>67654042</v>
      </c>
      <c r="K134" s="205">
        <v>64933964</v>
      </c>
      <c r="L134" s="453">
        <f t="shared" si="45"/>
        <v>0.95979430172110047</v>
      </c>
      <c r="M134" s="439"/>
      <c r="N134" s="439"/>
    </row>
    <row r="135" spans="1:14" ht="29.25" customHeight="1" x14ac:dyDescent="0.25">
      <c r="A135" s="85"/>
      <c r="B135" s="88" t="s">
        <v>427</v>
      </c>
      <c r="C135" s="101"/>
      <c r="D135" s="101"/>
      <c r="E135" s="101"/>
      <c r="F135" s="422"/>
      <c r="G135" s="231" t="s">
        <v>199</v>
      </c>
      <c r="H135" s="227" t="s">
        <v>389</v>
      </c>
      <c r="I135" s="290">
        <f>I136+I137</f>
        <v>10000000</v>
      </c>
      <c r="J135" s="290">
        <f t="shared" ref="J135:K135" si="53">J136+J137</f>
        <v>23395480</v>
      </c>
      <c r="K135" s="290">
        <f t="shared" si="53"/>
        <v>23395480</v>
      </c>
      <c r="L135" s="415">
        <f>+K135/J135</f>
        <v>1</v>
      </c>
      <c r="M135" s="439"/>
      <c r="N135" s="439"/>
    </row>
    <row r="136" spans="1:14" ht="29.25" customHeight="1" x14ac:dyDescent="0.25">
      <c r="A136" s="85"/>
      <c r="B136" s="88" t="s">
        <v>1202</v>
      </c>
      <c r="C136" s="101"/>
      <c r="D136" s="101">
        <v>500000</v>
      </c>
      <c r="E136" s="101">
        <v>500000</v>
      </c>
      <c r="F136" s="427">
        <f t="shared" ref="F136" si="54">+E136/D136</f>
        <v>1</v>
      </c>
      <c r="G136" s="71"/>
      <c r="H136" s="71" t="s">
        <v>391</v>
      </c>
      <c r="I136" s="295"/>
      <c r="J136" s="295"/>
      <c r="K136" s="295"/>
      <c r="L136" s="456"/>
      <c r="M136" s="439"/>
      <c r="N136" s="439"/>
    </row>
    <row r="137" spans="1:14" ht="21" customHeight="1" x14ac:dyDescent="0.25">
      <c r="A137" s="85"/>
      <c r="B137" s="88"/>
      <c r="C137" s="101"/>
      <c r="D137" s="101"/>
      <c r="E137" s="101"/>
      <c r="F137" s="422"/>
      <c r="G137" s="71"/>
      <c r="H137" s="71" t="s">
        <v>1084</v>
      </c>
      <c r="I137" s="205">
        <f>10000000</f>
        <v>10000000</v>
      </c>
      <c r="J137" s="205">
        <v>23395480</v>
      </c>
      <c r="K137" s="205">
        <v>23395480</v>
      </c>
      <c r="L137" s="428">
        <f>+K137/J137</f>
        <v>1</v>
      </c>
      <c r="M137" s="439"/>
      <c r="N137" s="439"/>
    </row>
    <row r="138" spans="1:14" ht="20.25" customHeight="1" x14ac:dyDescent="0.25">
      <c r="A138" s="306"/>
      <c r="B138" s="307" t="s">
        <v>430</v>
      </c>
      <c r="C138" s="308">
        <f>C150+C161</f>
        <v>641674818</v>
      </c>
      <c r="D138" s="308">
        <f t="shared" ref="D138:E138" si="55">D150+D161</f>
        <v>1182516958</v>
      </c>
      <c r="E138" s="308">
        <f t="shared" si="55"/>
        <v>1182516958</v>
      </c>
      <c r="F138" s="414">
        <f>+E138/D138</f>
        <v>1</v>
      </c>
      <c r="G138" s="306"/>
      <c r="H138" s="307" t="s">
        <v>395</v>
      </c>
      <c r="I138" s="317">
        <f>I148+I160</f>
        <v>474752547</v>
      </c>
      <c r="J138" s="317">
        <f t="shared" ref="J138:K138" si="56">J148+J160</f>
        <v>662459877</v>
      </c>
      <c r="K138" s="317">
        <f t="shared" si="56"/>
        <v>615972976</v>
      </c>
      <c r="L138" s="502">
        <f>+K138/J138</f>
        <v>0.92982684293195317</v>
      </c>
      <c r="M138" s="439"/>
      <c r="N138" s="439"/>
    </row>
    <row r="139" spans="1:14" ht="21" customHeight="1" x14ac:dyDescent="0.25">
      <c r="A139" s="75"/>
      <c r="B139" s="93" t="s">
        <v>664</v>
      </c>
      <c r="C139" s="101"/>
      <c r="D139" s="101"/>
      <c r="E139" s="101"/>
      <c r="F139" s="422"/>
      <c r="G139" s="75"/>
      <c r="H139" s="93" t="s">
        <v>392</v>
      </c>
      <c r="I139" s="296"/>
      <c r="J139" s="296"/>
      <c r="K139" s="296"/>
      <c r="L139" s="457"/>
      <c r="M139" s="439"/>
      <c r="N139" s="439"/>
    </row>
    <row r="140" spans="1:14" ht="27.75" customHeight="1" x14ac:dyDescent="0.25">
      <c r="A140" s="75"/>
      <c r="B140" s="93" t="s">
        <v>432</v>
      </c>
      <c r="C140" s="101"/>
      <c r="D140" s="101"/>
      <c r="E140" s="101"/>
      <c r="F140" s="422"/>
      <c r="G140" s="75"/>
      <c r="H140" s="93" t="s">
        <v>393</v>
      </c>
      <c r="I140" s="296"/>
      <c r="J140" s="296"/>
      <c r="K140" s="296"/>
      <c r="L140" s="457"/>
      <c r="M140" s="439"/>
      <c r="N140" s="439"/>
    </row>
    <row r="141" spans="1:14" ht="20.25" customHeight="1" x14ac:dyDescent="0.25">
      <c r="A141" s="75"/>
      <c r="B141" s="93" t="s">
        <v>663</v>
      </c>
      <c r="C141" s="101"/>
      <c r="D141" s="101"/>
      <c r="E141" s="101"/>
      <c r="F141" s="422"/>
      <c r="G141" s="75"/>
      <c r="H141" s="93" t="s">
        <v>394</v>
      </c>
      <c r="I141" s="296"/>
      <c r="J141" s="296"/>
      <c r="K141" s="296"/>
      <c r="L141" s="457"/>
      <c r="M141" s="439"/>
      <c r="N141" s="439"/>
    </row>
    <row r="142" spans="1:14" ht="20.25" customHeight="1" x14ac:dyDescent="0.25">
      <c r="A142" s="75"/>
      <c r="B142" s="94" t="s">
        <v>434</v>
      </c>
      <c r="C142" s="101">
        <f>C139+C140+C141</f>
        <v>0</v>
      </c>
      <c r="D142" s="101">
        <f t="shared" ref="D142:E142" si="57">D139+D140+D141</f>
        <v>0</v>
      </c>
      <c r="E142" s="101">
        <f t="shared" si="57"/>
        <v>0</v>
      </c>
      <c r="F142" s="422"/>
      <c r="G142" s="75"/>
      <c r="H142" s="94" t="s">
        <v>396</v>
      </c>
      <c r="I142" s="296">
        <f>I139+I140+I141</f>
        <v>0</v>
      </c>
      <c r="J142" s="296">
        <f t="shared" ref="J142:K142" si="58">J139+J140+J141</f>
        <v>0</v>
      </c>
      <c r="K142" s="296">
        <f t="shared" si="58"/>
        <v>0</v>
      </c>
      <c r="L142" s="457"/>
      <c r="M142" s="439"/>
      <c r="N142" s="439"/>
    </row>
    <row r="143" spans="1:14" ht="20.25" customHeight="1" x14ac:dyDescent="0.25">
      <c r="A143" s="75"/>
      <c r="B143" s="69" t="s">
        <v>435</v>
      </c>
      <c r="C143" s="101">
        <v>280000000</v>
      </c>
      <c r="D143" s="101">
        <v>210010000</v>
      </c>
      <c r="E143" s="101">
        <v>210010000</v>
      </c>
      <c r="F143" s="422">
        <f>+E143/D143</f>
        <v>1</v>
      </c>
      <c r="G143" s="75"/>
      <c r="H143" s="93" t="s">
        <v>397</v>
      </c>
      <c r="I143" s="296">
        <v>140000000</v>
      </c>
      <c r="J143" s="296">
        <v>140000000</v>
      </c>
      <c r="K143" s="296">
        <v>140000000</v>
      </c>
      <c r="L143" s="453">
        <f t="shared" ref="L143:L148" si="59">+K143/J143</f>
        <v>1</v>
      </c>
      <c r="M143" s="439"/>
      <c r="N143" s="439"/>
    </row>
    <row r="144" spans="1:14" ht="20.25" customHeight="1" x14ac:dyDescent="0.25">
      <c r="A144" s="75"/>
      <c r="B144" s="69" t="s">
        <v>1750</v>
      </c>
      <c r="C144" s="101"/>
      <c r="D144" s="101">
        <v>30000000</v>
      </c>
      <c r="E144" s="101">
        <v>30000000</v>
      </c>
      <c r="F144" s="422">
        <f>+E144/D144</f>
        <v>1</v>
      </c>
      <c r="G144" s="75"/>
      <c r="H144" s="93" t="s">
        <v>1754</v>
      </c>
      <c r="I144" s="296"/>
      <c r="J144" s="296">
        <v>199450000</v>
      </c>
      <c r="K144" s="296">
        <v>199450000</v>
      </c>
      <c r="L144" s="453">
        <f t="shared" si="59"/>
        <v>1</v>
      </c>
      <c r="M144" s="439"/>
      <c r="N144" s="439"/>
    </row>
    <row r="145" spans="1:14" ht="20.25" customHeight="1" x14ac:dyDescent="0.25">
      <c r="A145" s="75"/>
      <c r="B145" s="70" t="s">
        <v>437</v>
      </c>
      <c r="C145" s="101">
        <f>C143+C144</f>
        <v>280000000</v>
      </c>
      <c r="D145" s="101">
        <f>D143+D144</f>
        <v>240010000</v>
      </c>
      <c r="E145" s="101">
        <f>E143+E144</f>
        <v>240010000</v>
      </c>
      <c r="F145" s="422">
        <f t="shared" ref="F145:F150" si="60">+E145/D145</f>
        <v>1</v>
      </c>
      <c r="G145" s="75"/>
      <c r="H145" s="94" t="s">
        <v>398</v>
      </c>
      <c r="I145" s="296">
        <f>I143+I144</f>
        <v>140000000</v>
      </c>
      <c r="J145" s="296">
        <f>J143+J144</f>
        <v>339450000</v>
      </c>
      <c r="K145" s="296">
        <f>K143+K144</f>
        <v>339450000</v>
      </c>
      <c r="L145" s="453">
        <f t="shared" si="59"/>
        <v>1</v>
      </c>
      <c r="M145" s="439"/>
      <c r="N145" s="439"/>
    </row>
    <row r="146" spans="1:14" ht="18" customHeight="1" x14ac:dyDescent="0.25">
      <c r="A146" s="75"/>
      <c r="B146" s="70" t="s">
        <v>438</v>
      </c>
      <c r="C146" s="205">
        <v>3499094</v>
      </c>
      <c r="D146" s="205">
        <v>3499094</v>
      </c>
      <c r="E146" s="205">
        <v>3499094</v>
      </c>
      <c r="F146" s="422">
        <f t="shared" si="60"/>
        <v>1</v>
      </c>
      <c r="G146" s="75"/>
      <c r="H146" s="94" t="s">
        <v>1793</v>
      </c>
      <c r="I146" s="296">
        <v>4296852</v>
      </c>
      <c r="J146" s="296">
        <v>8189821</v>
      </c>
      <c r="K146" s="296">
        <v>8189821</v>
      </c>
      <c r="L146" s="453">
        <f t="shared" si="59"/>
        <v>1</v>
      </c>
      <c r="M146" s="439"/>
      <c r="N146" s="439"/>
    </row>
    <row r="147" spans="1:14" ht="20.25" customHeight="1" x14ac:dyDescent="0.25">
      <c r="A147" s="75"/>
      <c r="B147" s="70" t="s">
        <v>1791</v>
      </c>
      <c r="C147" s="205">
        <v>4296852</v>
      </c>
      <c r="D147" s="205">
        <v>6662777</v>
      </c>
      <c r="E147" s="205">
        <v>6662777</v>
      </c>
      <c r="F147" s="422">
        <f t="shared" si="60"/>
        <v>1</v>
      </c>
      <c r="G147" s="75"/>
      <c r="H147" s="94" t="s">
        <v>584</v>
      </c>
      <c r="I147" s="205">
        <f>+'3. 2018. hivatal'!C75+'4. 2018. műv.ház'!C76+'5. 2018. forrás'!C69+'6. 2018. szociális'!C77+'7. 2018. bölcsőde'!C76</f>
        <v>298871815</v>
      </c>
      <c r="J147" s="205">
        <f>+'3. 2018. hivatal'!D75+'4. 2018. műv.ház'!D76+'5. 2018. forrás'!D69+'6. 2018. szociális'!D77+'7. 2018. bölcsőde'!D76</f>
        <v>299451176</v>
      </c>
      <c r="K147" s="205">
        <f>+'3. 2018. hivatal'!E75+'4. 2018. műv.ház'!E76+'5. 2018. forrás'!E69+'6. 2018. szociális'!E77+'7. 2018. bölcsőde'!E76</f>
        <v>263221073</v>
      </c>
      <c r="L147" s="453">
        <f t="shared" si="59"/>
        <v>0.87901165230354616</v>
      </c>
      <c r="M147" s="439"/>
      <c r="N147" s="439"/>
    </row>
    <row r="148" spans="1:14" ht="20.25" customHeight="1" x14ac:dyDescent="0.25">
      <c r="A148" s="75"/>
      <c r="B148" s="70" t="s">
        <v>439</v>
      </c>
      <c r="C148" s="101"/>
      <c r="D148" s="101"/>
      <c r="E148" s="101"/>
      <c r="F148" s="422"/>
      <c r="G148" s="75"/>
      <c r="H148" s="75" t="s">
        <v>400</v>
      </c>
      <c r="I148" s="297">
        <f>I142+I145+I147+I146</f>
        <v>443168667</v>
      </c>
      <c r="J148" s="297">
        <f>J142+J145+J147+J146</f>
        <v>647090997</v>
      </c>
      <c r="K148" s="297">
        <f>K142+K145+K147+K146</f>
        <v>610860894</v>
      </c>
      <c r="L148" s="505">
        <f t="shared" si="59"/>
        <v>0.94401080656666903</v>
      </c>
      <c r="M148" s="439"/>
      <c r="N148" s="439"/>
    </row>
    <row r="149" spans="1:14" ht="20.25" customHeight="1" x14ac:dyDescent="0.25">
      <c r="A149" s="75"/>
      <c r="B149" s="70" t="s">
        <v>725</v>
      </c>
      <c r="C149" s="296"/>
      <c r="D149" s="296"/>
      <c r="E149" s="296"/>
      <c r="F149" s="422"/>
      <c r="G149" s="75"/>
      <c r="H149" s="75"/>
      <c r="I149" s="297"/>
      <c r="J149" s="297"/>
      <c r="K149" s="297"/>
      <c r="L149" s="458"/>
      <c r="M149" s="439"/>
      <c r="N149" s="439"/>
    </row>
    <row r="150" spans="1:14" ht="20.25" customHeight="1" x14ac:dyDescent="0.25">
      <c r="A150" s="75"/>
      <c r="B150" s="80" t="s">
        <v>440</v>
      </c>
      <c r="C150" s="109">
        <f>C142+C145+C147+C148+C149+C146</f>
        <v>287795946</v>
      </c>
      <c r="D150" s="109">
        <f>D142+D145+D147+D148+D149+D146</f>
        <v>250171871</v>
      </c>
      <c r="E150" s="109">
        <f>E142+E145+E147+E148+E149+E146</f>
        <v>250171871</v>
      </c>
      <c r="F150" s="423">
        <f t="shared" si="60"/>
        <v>1</v>
      </c>
      <c r="G150" s="75"/>
      <c r="H150" s="94"/>
      <c r="I150" s="296"/>
      <c r="J150" s="296"/>
      <c r="K150" s="296"/>
      <c r="L150" s="457"/>
      <c r="M150" s="439"/>
      <c r="N150" s="439"/>
    </row>
    <row r="151" spans="1:14" ht="20.25" customHeight="1" x14ac:dyDescent="0.25">
      <c r="A151" s="89"/>
      <c r="B151" s="79"/>
      <c r="C151" s="102"/>
      <c r="D151" s="102"/>
      <c r="E151" s="102"/>
      <c r="F151" s="424"/>
      <c r="G151" s="89"/>
      <c r="H151" s="89"/>
      <c r="I151" s="298"/>
      <c r="J151" s="298"/>
      <c r="K151" s="298"/>
      <c r="L151" s="459"/>
      <c r="M151" s="439"/>
      <c r="N151" s="439"/>
    </row>
    <row r="152" spans="1:14" ht="20.25" customHeight="1" x14ac:dyDescent="0.25">
      <c r="A152" s="75"/>
      <c r="B152" s="93" t="s">
        <v>431</v>
      </c>
      <c r="C152" s="101"/>
      <c r="D152" s="101"/>
      <c r="E152" s="101"/>
      <c r="F152" s="422"/>
      <c r="G152" s="75"/>
      <c r="H152" s="93" t="s">
        <v>392</v>
      </c>
      <c r="I152" s="296"/>
      <c r="J152" s="296"/>
      <c r="K152" s="296"/>
      <c r="L152" s="457"/>
      <c r="M152" s="439"/>
      <c r="N152" s="439"/>
    </row>
    <row r="153" spans="1:14" ht="31.5" customHeight="1" x14ac:dyDescent="0.25">
      <c r="A153" s="75"/>
      <c r="B153" s="93" t="s">
        <v>432</v>
      </c>
      <c r="C153" s="101"/>
      <c r="D153" s="101"/>
      <c r="E153" s="101"/>
      <c r="F153" s="422"/>
      <c r="G153" s="75"/>
      <c r="H153" s="93" t="s">
        <v>393</v>
      </c>
      <c r="I153" s="296"/>
      <c r="J153" s="296"/>
      <c r="K153" s="296"/>
      <c r="L153" s="457"/>
      <c r="M153" s="439"/>
      <c r="N153" s="439"/>
    </row>
    <row r="154" spans="1:14" ht="20.25" customHeight="1" x14ac:dyDescent="0.25">
      <c r="A154" s="75"/>
      <c r="B154" s="93" t="s">
        <v>433</v>
      </c>
      <c r="C154" s="101"/>
      <c r="D154" s="101"/>
      <c r="E154" s="101"/>
      <c r="F154" s="422"/>
      <c r="G154" s="75"/>
      <c r="H154" s="93" t="s">
        <v>394</v>
      </c>
      <c r="I154" s="296"/>
      <c r="J154" s="296"/>
      <c r="K154" s="296"/>
      <c r="L154" s="457"/>
      <c r="M154" s="439"/>
      <c r="N154" s="439"/>
    </row>
    <row r="155" spans="1:14" ht="20.25" customHeight="1" x14ac:dyDescent="0.25">
      <c r="A155" s="75"/>
      <c r="B155" s="94" t="s">
        <v>434</v>
      </c>
      <c r="C155" s="101">
        <f>C152+C153+C154</f>
        <v>0</v>
      </c>
      <c r="D155" s="101">
        <f t="shared" ref="D155:F155" si="61">D152+D153+D154</f>
        <v>0</v>
      </c>
      <c r="E155" s="101">
        <f t="shared" si="61"/>
        <v>0</v>
      </c>
      <c r="F155" s="422">
        <f t="shared" si="61"/>
        <v>0</v>
      </c>
      <c r="G155" s="75"/>
      <c r="H155" s="94" t="s">
        <v>396</v>
      </c>
      <c r="I155" s="296">
        <f>I152+I153+I154</f>
        <v>0</v>
      </c>
      <c r="J155" s="296">
        <f t="shared" ref="J155:K155" si="62">J152+J153+J154</f>
        <v>0</v>
      </c>
      <c r="K155" s="296">
        <f t="shared" si="62"/>
        <v>0</v>
      </c>
      <c r="L155" s="457"/>
      <c r="M155" s="439"/>
      <c r="N155" s="439"/>
    </row>
    <row r="156" spans="1:14" ht="20.25" customHeight="1" x14ac:dyDescent="0.25">
      <c r="A156" s="75"/>
      <c r="B156" s="69" t="s">
        <v>435</v>
      </c>
      <c r="C156" s="101"/>
      <c r="D156" s="101"/>
      <c r="E156" s="101"/>
      <c r="F156" s="422"/>
      <c r="G156" s="75"/>
      <c r="H156" s="93" t="s">
        <v>397</v>
      </c>
      <c r="I156" s="296"/>
      <c r="J156" s="296"/>
      <c r="K156" s="296"/>
      <c r="L156" s="457"/>
      <c r="M156" s="439"/>
      <c r="N156" s="439"/>
    </row>
    <row r="157" spans="1:14" ht="20.25" customHeight="1" x14ac:dyDescent="0.25">
      <c r="A157" s="75"/>
      <c r="B157" s="69" t="s">
        <v>436</v>
      </c>
      <c r="C157" s="101"/>
      <c r="D157" s="101"/>
      <c r="E157" s="101"/>
      <c r="F157" s="422"/>
      <c r="G157" s="75"/>
      <c r="H157" s="93" t="s">
        <v>1754</v>
      </c>
      <c r="I157" s="296"/>
      <c r="J157" s="296"/>
      <c r="K157" s="296"/>
      <c r="L157" s="457"/>
      <c r="M157" s="439"/>
      <c r="N157" s="439"/>
    </row>
    <row r="158" spans="1:14" ht="20.25" customHeight="1" x14ac:dyDescent="0.25">
      <c r="A158" s="75"/>
      <c r="B158" s="70" t="s">
        <v>437</v>
      </c>
      <c r="C158" s="101">
        <f>C156+C157</f>
        <v>0</v>
      </c>
      <c r="D158" s="101">
        <f t="shared" ref="D158:F158" si="63">D156+D157</f>
        <v>0</v>
      </c>
      <c r="E158" s="101">
        <f t="shared" si="63"/>
        <v>0</v>
      </c>
      <c r="F158" s="422">
        <f t="shared" si="63"/>
        <v>0</v>
      </c>
      <c r="G158" s="75"/>
      <c r="H158" s="94" t="s">
        <v>398</v>
      </c>
      <c r="I158" s="296">
        <f>I156+I157</f>
        <v>0</v>
      </c>
      <c r="J158" s="296">
        <f t="shared" ref="J158:K158" si="64">J156+J157</f>
        <v>0</v>
      </c>
      <c r="K158" s="296">
        <f t="shared" si="64"/>
        <v>0</v>
      </c>
      <c r="L158" s="457"/>
      <c r="M158" s="439"/>
      <c r="N158" s="439"/>
    </row>
    <row r="159" spans="1:14" ht="20.25" customHeight="1" x14ac:dyDescent="0.25">
      <c r="A159" s="75"/>
      <c r="B159" s="70" t="s">
        <v>441</v>
      </c>
      <c r="C159" s="205">
        <v>353878872</v>
      </c>
      <c r="D159" s="205">
        <v>932345087</v>
      </c>
      <c r="E159" s="205">
        <v>932345087</v>
      </c>
      <c r="F159" s="428">
        <f>+E159/D159</f>
        <v>1</v>
      </c>
      <c r="G159" s="75"/>
      <c r="H159" s="94" t="s">
        <v>585</v>
      </c>
      <c r="I159" s="205">
        <f>+'3. 2018. hivatal'!C86+'4. 2018. műv.ház'!C87+'5. 2018. forrás'!C80+'6. 2018. szociális'!C88+'7. 2018. bölcsőde'!C87</f>
        <v>31583880</v>
      </c>
      <c r="J159" s="205">
        <f>+'3. 2018. hivatal'!D86+'4. 2018. műv.ház'!D87+'5. 2018. forrás'!D80+'6. 2018. szociális'!D88+'7. 2018. bölcsőde'!D87</f>
        <v>15368880</v>
      </c>
      <c r="K159" s="205">
        <f>+'3. 2018. hivatal'!E86+'4. 2018. műv.ház'!E87+'5. 2018. forrás'!E80+'6. 2018. szociális'!E88+'7. 2018. bölcsőde'!E87</f>
        <v>5112082</v>
      </c>
      <c r="L159" s="453">
        <f t="shared" ref="L159:L160" si="65">+K159/J159</f>
        <v>0.33262553940170003</v>
      </c>
      <c r="M159" s="439"/>
      <c r="N159" s="439"/>
    </row>
    <row r="160" spans="1:14" ht="20.25" customHeight="1" x14ac:dyDescent="0.25">
      <c r="A160" s="75"/>
      <c r="B160" s="70" t="s">
        <v>439</v>
      </c>
      <c r="C160" s="101"/>
      <c r="D160" s="101"/>
      <c r="E160" s="101"/>
      <c r="F160" s="422"/>
      <c r="G160" s="75"/>
      <c r="H160" s="75" t="s">
        <v>401</v>
      </c>
      <c r="I160" s="297">
        <f>I155+I158+I159</f>
        <v>31583880</v>
      </c>
      <c r="J160" s="297">
        <f>J155+J158+J159</f>
        <v>15368880</v>
      </c>
      <c r="K160" s="297">
        <f>K155+K158+K159</f>
        <v>5112082</v>
      </c>
      <c r="L160" s="505">
        <f t="shared" si="65"/>
        <v>0.33262553940170003</v>
      </c>
      <c r="M160" s="439"/>
      <c r="N160" s="439"/>
    </row>
    <row r="161" spans="1:14" ht="20.25" customHeight="1" x14ac:dyDescent="0.25">
      <c r="A161" s="107"/>
      <c r="B161" s="80" t="s">
        <v>442</v>
      </c>
      <c r="C161" s="109">
        <f>C155+C158+C159+C160</f>
        <v>353878872</v>
      </c>
      <c r="D161" s="109">
        <f t="shared" ref="D161:E161" si="66">D155+D158+D159+D160</f>
        <v>932345087</v>
      </c>
      <c r="E161" s="109">
        <f t="shared" si="66"/>
        <v>932345087</v>
      </c>
      <c r="F161" s="423">
        <f>+E161/D161</f>
        <v>1</v>
      </c>
      <c r="G161" s="107"/>
      <c r="H161" s="94"/>
      <c r="I161" s="296"/>
      <c r="J161" s="296"/>
      <c r="K161" s="296"/>
      <c r="L161" s="457"/>
      <c r="M161" s="439"/>
      <c r="N161" s="439"/>
    </row>
    <row r="162" spans="1:14" ht="20.25" customHeight="1" x14ac:dyDescent="0.25">
      <c r="A162" s="851" t="s">
        <v>143</v>
      </c>
      <c r="B162" s="852"/>
      <c r="C162" s="238">
        <f>C2+C104+C138</f>
        <v>1164077963.9100001</v>
      </c>
      <c r="D162" s="238">
        <f>D2+D104+D138</f>
        <v>2024546810</v>
      </c>
      <c r="E162" s="238">
        <f>E2+E104+E138</f>
        <v>2024562597</v>
      </c>
      <c r="F162" s="425">
        <f>+E162/D162</f>
        <v>1.0000077977945099</v>
      </c>
      <c r="G162" s="851" t="s">
        <v>144</v>
      </c>
      <c r="H162" s="852"/>
      <c r="I162" s="238">
        <f>I2+I104+I138</f>
        <v>1164077964.3858268</v>
      </c>
      <c r="J162" s="238">
        <f>J2+J104+J138</f>
        <v>2024546809.7952757</v>
      </c>
      <c r="K162" s="238">
        <f>K2+K104+K138</f>
        <v>1495161161</v>
      </c>
      <c r="L162" s="425">
        <f>+K162/J162</f>
        <v>0.73851646885417888</v>
      </c>
      <c r="M162" s="439"/>
      <c r="N162" s="439"/>
    </row>
    <row r="163" spans="1:14" x14ac:dyDescent="0.25">
      <c r="I163" s="248"/>
      <c r="J163" s="248"/>
      <c r="K163" s="248"/>
      <c r="L163" s="457"/>
      <c r="M163" s="439"/>
      <c r="N163" s="439"/>
    </row>
    <row r="164" spans="1:14" x14ac:dyDescent="0.25">
      <c r="I164" s="299"/>
      <c r="J164" s="299"/>
      <c r="K164" s="299"/>
    </row>
    <row r="165" spans="1:14" x14ac:dyDescent="0.25">
      <c r="I165" s="299">
        <f>C162-I162</f>
        <v>-0.47582674026489258</v>
      </c>
      <c r="J165" s="299">
        <f>D162-J162</f>
        <v>0.20472431182861328</v>
      </c>
      <c r="K165" s="299">
        <f t="shared" ref="K165:L165" si="67">E162-K162</f>
        <v>529401436</v>
      </c>
      <c r="L165" s="460">
        <f t="shared" si="67"/>
        <v>0.261491328940331</v>
      </c>
    </row>
    <row r="166" spans="1:14" x14ac:dyDescent="0.25">
      <c r="E166" s="113"/>
      <c r="I166" s="300">
        <f>+E143-J143+J144-E144</f>
        <v>239460000</v>
      </c>
      <c r="J166" s="300"/>
      <c r="K166" s="300"/>
    </row>
    <row r="167" spans="1:14" x14ac:dyDescent="0.25">
      <c r="I167" s="304"/>
      <c r="J167" s="304"/>
      <c r="K167" s="304"/>
    </row>
    <row r="168" spans="1:14" x14ac:dyDescent="0.25">
      <c r="I168" s="304"/>
      <c r="J168" s="304">
        <f>140000000+199450000</f>
        <v>339450000</v>
      </c>
      <c r="K168" s="304"/>
    </row>
    <row r="169" spans="1:14" x14ac:dyDescent="0.25">
      <c r="C169" s="113"/>
      <c r="D169" s="113"/>
      <c r="E169" s="113"/>
    </row>
    <row r="171" spans="1:14" x14ac:dyDescent="0.25">
      <c r="I171" s="305"/>
      <c r="J171" s="305"/>
      <c r="K171" s="305"/>
      <c r="L171" s="504"/>
    </row>
    <row r="172" spans="1:14" x14ac:dyDescent="0.25">
      <c r="C172" s="113"/>
      <c r="D172" s="113"/>
      <c r="E172" s="113"/>
      <c r="I172" s="305"/>
      <c r="J172" s="305"/>
      <c r="K172" s="305"/>
      <c r="L172" s="504"/>
    </row>
    <row r="173" spans="1:14" x14ac:dyDescent="0.25">
      <c r="I173" s="305"/>
      <c r="J173" s="305"/>
      <c r="K173" s="305"/>
      <c r="L173" s="504"/>
    </row>
  </sheetData>
  <autoFilter ref="A1:AT144"/>
  <mergeCells count="2">
    <mergeCell ref="A162:B162"/>
    <mergeCell ref="G162:H16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&amp;CTaksony Nagyközség Önkormányzat 2018. évi zárszámadás&amp;R2.a. sz. melléklet</oddHeader>
    <oddFooter xml:space="preserve">&amp;LKészült: &amp;D
&amp;C&amp;P&amp;R/:Kreisz László://:Dr.Micheller Anita:/
/:Szelecki N.Andrea:/       </oddFooter>
  </headerFooter>
  <rowBreaks count="2" manualBreakCount="2">
    <brk id="57" max="11" man="1"/>
    <brk id="103" max="11" man="1"/>
  </rowBreaks>
  <colBreaks count="1" manualBreakCount="1">
    <brk id="6" max="154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70" zoomScaleNormal="60" zoomScaleSheetLayoutView="70" workbookViewId="0">
      <selection activeCell="H83" activeCellId="1" sqref="H72 H83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15.42578125" style="21" customWidth="1"/>
    <col min="4" max="4" width="16.85546875" style="21" customWidth="1"/>
    <col min="5" max="5" width="15.42578125" style="21" customWidth="1"/>
    <col min="6" max="6" width="15.28515625" style="426" customWidth="1"/>
    <col min="7" max="7" width="6.7109375" style="21" customWidth="1"/>
    <col min="8" max="8" width="66.7109375" style="21" customWidth="1"/>
    <col min="9" max="9" width="15.7109375" style="21" customWidth="1"/>
    <col min="10" max="10" width="17.42578125" style="21" customWidth="1"/>
    <col min="11" max="11" width="18.42578125" style="21" customWidth="1"/>
    <col min="12" max="12" width="15.85546875" style="426" customWidth="1"/>
    <col min="13" max="13" width="9.140625" style="426"/>
    <col min="14" max="16384" width="9.140625" style="21"/>
  </cols>
  <sheetData>
    <row r="1" spans="1:12" ht="40.5" customHeight="1" x14ac:dyDescent="0.25">
      <c r="A1" s="76"/>
      <c r="B1" s="77" t="s">
        <v>502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503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C3+C17+C24+C35</f>
        <v>584200</v>
      </c>
      <c r="D2" s="308">
        <f>D3+D17+D24+D35</f>
        <v>2363847</v>
      </c>
      <c r="E2" s="308">
        <f>E3+E17+E24+E35</f>
        <v>2695085</v>
      </c>
      <c r="F2" s="414">
        <f>+E2/D2</f>
        <v>1.1401266664043823</v>
      </c>
      <c r="G2" s="306"/>
      <c r="H2" s="307" t="s">
        <v>196</v>
      </c>
      <c r="I2" s="308">
        <f>I3+I7+I17+I24+I35</f>
        <v>121029765.33333333</v>
      </c>
      <c r="J2" s="308">
        <f>J3+J7+J17+J24+J35</f>
        <v>123530612</v>
      </c>
      <c r="K2" s="308">
        <f>K3+K7+K17+K24+K35</f>
        <v>113975884</v>
      </c>
      <c r="L2" s="414">
        <f>+K2/J2</f>
        <v>0.92265295342339926</v>
      </c>
    </row>
    <row r="3" spans="1:12" ht="20.25" customHeight="1" x14ac:dyDescent="0.25">
      <c r="A3" s="231" t="s">
        <v>23</v>
      </c>
      <c r="B3" s="232" t="s">
        <v>312</v>
      </c>
      <c r="C3" s="233">
        <f>C4+C11+C12+C13+C14+C15</f>
        <v>0</v>
      </c>
      <c r="D3" s="233">
        <f>D4+D11+D12+D13+D14+D15</f>
        <v>1589045</v>
      </c>
      <c r="E3" s="233">
        <f>E4+E11+E12+E13+E14+E15</f>
        <v>1589045</v>
      </c>
      <c r="F3" s="429">
        <f>F4+F11+F12+F13+F14+F15</f>
        <v>1</v>
      </c>
      <c r="G3" s="231" t="s">
        <v>23</v>
      </c>
      <c r="H3" s="227" t="s">
        <v>213</v>
      </c>
      <c r="I3" s="228">
        <f>SUM(I4:I5)</f>
        <v>84813100.333333328</v>
      </c>
      <c r="J3" s="228">
        <f t="shared" ref="J3:K3" si="0">SUM(J4:J5)</f>
        <v>86738100</v>
      </c>
      <c r="K3" s="228">
        <f t="shared" si="0"/>
        <v>80957524</v>
      </c>
      <c r="L3" s="415">
        <f>+K3/J3</f>
        <v>0.93335597620884014</v>
      </c>
    </row>
    <row r="4" spans="1:12" ht="20.25" customHeight="1" x14ac:dyDescent="0.25">
      <c r="A4" s="70"/>
      <c r="B4" s="108" t="s">
        <v>247</v>
      </c>
      <c r="C4" s="106">
        <f>SUM(C5:C8)</f>
        <v>0</v>
      </c>
      <c r="D4" s="106">
        <f t="shared" ref="D4:F4" si="1">SUM(D5:D8)</f>
        <v>0</v>
      </c>
      <c r="E4" s="106">
        <f t="shared" si="1"/>
        <v>0</v>
      </c>
      <c r="F4" s="427">
        <f t="shared" si="1"/>
        <v>0</v>
      </c>
      <c r="G4" s="80"/>
      <c r="H4" s="69" t="s">
        <v>500</v>
      </c>
      <c r="I4" s="95">
        <f>'3.a hivatal részletes'!I14</f>
        <v>83053100.333333328</v>
      </c>
      <c r="J4" s="95">
        <f>'3.a hivatal részletes'!J14</f>
        <v>82698100</v>
      </c>
      <c r="K4" s="95">
        <f>'3.a hivatal részletes'!K14</f>
        <v>77380844</v>
      </c>
      <c r="L4" s="416">
        <f>+K4/J4</f>
        <v>0.93570280332921796</v>
      </c>
    </row>
    <row r="5" spans="1:12" ht="24" customHeight="1" x14ac:dyDescent="0.25">
      <c r="A5" s="80"/>
      <c r="B5" s="83" t="s">
        <v>248</v>
      </c>
      <c r="C5" s="106">
        <f>'3.a hivatal részletes'!C7</f>
        <v>0</v>
      </c>
      <c r="D5" s="106">
        <f>'3.a hivatal részletes'!D7</f>
        <v>0</v>
      </c>
      <c r="E5" s="106">
        <f>'3.a hivatal részletes'!E7</f>
        <v>0</v>
      </c>
      <c r="F5" s="427">
        <f>'3.a hivatal részletes'!F7</f>
        <v>0</v>
      </c>
      <c r="G5" s="80"/>
      <c r="H5" s="69" t="s">
        <v>501</v>
      </c>
      <c r="I5" s="95">
        <f>'3.a hivatal részletes'!I18</f>
        <v>1760000</v>
      </c>
      <c r="J5" s="95">
        <f>'3.a hivatal részletes'!J18</f>
        <v>4040000</v>
      </c>
      <c r="K5" s="95">
        <f>'3.a hivatal részletes'!K18</f>
        <v>3576680</v>
      </c>
      <c r="L5" s="416">
        <f>+K5/J5</f>
        <v>0.88531683168316833</v>
      </c>
    </row>
    <row r="6" spans="1:12" ht="24" customHeight="1" x14ac:dyDescent="0.25">
      <c r="A6" s="80"/>
      <c r="B6" s="83" t="s">
        <v>249</v>
      </c>
      <c r="C6" s="106"/>
      <c r="D6" s="106"/>
      <c r="E6" s="106"/>
      <c r="F6" s="427"/>
      <c r="G6" s="80"/>
      <c r="H6" s="69"/>
      <c r="I6" s="95"/>
      <c r="J6" s="95"/>
      <c r="K6" s="95"/>
      <c r="L6" s="416"/>
    </row>
    <row r="7" spans="1:12" ht="22.5" customHeight="1" x14ac:dyDescent="0.25">
      <c r="A7" s="80"/>
      <c r="B7" s="83" t="s">
        <v>250</v>
      </c>
      <c r="C7" s="106"/>
      <c r="D7" s="106"/>
      <c r="E7" s="106"/>
      <c r="F7" s="427"/>
      <c r="G7" s="231" t="s">
        <v>45</v>
      </c>
      <c r="H7" s="232" t="s">
        <v>214</v>
      </c>
      <c r="I7" s="233">
        <f>'3.a hivatal részletes'!I19</f>
        <v>16956685</v>
      </c>
      <c r="J7" s="233">
        <f>'3.a hivatal részletes'!J19</f>
        <v>17341930</v>
      </c>
      <c r="K7" s="233">
        <f>'3.a hivatal részletes'!K19</f>
        <v>17341092</v>
      </c>
      <c r="L7" s="415">
        <f>+K7/J7</f>
        <v>0.99995167781210048</v>
      </c>
    </row>
    <row r="8" spans="1:12" ht="22.5" customHeight="1" x14ac:dyDescent="0.25">
      <c r="A8" s="80"/>
      <c r="B8" s="83" t="s">
        <v>251</v>
      </c>
      <c r="C8" s="106"/>
      <c r="D8" s="106"/>
      <c r="E8" s="106"/>
      <c r="F8" s="427"/>
      <c r="G8" s="80"/>
      <c r="H8" s="69"/>
      <c r="I8" s="95"/>
      <c r="J8" s="95"/>
      <c r="K8" s="95"/>
      <c r="L8" s="416"/>
    </row>
    <row r="9" spans="1:12" ht="24.75" customHeight="1" x14ac:dyDescent="0.25">
      <c r="A9" s="80"/>
      <c r="B9" s="83" t="s">
        <v>252</v>
      </c>
      <c r="C9" s="81" t="s">
        <v>253</v>
      </c>
      <c r="D9" s="81" t="s">
        <v>253</v>
      </c>
      <c r="E9" s="81"/>
      <c r="F9" s="427"/>
      <c r="G9" s="80"/>
      <c r="H9" s="69"/>
      <c r="I9" s="95"/>
      <c r="J9" s="95"/>
      <c r="K9" s="95"/>
      <c r="L9" s="416"/>
    </row>
    <row r="10" spans="1:12" ht="18" customHeight="1" x14ac:dyDescent="0.25">
      <c r="A10" s="80"/>
      <c r="B10" s="83" t="s">
        <v>254</v>
      </c>
      <c r="C10" s="81" t="s">
        <v>253</v>
      </c>
      <c r="D10" s="81" t="s">
        <v>253</v>
      </c>
      <c r="E10" s="81"/>
      <c r="F10" s="427"/>
      <c r="G10" s="84"/>
      <c r="H10" s="69"/>
      <c r="I10" s="96"/>
      <c r="J10" s="96"/>
      <c r="K10" s="96"/>
      <c r="L10" s="431"/>
    </row>
    <row r="11" spans="1:12" ht="20.25" customHeight="1" x14ac:dyDescent="0.25">
      <c r="A11" s="80"/>
      <c r="B11" s="83" t="s">
        <v>255</v>
      </c>
      <c r="C11" s="87"/>
      <c r="D11" s="87"/>
      <c r="E11" s="87"/>
      <c r="F11" s="422"/>
      <c r="G11" s="84"/>
      <c r="I11" s="104"/>
      <c r="J11" s="104"/>
      <c r="K11" s="104"/>
      <c r="L11" s="418"/>
    </row>
    <row r="12" spans="1:12" ht="30" x14ac:dyDescent="0.25">
      <c r="A12" s="70"/>
      <c r="B12" s="83" t="s">
        <v>256</v>
      </c>
      <c r="C12" s="106"/>
      <c r="D12" s="106"/>
      <c r="E12" s="106"/>
      <c r="F12" s="427"/>
      <c r="G12" s="84"/>
      <c r="H12" s="69"/>
      <c r="I12" s="97"/>
      <c r="J12" s="97"/>
      <c r="K12" s="97"/>
      <c r="L12" s="419"/>
    </row>
    <row r="13" spans="1:12" ht="29.25" customHeight="1" x14ac:dyDescent="0.25">
      <c r="A13" s="70"/>
      <c r="B13" s="83" t="s">
        <v>257</v>
      </c>
      <c r="C13" s="106"/>
      <c r="D13" s="106"/>
      <c r="E13" s="106"/>
      <c r="F13" s="427"/>
      <c r="G13" s="84"/>
      <c r="H13" s="69"/>
      <c r="I13" s="97"/>
      <c r="J13" s="97"/>
      <c r="K13" s="97"/>
      <c r="L13" s="419"/>
    </row>
    <row r="14" spans="1:12" ht="29.25" customHeight="1" x14ac:dyDescent="0.25">
      <c r="A14" s="70"/>
      <c r="B14" s="83" t="s">
        <v>258</v>
      </c>
      <c r="C14" s="106"/>
      <c r="D14" s="106"/>
      <c r="E14" s="106"/>
      <c r="F14" s="427"/>
      <c r="G14" s="84"/>
      <c r="H14" s="69"/>
      <c r="I14" s="97"/>
      <c r="J14" s="97"/>
      <c r="K14" s="97"/>
      <c r="L14" s="419"/>
    </row>
    <row r="15" spans="1:12" ht="29.25" customHeight="1" x14ac:dyDescent="0.25">
      <c r="A15" s="70"/>
      <c r="B15" s="83" t="s">
        <v>259</v>
      </c>
      <c r="C15" s="106"/>
      <c r="D15" s="106">
        <f>+'3.a hivatal részletes'!D18</f>
        <v>1589045</v>
      </c>
      <c r="E15" s="106">
        <f>+'3.a hivatal részletes'!E18</f>
        <v>1589045</v>
      </c>
      <c r="F15" s="427">
        <f>+E15/D15</f>
        <v>1</v>
      </c>
      <c r="G15" s="84"/>
      <c r="H15" s="87"/>
      <c r="I15" s="104"/>
      <c r="J15" s="104"/>
      <c r="K15" s="104"/>
      <c r="L15" s="418"/>
    </row>
    <row r="16" spans="1:12" ht="18.75" customHeight="1" x14ac:dyDescent="0.25">
      <c r="A16" s="70"/>
      <c r="C16" s="106"/>
      <c r="D16" s="106"/>
      <c r="E16" s="106"/>
      <c r="F16" s="427"/>
      <c r="H16" s="87"/>
      <c r="I16" s="97"/>
      <c r="J16" s="97"/>
      <c r="K16" s="97"/>
      <c r="L16" s="419"/>
    </row>
    <row r="17" spans="1:12" ht="20.25" customHeight="1" x14ac:dyDescent="0.25">
      <c r="A17" s="231" t="s">
        <v>45</v>
      </c>
      <c r="B17" s="232" t="s">
        <v>266</v>
      </c>
      <c r="C17" s="233">
        <f>C18+C19+C23</f>
        <v>0</v>
      </c>
      <c r="D17" s="233">
        <f t="shared" ref="D17:F17" si="2">D18+D19+D23</f>
        <v>0</v>
      </c>
      <c r="E17" s="233">
        <f t="shared" si="2"/>
        <v>0</v>
      </c>
      <c r="F17" s="429">
        <f t="shared" si="2"/>
        <v>0</v>
      </c>
      <c r="G17" s="231" t="s">
        <v>56</v>
      </c>
      <c r="H17" s="232" t="s">
        <v>215</v>
      </c>
      <c r="I17" s="233">
        <f>SUM(I18:I22)</f>
        <v>19259980</v>
      </c>
      <c r="J17" s="233">
        <f t="shared" ref="J17:K17" si="3">SUM(J18:J22)</f>
        <v>19450582</v>
      </c>
      <c r="K17" s="233">
        <f t="shared" si="3"/>
        <v>15677268</v>
      </c>
      <c r="L17" s="415">
        <f>+K17/J17</f>
        <v>0.80600508509205537</v>
      </c>
    </row>
    <row r="18" spans="1:12" ht="20.25" customHeight="1" x14ac:dyDescent="0.25">
      <c r="A18" s="85"/>
      <c r="B18" s="87" t="s">
        <v>267</v>
      </c>
      <c r="C18" s="95"/>
      <c r="D18" s="95"/>
      <c r="E18" s="95"/>
      <c r="F18" s="416"/>
      <c r="G18" s="71"/>
      <c r="H18" s="115" t="s">
        <v>238</v>
      </c>
      <c r="I18" s="104">
        <f>'3.a hivatal részletes'!I37</f>
        <v>1826200</v>
      </c>
      <c r="J18" s="104">
        <f>'3.a hivatal részletes'!J37</f>
        <v>1826200</v>
      </c>
      <c r="K18" s="104">
        <f>'3.a hivatal részletes'!K37</f>
        <v>1501913</v>
      </c>
      <c r="L18" s="416">
        <f t="shared" ref="L18:L22" si="4">+K18/J18</f>
        <v>0.82242525462709448</v>
      </c>
    </row>
    <row r="19" spans="1:12" ht="20.25" customHeight="1" x14ac:dyDescent="0.25">
      <c r="A19" s="85"/>
      <c r="B19" s="87" t="s">
        <v>268</v>
      </c>
      <c r="C19" s="95"/>
      <c r="D19" s="95"/>
      <c r="E19" s="95"/>
      <c r="F19" s="416"/>
      <c r="G19" s="71"/>
      <c r="H19" s="115" t="s">
        <v>239</v>
      </c>
      <c r="I19" s="104">
        <f>'3.a hivatal részletes'!I42</f>
        <v>5509000</v>
      </c>
      <c r="J19" s="104">
        <f>'3.a hivatal részletes'!J42</f>
        <v>5749000</v>
      </c>
      <c r="K19" s="104">
        <f>'3.a hivatal részletes'!K42</f>
        <v>5656935</v>
      </c>
      <c r="L19" s="416">
        <f t="shared" si="4"/>
        <v>0.98398591059314666</v>
      </c>
    </row>
    <row r="20" spans="1:12" ht="20.25" customHeight="1" x14ac:dyDescent="0.25">
      <c r="A20" s="85"/>
      <c r="B20" s="87" t="s">
        <v>269</v>
      </c>
      <c r="C20" s="95"/>
      <c r="D20" s="95"/>
      <c r="E20" s="95"/>
      <c r="F20" s="416"/>
      <c r="G20" s="71"/>
      <c r="H20" s="115" t="s">
        <v>240</v>
      </c>
      <c r="I20" s="104">
        <f>'3.a hivatal részletes'!I58</f>
        <v>7568400</v>
      </c>
      <c r="J20" s="104">
        <f>'3.a hivatal részletes'!J58</f>
        <v>7519002</v>
      </c>
      <c r="K20" s="104">
        <f>'3.a hivatal részletes'!K58</f>
        <v>5997739</v>
      </c>
      <c r="L20" s="416">
        <f t="shared" si="4"/>
        <v>0.79767753752426185</v>
      </c>
    </row>
    <row r="21" spans="1:12" ht="20.25" customHeight="1" x14ac:dyDescent="0.25">
      <c r="A21" s="85"/>
      <c r="B21" s="87" t="s">
        <v>270</v>
      </c>
      <c r="C21" s="95"/>
      <c r="D21" s="95"/>
      <c r="E21" s="95"/>
      <c r="F21" s="416"/>
      <c r="G21" s="71"/>
      <c r="H21" s="115" t="s">
        <v>241</v>
      </c>
      <c r="I21" s="104">
        <f>'3.a hivatal részletes'!I61</f>
        <v>490000</v>
      </c>
      <c r="J21" s="104">
        <f>'3.a hivatal részletes'!J61</f>
        <v>490000</v>
      </c>
      <c r="K21" s="104">
        <f>'3.a hivatal részletes'!K61</f>
        <v>332506</v>
      </c>
      <c r="L21" s="416">
        <f t="shared" si="4"/>
        <v>0.67858367346938775</v>
      </c>
    </row>
    <row r="22" spans="1:12" ht="20.25" customHeight="1" x14ac:dyDescent="0.25">
      <c r="A22" s="85"/>
      <c r="B22" s="87" t="s">
        <v>271</v>
      </c>
      <c r="C22" s="95"/>
      <c r="D22" s="95"/>
      <c r="E22" s="95"/>
      <c r="F22" s="416"/>
      <c r="G22" s="71"/>
      <c r="H22" s="115" t="s">
        <v>242</v>
      </c>
      <c r="I22" s="104">
        <f>'3.a hivatal részletes'!I67</f>
        <v>3866380</v>
      </c>
      <c r="J22" s="104">
        <f>'3.a hivatal részletes'!J67</f>
        <v>3866380</v>
      </c>
      <c r="K22" s="104">
        <f>'3.a hivatal részletes'!K67</f>
        <v>2188175</v>
      </c>
      <c r="L22" s="416">
        <f t="shared" si="4"/>
        <v>0.56594928589533366</v>
      </c>
    </row>
    <row r="23" spans="1:12" ht="20.25" customHeight="1" x14ac:dyDescent="0.25">
      <c r="A23" s="85"/>
      <c r="B23" s="87" t="s">
        <v>272</v>
      </c>
      <c r="C23" s="95"/>
      <c r="D23" s="95"/>
      <c r="E23" s="95"/>
      <c r="F23" s="416"/>
      <c r="G23" s="71"/>
      <c r="H23" s="71"/>
      <c r="I23" s="97"/>
      <c r="J23" s="97"/>
      <c r="K23" s="97"/>
      <c r="L23" s="419"/>
    </row>
    <row r="24" spans="1:12" ht="20.25" customHeight="1" x14ac:dyDescent="0.25">
      <c r="A24" s="231" t="s">
        <v>56</v>
      </c>
      <c r="B24" s="232" t="s">
        <v>273</v>
      </c>
      <c r="C24" s="233">
        <f>SUM(C25:C34)</f>
        <v>584200</v>
      </c>
      <c r="D24" s="233">
        <f t="shared" ref="D24" si="5">SUM(D25:D34)</f>
        <v>774802</v>
      </c>
      <c r="E24" s="233">
        <f>SUM(E25:E34)</f>
        <v>1106040</v>
      </c>
      <c r="F24" s="429">
        <f>+E24/D24</f>
        <v>1.4275130936678015</v>
      </c>
      <c r="G24" s="231" t="s">
        <v>64</v>
      </c>
      <c r="H24" s="232" t="s">
        <v>216</v>
      </c>
      <c r="I24" s="233">
        <f>'3.a hivatal részletes'!I68</f>
        <v>0</v>
      </c>
      <c r="J24" s="233">
        <f>'3.a hivatal részletes'!J68</f>
        <v>0</v>
      </c>
      <c r="K24" s="233">
        <f>'3.a hivatal részletes'!K68</f>
        <v>0</v>
      </c>
      <c r="L24" s="429">
        <f>'3.a hivatal részletes'!L68</f>
        <v>0</v>
      </c>
    </row>
    <row r="25" spans="1:12" ht="20.25" customHeight="1" x14ac:dyDescent="0.25">
      <c r="A25" s="85"/>
      <c r="B25" s="88" t="s">
        <v>274</v>
      </c>
      <c r="C25" s="101"/>
      <c r="D25" s="101"/>
      <c r="E25" s="101"/>
      <c r="F25" s="422"/>
      <c r="G25" s="71"/>
      <c r="H25" s="71" t="s">
        <v>202</v>
      </c>
      <c r="I25" s="100"/>
      <c r="J25" s="100"/>
      <c r="K25" s="100"/>
      <c r="L25" s="420"/>
    </row>
    <row r="26" spans="1:12" ht="20.25" customHeight="1" x14ac:dyDescent="0.25">
      <c r="A26" s="85"/>
      <c r="B26" s="88" t="s">
        <v>275</v>
      </c>
      <c r="C26" s="101">
        <f>'3.a hivatal részletes'!C28</f>
        <v>460000</v>
      </c>
      <c r="D26" s="101">
        <f>'3.a hivatal részletes'!D28</f>
        <v>460000</v>
      </c>
      <c r="E26" s="101">
        <f>'3.a hivatal részletes'!E28</f>
        <v>562417</v>
      </c>
      <c r="F26" s="422">
        <f>+E26/D26</f>
        <v>1.2226456521739131</v>
      </c>
      <c r="G26" s="71"/>
      <c r="H26" s="87" t="s">
        <v>203</v>
      </c>
      <c r="I26" s="100"/>
      <c r="J26" s="100"/>
      <c r="K26" s="100"/>
      <c r="L26" s="420"/>
    </row>
    <row r="27" spans="1:12" ht="20.25" customHeight="1" x14ac:dyDescent="0.25">
      <c r="A27" s="85"/>
      <c r="B27" s="88" t="s">
        <v>276</v>
      </c>
      <c r="C27" s="101">
        <f>'3.a hivatal részletes'!C34</f>
        <v>0</v>
      </c>
      <c r="D27" s="101">
        <f>'3.a hivatal részletes'!D34</f>
        <v>190602</v>
      </c>
      <c r="E27" s="101">
        <f>'3.a hivatal részletes'!E34</f>
        <v>209762</v>
      </c>
      <c r="F27" s="422">
        <f t="shared" ref="F27:F30" si="6">+E27/D27</f>
        <v>1.1005236041594526</v>
      </c>
      <c r="G27" s="71"/>
      <c r="H27" s="71" t="s">
        <v>204</v>
      </c>
      <c r="I27" s="100"/>
      <c r="J27" s="100"/>
      <c r="K27" s="100"/>
      <c r="L27" s="420"/>
    </row>
    <row r="28" spans="1:12" ht="20.25" customHeight="1" x14ac:dyDescent="0.25">
      <c r="A28" s="85"/>
      <c r="B28" s="88" t="s">
        <v>277</v>
      </c>
      <c r="C28" s="101"/>
      <c r="D28" s="101"/>
      <c r="E28" s="101"/>
      <c r="F28" s="422"/>
      <c r="G28" s="71"/>
      <c r="H28" s="71" t="s">
        <v>205</v>
      </c>
      <c r="I28" s="100"/>
      <c r="J28" s="100"/>
      <c r="K28" s="100"/>
      <c r="L28" s="420"/>
    </row>
    <row r="29" spans="1:12" ht="20.25" customHeight="1" x14ac:dyDescent="0.25">
      <c r="A29" s="85"/>
      <c r="B29" s="88" t="s">
        <v>278</v>
      </c>
      <c r="C29" s="101"/>
      <c r="D29" s="101"/>
      <c r="E29" s="101"/>
      <c r="F29" s="422"/>
      <c r="G29" s="71"/>
      <c r="H29" s="71" t="s">
        <v>206</v>
      </c>
      <c r="I29" s="100"/>
      <c r="J29" s="100"/>
      <c r="K29" s="100"/>
      <c r="L29" s="420"/>
    </row>
    <row r="30" spans="1:12" ht="20.25" customHeight="1" x14ac:dyDescent="0.25">
      <c r="A30" s="85"/>
      <c r="B30" s="88" t="s">
        <v>279</v>
      </c>
      <c r="C30" s="101">
        <f>'3.a hivatal részletes'!C44</f>
        <v>124200.00000000001</v>
      </c>
      <c r="D30" s="101">
        <f>'3.a hivatal részletes'!D44</f>
        <v>124200.00000000001</v>
      </c>
      <c r="E30" s="101">
        <f>'3.a hivatal részletes'!E44</f>
        <v>203316</v>
      </c>
      <c r="F30" s="422">
        <f t="shared" si="6"/>
        <v>1.6370048309178742</v>
      </c>
      <c r="G30" s="71"/>
      <c r="H30" s="71" t="s">
        <v>207</v>
      </c>
      <c r="I30" s="100"/>
      <c r="J30" s="100"/>
      <c r="K30" s="100"/>
      <c r="L30" s="420"/>
    </row>
    <row r="31" spans="1:12" ht="20.25" customHeight="1" x14ac:dyDescent="0.25">
      <c r="A31" s="85"/>
      <c r="B31" s="88" t="s">
        <v>280</v>
      </c>
      <c r="C31" s="101"/>
      <c r="D31" s="101"/>
      <c r="E31" s="101"/>
      <c r="F31" s="422"/>
      <c r="G31" s="71"/>
      <c r="H31" s="71"/>
      <c r="I31" s="97"/>
      <c r="J31" s="97"/>
      <c r="K31" s="97"/>
      <c r="L31" s="419"/>
    </row>
    <row r="32" spans="1:12" ht="20.25" customHeight="1" x14ac:dyDescent="0.25">
      <c r="A32" s="85"/>
      <c r="B32" s="88" t="s">
        <v>281</v>
      </c>
      <c r="C32" s="101"/>
      <c r="D32" s="101"/>
      <c r="E32" s="101">
        <f>+'3.a hivatal részletes'!E46</f>
        <v>1</v>
      </c>
      <c r="F32" s="422"/>
      <c r="G32" s="71"/>
      <c r="I32" s="104"/>
      <c r="J32" s="104"/>
      <c r="K32" s="104"/>
      <c r="L32" s="418"/>
    </row>
    <row r="33" spans="1:12" ht="20.25" customHeight="1" x14ac:dyDescent="0.25">
      <c r="A33" s="85"/>
      <c r="B33" s="88" t="s">
        <v>282</v>
      </c>
      <c r="C33" s="101"/>
      <c r="D33" s="101"/>
      <c r="E33" s="101"/>
      <c r="F33" s="422"/>
      <c r="G33" s="71"/>
      <c r="H33" s="71"/>
      <c r="I33" s="97"/>
      <c r="J33" s="97"/>
      <c r="K33" s="97"/>
      <c r="L33" s="419"/>
    </row>
    <row r="34" spans="1:12" ht="20.25" customHeight="1" x14ac:dyDescent="0.25">
      <c r="A34" s="85"/>
      <c r="B34" s="88" t="s">
        <v>283</v>
      </c>
      <c r="C34" s="101">
        <f>'3.a hivatal részletes'!C48</f>
        <v>0</v>
      </c>
      <c r="D34" s="101">
        <f>'3.a hivatal részletes'!D48</f>
        <v>0</v>
      </c>
      <c r="E34" s="101">
        <f>'3.a hivatal részletes'!E48</f>
        <v>130544</v>
      </c>
      <c r="F34" s="422"/>
      <c r="G34" s="71"/>
      <c r="H34" s="71"/>
      <c r="I34" s="97"/>
      <c r="J34" s="97"/>
      <c r="K34" s="97"/>
      <c r="L34" s="419"/>
    </row>
    <row r="35" spans="1:12" ht="20.25" customHeight="1" x14ac:dyDescent="0.25">
      <c r="A35" s="231" t="s">
        <v>64</v>
      </c>
      <c r="B35" s="232" t="s">
        <v>290</v>
      </c>
      <c r="C35" s="233">
        <f>C36+C37+C38</f>
        <v>0</v>
      </c>
      <c r="D35" s="233">
        <f t="shared" ref="D35:F35" si="7">D36+D37+D38</f>
        <v>0</v>
      </c>
      <c r="E35" s="233">
        <f t="shared" si="7"/>
        <v>0</v>
      </c>
      <c r="F35" s="429">
        <f t="shared" si="7"/>
        <v>0</v>
      </c>
      <c r="G35" s="231" t="s">
        <v>100</v>
      </c>
      <c r="H35" s="232" t="s">
        <v>237</v>
      </c>
      <c r="I35" s="233">
        <f>'3.a hivatal részletes'!I75</f>
        <v>0</v>
      </c>
      <c r="J35" s="233">
        <f>'3.a hivatal részletes'!J75</f>
        <v>0</v>
      </c>
      <c r="K35" s="233">
        <f>'3.a hivatal részletes'!K75</f>
        <v>0</v>
      </c>
      <c r="L35" s="429">
        <f>'3.a hivatal részletes'!L75</f>
        <v>0</v>
      </c>
    </row>
    <row r="36" spans="1:12" ht="30" x14ac:dyDescent="0.25">
      <c r="A36" s="85"/>
      <c r="B36" s="88" t="s">
        <v>291</v>
      </c>
      <c r="C36" s="101"/>
      <c r="D36" s="101"/>
      <c r="E36" s="101"/>
      <c r="F36" s="422"/>
      <c r="G36" s="71"/>
      <c r="H36" s="71" t="s">
        <v>208</v>
      </c>
      <c r="I36" s="105" t="s">
        <v>253</v>
      </c>
      <c r="J36" s="105" t="s">
        <v>253</v>
      </c>
      <c r="K36" s="105"/>
      <c r="L36" s="417"/>
    </row>
    <row r="37" spans="1:12" ht="28.5" customHeight="1" x14ac:dyDescent="0.25">
      <c r="A37" s="85"/>
      <c r="B37" s="83" t="s">
        <v>292</v>
      </c>
      <c r="C37" s="101"/>
      <c r="D37" s="101"/>
      <c r="E37" s="101"/>
      <c r="F37" s="422"/>
      <c r="G37" s="71"/>
      <c r="H37" s="71" t="s">
        <v>210</v>
      </c>
      <c r="I37" s="100"/>
      <c r="J37" s="100"/>
      <c r="K37" s="100"/>
      <c r="L37" s="420"/>
    </row>
    <row r="38" spans="1:12" ht="19.5" customHeight="1" x14ac:dyDescent="0.25">
      <c r="A38" s="85"/>
      <c r="B38" s="88" t="s">
        <v>293</v>
      </c>
      <c r="C38" s="101">
        <f>'3.a hivatal részletes'!C64</f>
        <v>0</v>
      </c>
      <c r="D38" s="101">
        <f>'3.a hivatal részletes'!D64</f>
        <v>0</v>
      </c>
      <c r="E38" s="101">
        <f>'3.a hivatal részletes'!E64</f>
        <v>0</v>
      </c>
      <c r="F38" s="422">
        <f>'3.a hivatal részletes'!F64</f>
        <v>0</v>
      </c>
      <c r="G38" s="71"/>
      <c r="H38" s="71" t="s">
        <v>209</v>
      </c>
      <c r="I38" s="100"/>
      <c r="J38" s="100"/>
      <c r="K38" s="100"/>
      <c r="L38" s="420"/>
    </row>
    <row r="39" spans="1:12" ht="19.5" customHeight="1" x14ac:dyDescent="0.25">
      <c r="A39" s="85"/>
      <c r="B39" s="88"/>
      <c r="C39" s="101"/>
      <c r="D39" s="101"/>
      <c r="E39" s="101"/>
      <c r="F39" s="422"/>
      <c r="G39" s="71"/>
      <c r="H39" s="71" t="s">
        <v>211</v>
      </c>
      <c r="I39" s="100"/>
      <c r="J39" s="100"/>
      <c r="K39" s="100"/>
      <c r="L39" s="420"/>
    </row>
    <row r="40" spans="1:12" ht="19.5" customHeight="1" x14ac:dyDescent="0.25">
      <c r="A40" s="85"/>
      <c r="B40" s="88"/>
      <c r="C40" s="99"/>
      <c r="D40" s="99"/>
      <c r="E40" s="99"/>
      <c r="F40" s="430"/>
      <c r="G40" s="71"/>
      <c r="H40" s="71" t="s">
        <v>376</v>
      </c>
      <c r="I40" s="100"/>
      <c r="J40" s="100"/>
      <c r="K40" s="100"/>
      <c r="L40" s="420"/>
    </row>
    <row r="41" spans="1:12" ht="19.5" customHeight="1" x14ac:dyDescent="0.25">
      <c r="A41" s="85"/>
      <c r="B41" s="88"/>
      <c r="C41" s="99"/>
      <c r="D41" s="99"/>
      <c r="E41" s="99"/>
      <c r="F41" s="430"/>
      <c r="G41" s="71"/>
      <c r="H41" s="71" t="s">
        <v>212</v>
      </c>
      <c r="I41" s="100"/>
      <c r="J41" s="100"/>
      <c r="K41" s="100"/>
      <c r="L41" s="420"/>
    </row>
    <row r="42" spans="1:12" ht="19.5" customHeight="1" x14ac:dyDescent="0.25">
      <c r="A42" s="85"/>
      <c r="B42" s="88"/>
      <c r="C42" s="99"/>
      <c r="D42" s="99"/>
      <c r="E42" s="99"/>
      <c r="F42" s="430"/>
      <c r="G42" s="73"/>
      <c r="H42" s="82"/>
      <c r="I42" s="100"/>
      <c r="J42" s="100"/>
      <c r="K42" s="100"/>
      <c r="L42" s="420"/>
    </row>
    <row r="43" spans="1:12" ht="19.5" customHeight="1" x14ac:dyDescent="0.25">
      <c r="A43" s="85"/>
      <c r="B43" s="88"/>
      <c r="C43" s="99"/>
      <c r="D43" s="99"/>
      <c r="E43" s="99"/>
      <c r="F43" s="430"/>
      <c r="G43" s="71"/>
      <c r="H43" s="71"/>
      <c r="I43" s="100"/>
      <c r="J43" s="100"/>
      <c r="K43" s="100"/>
      <c r="L43" s="420"/>
    </row>
    <row r="44" spans="1:12" ht="19.5" customHeight="1" x14ac:dyDescent="0.25">
      <c r="A44" s="85"/>
      <c r="B44" s="88"/>
      <c r="C44" s="99"/>
      <c r="D44" s="99"/>
      <c r="E44" s="99"/>
      <c r="F44" s="430"/>
      <c r="G44" s="71"/>
      <c r="H44" s="87"/>
      <c r="I44" s="100"/>
      <c r="J44" s="100"/>
      <c r="K44" s="100"/>
      <c r="L44" s="420"/>
    </row>
    <row r="45" spans="1:12" ht="19.5" customHeight="1" x14ac:dyDescent="0.25">
      <c r="A45" s="85"/>
      <c r="B45" s="88"/>
      <c r="C45" s="99"/>
      <c r="D45" s="99"/>
      <c r="E45" s="99"/>
      <c r="F45" s="430"/>
      <c r="G45" s="71"/>
      <c r="H45" s="71"/>
      <c r="I45" s="100"/>
      <c r="J45" s="100"/>
      <c r="K45" s="100"/>
      <c r="L45" s="420"/>
    </row>
    <row r="46" spans="1:12" ht="19.5" customHeight="1" x14ac:dyDescent="0.25">
      <c r="A46" s="85"/>
      <c r="B46" s="88"/>
      <c r="C46" s="99"/>
      <c r="D46" s="99"/>
      <c r="E46" s="99"/>
      <c r="F46" s="430"/>
      <c r="G46" s="71"/>
      <c r="H46" s="71"/>
      <c r="I46" s="100"/>
      <c r="J46" s="100"/>
      <c r="K46" s="100"/>
      <c r="L46" s="420"/>
    </row>
    <row r="47" spans="1:12" ht="19.5" customHeight="1" x14ac:dyDescent="0.25">
      <c r="A47" s="85"/>
      <c r="B47" s="88"/>
      <c r="C47" s="99"/>
      <c r="D47" s="99"/>
      <c r="E47" s="99"/>
      <c r="F47" s="430"/>
      <c r="G47" s="71"/>
      <c r="H47" s="71"/>
      <c r="I47" s="100"/>
      <c r="J47" s="100"/>
      <c r="K47" s="100"/>
      <c r="L47" s="420"/>
    </row>
    <row r="48" spans="1:12" ht="20.25" customHeight="1" x14ac:dyDescent="0.25">
      <c r="A48" s="85"/>
      <c r="B48" s="88"/>
      <c r="C48" s="99"/>
      <c r="D48" s="99"/>
      <c r="E48" s="99"/>
      <c r="F48" s="430"/>
      <c r="G48" s="71"/>
      <c r="H48" s="71"/>
      <c r="I48" s="100"/>
      <c r="J48" s="100"/>
      <c r="K48" s="100"/>
      <c r="L48" s="420"/>
    </row>
    <row r="49" spans="1:12" ht="20.25" customHeight="1" x14ac:dyDescent="0.25">
      <c r="A49" s="306"/>
      <c r="B49" s="307" t="s">
        <v>192</v>
      </c>
      <c r="C49" s="308">
        <f>C50+C56+C62</f>
        <v>0</v>
      </c>
      <c r="D49" s="308">
        <f t="shared" ref="D49:F49" si="8">D50+D56+D62</f>
        <v>0</v>
      </c>
      <c r="E49" s="308">
        <f t="shared" si="8"/>
        <v>0</v>
      </c>
      <c r="F49" s="414">
        <f t="shared" si="8"/>
        <v>0</v>
      </c>
      <c r="G49" s="306"/>
      <c r="H49" s="307" t="s">
        <v>200</v>
      </c>
      <c r="I49" s="308">
        <f>I50+I58+I63</f>
        <v>3175000</v>
      </c>
      <c r="J49" s="308">
        <f t="shared" ref="J49:K49" si="9">J50+J58+J63</f>
        <v>3175000</v>
      </c>
      <c r="K49" s="308">
        <f t="shared" si="9"/>
        <v>1238364</v>
      </c>
      <c r="L49" s="414">
        <f>+K49/J49</f>
        <v>0.390035905511811</v>
      </c>
    </row>
    <row r="50" spans="1:12" ht="20.25" customHeight="1" x14ac:dyDescent="0.25">
      <c r="A50" s="231" t="s">
        <v>100</v>
      </c>
      <c r="B50" s="232" t="s">
        <v>260</v>
      </c>
      <c r="C50" s="233">
        <f>SUM(C51:C55)</f>
        <v>0</v>
      </c>
      <c r="D50" s="233">
        <f t="shared" ref="D50:F50" si="10">SUM(D51:D55)</f>
        <v>0</v>
      </c>
      <c r="E50" s="233">
        <f t="shared" si="10"/>
        <v>0</v>
      </c>
      <c r="F50" s="429">
        <f t="shared" si="10"/>
        <v>0</v>
      </c>
      <c r="G50" s="231" t="s">
        <v>181</v>
      </c>
      <c r="H50" s="232" t="s">
        <v>217</v>
      </c>
      <c r="I50" s="233">
        <f>SUM(I51:I57)</f>
        <v>3175000</v>
      </c>
      <c r="J50" s="233">
        <f t="shared" ref="J50:K50" si="11">SUM(J51:J57)</f>
        <v>3175000</v>
      </c>
      <c r="K50" s="233">
        <f t="shared" si="11"/>
        <v>1238364</v>
      </c>
      <c r="L50" s="415">
        <f>+K50/J50</f>
        <v>0.390035905511811</v>
      </c>
    </row>
    <row r="51" spans="1:12" ht="20.25" customHeight="1" x14ac:dyDescent="0.25">
      <c r="A51" s="85"/>
      <c r="B51" s="83" t="s">
        <v>261</v>
      </c>
      <c r="C51" s="101"/>
      <c r="D51" s="101"/>
      <c r="E51" s="101"/>
      <c r="F51" s="422"/>
      <c r="G51" s="85"/>
      <c r="H51" s="91" t="s">
        <v>218</v>
      </c>
      <c r="I51" s="95">
        <f>'3.a hivatal részletes'!I84</f>
        <v>0</v>
      </c>
      <c r="J51" s="95">
        <f>'3.a hivatal részletes'!J84</f>
        <v>0</v>
      </c>
      <c r="K51" s="95">
        <f>'3.a hivatal részletes'!K84</f>
        <v>0</v>
      </c>
      <c r="L51" s="416"/>
    </row>
    <row r="52" spans="1:12" ht="29.25" customHeight="1" x14ac:dyDescent="0.25">
      <c r="A52" s="85"/>
      <c r="B52" s="83" t="s">
        <v>262</v>
      </c>
      <c r="C52" s="101"/>
      <c r="D52" s="101"/>
      <c r="E52" s="101"/>
      <c r="F52" s="422"/>
      <c r="G52" s="85"/>
      <c r="H52" s="91" t="s">
        <v>219</v>
      </c>
      <c r="I52" s="98">
        <f>'3.a hivatal részletes'!I85</f>
        <v>0</v>
      </c>
      <c r="J52" s="98">
        <f>'3.a hivatal részletes'!J85</f>
        <v>0</v>
      </c>
      <c r="K52" s="98">
        <f>'3.a hivatal részletes'!K85</f>
        <v>0</v>
      </c>
      <c r="L52" s="416"/>
    </row>
    <row r="53" spans="1:12" ht="29.25" customHeight="1" x14ac:dyDescent="0.25">
      <c r="A53" s="85"/>
      <c r="B53" s="83" t="s">
        <v>263</v>
      </c>
      <c r="C53" s="101"/>
      <c r="D53" s="101"/>
      <c r="E53" s="101"/>
      <c r="F53" s="422"/>
      <c r="G53" s="71"/>
      <c r="H53" s="71" t="s">
        <v>220</v>
      </c>
      <c r="I53" s="98">
        <f>'3.a hivatal részletes'!I86</f>
        <v>500000</v>
      </c>
      <c r="J53" s="98">
        <f>'3.a hivatal részletes'!J86</f>
        <v>749000</v>
      </c>
      <c r="K53" s="98">
        <f>'3.a hivatal részletes'!K86</f>
        <v>749000</v>
      </c>
      <c r="L53" s="416">
        <f t="shared" ref="L53:L57" si="12">+K53/J53</f>
        <v>1</v>
      </c>
    </row>
    <row r="54" spans="1:12" ht="29.25" customHeight="1" x14ac:dyDescent="0.25">
      <c r="A54" s="85"/>
      <c r="B54" s="83" t="s">
        <v>264</v>
      </c>
      <c r="C54" s="101"/>
      <c r="D54" s="101"/>
      <c r="E54" s="101"/>
      <c r="F54" s="422"/>
      <c r="G54" s="71"/>
      <c r="H54" s="71" t="s">
        <v>221</v>
      </c>
      <c r="I54" s="98">
        <f>'3.a hivatal részletes'!I87</f>
        <v>2000000</v>
      </c>
      <c r="J54" s="98">
        <f>'3.a hivatal részletes'!J87</f>
        <v>1751000</v>
      </c>
      <c r="K54" s="98">
        <f>'3.a hivatal részletes'!K87</f>
        <v>226090</v>
      </c>
      <c r="L54" s="416">
        <f t="shared" si="12"/>
        <v>0.12912050256996002</v>
      </c>
    </row>
    <row r="55" spans="1:12" ht="21" customHeight="1" x14ac:dyDescent="0.25">
      <c r="A55" s="85"/>
      <c r="B55" s="83" t="s">
        <v>265</v>
      </c>
      <c r="C55" s="101"/>
      <c r="D55" s="101"/>
      <c r="E55" s="101"/>
      <c r="F55" s="422"/>
      <c r="G55" s="71"/>
      <c r="H55" s="71" t="s">
        <v>222</v>
      </c>
      <c r="I55" s="98"/>
      <c r="J55" s="98"/>
      <c r="K55" s="98"/>
      <c r="L55" s="416"/>
    </row>
    <row r="56" spans="1:12" ht="20.25" customHeight="1" x14ac:dyDescent="0.25">
      <c r="A56" s="231" t="s">
        <v>181</v>
      </c>
      <c r="B56" s="232" t="s">
        <v>284</v>
      </c>
      <c r="C56" s="233">
        <f>SUM(C57:C61)</f>
        <v>0</v>
      </c>
      <c r="D56" s="233">
        <f t="shared" ref="D56:F56" si="13">SUM(D57:D61)</f>
        <v>0</v>
      </c>
      <c r="E56" s="233">
        <f t="shared" si="13"/>
        <v>0</v>
      </c>
      <c r="F56" s="429">
        <f t="shared" si="13"/>
        <v>0</v>
      </c>
      <c r="G56" s="71"/>
      <c r="H56" s="71" t="s">
        <v>223</v>
      </c>
      <c r="I56" s="98"/>
      <c r="J56" s="98"/>
      <c r="K56" s="98"/>
      <c r="L56" s="416"/>
    </row>
    <row r="57" spans="1:12" ht="20.25" customHeight="1" x14ac:dyDescent="0.25">
      <c r="A57" s="85"/>
      <c r="B57" s="88" t="s">
        <v>285</v>
      </c>
      <c r="C57" s="101"/>
      <c r="D57" s="101"/>
      <c r="E57" s="101"/>
      <c r="F57" s="422"/>
      <c r="G57" s="71"/>
      <c r="H57" s="71" t="s">
        <v>224</v>
      </c>
      <c r="I57" s="98">
        <f>'3.a hivatal részletes'!I90</f>
        <v>675000</v>
      </c>
      <c r="J57" s="98">
        <f>'3.a hivatal részletes'!J90</f>
        <v>675000</v>
      </c>
      <c r="K57" s="98">
        <f>'3.a hivatal részletes'!K90</f>
        <v>263274</v>
      </c>
      <c r="L57" s="416">
        <f t="shared" si="12"/>
        <v>0.39003555555555558</v>
      </c>
    </row>
    <row r="58" spans="1:12" ht="20.25" customHeight="1" x14ac:dyDescent="0.25">
      <c r="A58" s="85"/>
      <c r="B58" s="88" t="s">
        <v>286</v>
      </c>
      <c r="C58" s="101"/>
      <c r="D58" s="101"/>
      <c r="E58" s="101"/>
      <c r="F58" s="422"/>
      <c r="G58" s="231" t="s">
        <v>191</v>
      </c>
      <c r="H58" s="232" t="s">
        <v>225</v>
      </c>
      <c r="I58" s="233">
        <f>SUM(I59:I62)</f>
        <v>0</v>
      </c>
      <c r="J58" s="233">
        <f t="shared" ref="J58:L58" si="14">SUM(J59:J62)</f>
        <v>0</v>
      </c>
      <c r="K58" s="233">
        <f t="shared" si="14"/>
        <v>0</v>
      </c>
      <c r="L58" s="429">
        <f t="shared" si="14"/>
        <v>0</v>
      </c>
    </row>
    <row r="59" spans="1:12" ht="20.25" customHeight="1" x14ac:dyDescent="0.25">
      <c r="A59" s="85"/>
      <c r="B59" s="88" t="s">
        <v>287</v>
      </c>
      <c r="C59" s="101"/>
      <c r="D59" s="101"/>
      <c r="E59" s="101"/>
      <c r="F59" s="422"/>
      <c r="G59" s="71"/>
      <c r="H59" s="71" t="s">
        <v>226</v>
      </c>
      <c r="I59" s="98"/>
      <c r="J59" s="98"/>
      <c r="K59" s="98"/>
      <c r="L59" s="421"/>
    </row>
    <row r="60" spans="1:12" ht="20.25" customHeight="1" x14ac:dyDescent="0.25">
      <c r="A60" s="85"/>
      <c r="B60" s="88" t="s">
        <v>288</v>
      </c>
      <c r="C60" s="101"/>
      <c r="D60" s="101"/>
      <c r="E60" s="101"/>
      <c r="F60" s="422"/>
      <c r="G60" s="71"/>
      <c r="H60" s="71" t="s">
        <v>227</v>
      </c>
      <c r="I60" s="98"/>
      <c r="J60" s="98"/>
      <c r="K60" s="98"/>
      <c r="L60" s="421"/>
    </row>
    <row r="61" spans="1:12" ht="20.25" customHeight="1" x14ac:dyDescent="0.25">
      <c r="A61" s="85"/>
      <c r="B61" s="88" t="s">
        <v>289</v>
      </c>
      <c r="C61" s="101"/>
      <c r="D61" s="101"/>
      <c r="E61" s="101"/>
      <c r="F61" s="422"/>
      <c r="G61" s="71"/>
      <c r="H61" s="71" t="s">
        <v>228</v>
      </c>
      <c r="I61" s="98"/>
      <c r="J61" s="98"/>
      <c r="K61" s="98"/>
      <c r="L61" s="421"/>
    </row>
    <row r="62" spans="1:12" ht="20.25" customHeight="1" x14ac:dyDescent="0.25">
      <c r="A62" s="231" t="s">
        <v>191</v>
      </c>
      <c r="B62" s="232" t="s">
        <v>294</v>
      </c>
      <c r="C62" s="233">
        <f>C63+C64+C65</f>
        <v>0</v>
      </c>
      <c r="D62" s="233">
        <f t="shared" ref="D62:F62" si="15">D63+D64+D65</f>
        <v>0</v>
      </c>
      <c r="E62" s="233">
        <f t="shared" si="15"/>
        <v>0</v>
      </c>
      <c r="F62" s="429">
        <f t="shared" si="15"/>
        <v>0</v>
      </c>
      <c r="G62" s="71"/>
      <c r="H62" s="71" t="s">
        <v>229</v>
      </c>
      <c r="I62" s="98"/>
      <c r="J62" s="98"/>
      <c r="K62" s="98"/>
      <c r="L62" s="421"/>
    </row>
    <row r="63" spans="1:12" ht="29.25" customHeight="1" x14ac:dyDescent="0.25">
      <c r="A63" s="85"/>
      <c r="B63" s="88" t="s">
        <v>295</v>
      </c>
      <c r="C63" s="101"/>
      <c r="D63" s="101"/>
      <c r="E63" s="101"/>
      <c r="F63" s="422"/>
      <c r="G63" s="231" t="s">
        <v>199</v>
      </c>
      <c r="H63" s="232" t="s">
        <v>230</v>
      </c>
      <c r="I63" s="233"/>
      <c r="J63" s="233"/>
      <c r="K63" s="233"/>
      <c r="L63" s="429"/>
    </row>
    <row r="64" spans="1:12" ht="29.25" customHeight="1" x14ac:dyDescent="0.25">
      <c r="A64" s="85"/>
      <c r="B64" s="83" t="s">
        <v>296</v>
      </c>
      <c r="C64" s="101"/>
      <c r="D64" s="101"/>
      <c r="E64" s="101"/>
      <c r="F64" s="422"/>
      <c r="G64" s="71"/>
      <c r="H64" s="71"/>
      <c r="I64" s="98"/>
      <c r="J64" s="98"/>
      <c r="K64" s="98"/>
      <c r="L64" s="421"/>
    </row>
    <row r="65" spans="1:12" ht="21" customHeight="1" x14ac:dyDescent="0.25">
      <c r="A65" s="85"/>
      <c r="B65" s="88" t="s">
        <v>297</v>
      </c>
      <c r="C65" s="101"/>
      <c r="D65" s="101"/>
      <c r="E65" s="101"/>
      <c r="F65" s="422"/>
      <c r="G65" s="71"/>
      <c r="H65" s="71"/>
      <c r="I65" s="98"/>
      <c r="J65" s="98"/>
      <c r="K65" s="98"/>
      <c r="L65" s="421"/>
    </row>
    <row r="66" spans="1:12" ht="20.25" customHeight="1" x14ac:dyDescent="0.25">
      <c r="A66" s="306"/>
      <c r="B66" s="307" t="s">
        <v>298</v>
      </c>
      <c r="C66" s="308">
        <f>C76+C87</f>
        <v>123620565</v>
      </c>
      <c r="D66" s="308">
        <f t="shared" ref="D66:E66" si="16">D76+D87</f>
        <v>124341765</v>
      </c>
      <c r="E66" s="308">
        <f t="shared" si="16"/>
        <v>112593091</v>
      </c>
      <c r="F66" s="414">
        <f>+E66/D66</f>
        <v>0.90551305106534397</v>
      </c>
      <c r="G66" s="306"/>
      <c r="H66" s="307" t="s">
        <v>299</v>
      </c>
      <c r="I66" s="308">
        <f>I75+I86</f>
        <v>0</v>
      </c>
      <c r="J66" s="308">
        <f t="shared" ref="J66:L66" si="17">J75+J86</f>
        <v>0</v>
      </c>
      <c r="K66" s="308">
        <f t="shared" si="17"/>
        <v>0</v>
      </c>
      <c r="L66" s="414">
        <f t="shared" si="17"/>
        <v>0</v>
      </c>
    </row>
    <row r="67" spans="1:12" ht="21" customHeight="1" x14ac:dyDescent="0.25">
      <c r="A67" s="75"/>
      <c r="B67" s="93" t="s">
        <v>300</v>
      </c>
      <c r="C67" s="101"/>
      <c r="D67" s="101"/>
      <c r="E67" s="101"/>
      <c r="F67" s="422"/>
      <c r="G67" s="75"/>
      <c r="H67" s="93" t="s">
        <v>231</v>
      </c>
      <c r="I67" s="101"/>
      <c r="J67" s="101"/>
      <c r="K67" s="101"/>
      <c r="L67" s="422"/>
    </row>
    <row r="68" spans="1:12" ht="20.25" customHeight="1" x14ac:dyDescent="0.25">
      <c r="A68" s="75"/>
      <c r="B68" s="93" t="s">
        <v>301</v>
      </c>
      <c r="C68" s="101"/>
      <c r="D68" s="101"/>
      <c r="E68" s="101"/>
      <c r="F68" s="422"/>
      <c r="G68" s="75"/>
      <c r="H68" s="93" t="s">
        <v>232</v>
      </c>
      <c r="I68" s="101"/>
      <c r="J68" s="101"/>
      <c r="K68" s="101"/>
      <c r="L68" s="422"/>
    </row>
    <row r="69" spans="1:12" ht="20.25" customHeight="1" x14ac:dyDescent="0.25">
      <c r="A69" s="75"/>
      <c r="B69" s="93" t="s">
        <v>302</v>
      </c>
      <c r="C69" s="101"/>
      <c r="D69" s="101"/>
      <c r="E69" s="101"/>
      <c r="F69" s="422"/>
      <c r="G69" s="75"/>
      <c r="H69" s="93" t="s">
        <v>233</v>
      </c>
      <c r="I69" s="101"/>
      <c r="J69" s="101"/>
      <c r="K69" s="101"/>
      <c r="L69" s="422"/>
    </row>
    <row r="70" spans="1:12" ht="20.25" customHeight="1" x14ac:dyDescent="0.25">
      <c r="A70" s="75"/>
      <c r="B70" s="94" t="s">
        <v>303</v>
      </c>
      <c r="C70" s="101">
        <f>C67+C68+C69</f>
        <v>0</v>
      </c>
      <c r="D70" s="101">
        <f t="shared" ref="D70:F70" si="18">D67+D68+D69</f>
        <v>0</v>
      </c>
      <c r="E70" s="101">
        <f t="shared" si="18"/>
        <v>0</v>
      </c>
      <c r="F70" s="422">
        <f t="shared" si="18"/>
        <v>0</v>
      </c>
      <c r="G70" s="75"/>
      <c r="H70" s="94" t="s">
        <v>243</v>
      </c>
      <c r="I70" s="101">
        <f>I67+I68+I69</f>
        <v>0</v>
      </c>
      <c r="J70" s="101">
        <f t="shared" ref="J70:L70" si="19">J67+J68+J69</f>
        <v>0</v>
      </c>
      <c r="K70" s="101">
        <f t="shared" si="19"/>
        <v>0</v>
      </c>
      <c r="L70" s="422">
        <f t="shared" si="19"/>
        <v>0</v>
      </c>
    </row>
    <row r="71" spans="1:12" ht="20.25" customHeight="1" x14ac:dyDescent="0.25">
      <c r="A71" s="75"/>
      <c r="B71" s="69" t="s">
        <v>304</v>
      </c>
      <c r="C71" s="101"/>
      <c r="D71" s="101"/>
      <c r="E71" s="101"/>
      <c r="F71" s="422"/>
      <c r="G71" s="75"/>
      <c r="H71" s="93" t="s">
        <v>235</v>
      </c>
      <c r="I71" s="101"/>
      <c r="J71" s="101"/>
      <c r="K71" s="101"/>
      <c r="L71" s="422"/>
    </row>
    <row r="72" spans="1:12" ht="20.25" customHeight="1" x14ac:dyDescent="0.25">
      <c r="A72" s="75"/>
      <c r="B72" s="69" t="s">
        <v>305</v>
      </c>
      <c r="C72" s="101"/>
      <c r="D72" s="101"/>
      <c r="E72" s="101"/>
      <c r="F72" s="422"/>
      <c r="G72" s="75"/>
      <c r="H72" s="93" t="s">
        <v>1795</v>
      </c>
      <c r="I72" s="101"/>
      <c r="J72" s="101"/>
      <c r="K72" s="101"/>
      <c r="L72" s="422"/>
    </row>
    <row r="73" spans="1:12" ht="20.25" customHeight="1" x14ac:dyDescent="0.25">
      <c r="A73" s="75"/>
      <c r="B73" s="70" t="s">
        <v>306</v>
      </c>
      <c r="C73" s="101">
        <f>C71+C72</f>
        <v>0</v>
      </c>
      <c r="D73" s="101">
        <f t="shared" ref="D73:F73" si="20">D71+D72</f>
        <v>0</v>
      </c>
      <c r="E73" s="101">
        <f t="shared" si="20"/>
        <v>0</v>
      </c>
      <c r="F73" s="422">
        <f t="shared" si="20"/>
        <v>0</v>
      </c>
      <c r="G73" s="75"/>
      <c r="H73" s="94" t="s">
        <v>244</v>
      </c>
      <c r="I73" s="101">
        <f>I71+I72</f>
        <v>0</v>
      </c>
      <c r="J73" s="101">
        <f t="shared" ref="J73:L73" si="21">J71+J72</f>
        <v>0</v>
      </c>
      <c r="K73" s="101">
        <f t="shared" si="21"/>
        <v>0</v>
      </c>
      <c r="L73" s="422">
        <f t="shared" si="21"/>
        <v>0</v>
      </c>
    </row>
    <row r="74" spans="1:12" ht="20.25" customHeight="1" x14ac:dyDescent="0.25">
      <c r="A74" s="75"/>
      <c r="B74" s="70" t="s">
        <v>307</v>
      </c>
      <c r="C74" s="101">
        <f>'3.a hivatal részletes'!C107</f>
        <v>0</v>
      </c>
      <c r="D74" s="101">
        <f>'3.a hivatal részletes'!D107</f>
        <v>21423</v>
      </c>
      <c r="E74" s="101">
        <f>'3.a hivatal részletes'!E107</f>
        <v>21423</v>
      </c>
      <c r="F74" s="422">
        <f>+E74/D74</f>
        <v>1</v>
      </c>
      <c r="G74" s="75"/>
      <c r="H74" s="94" t="s">
        <v>236</v>
      </c>
      <c r="I74" s="101"/>
      <c r="J74" s="101"/>
      <c r="K74" s="101"/>
      <c r="L74" s="422"/>
    </row>
    <row r="75" spans="1:12" ht="20.25" customHeight="1" x14ac:dyDescent="0.25">
      <c r="A75" s="75"/>
      <c r="B75" s="70" t="s">
        <v>308</v>
      </c>
      <c r="C75" s="101">
        <f>'3.a hivatal részletes'!C108</f>
        <v>120445565</v>
      </c>
      <c r="D75" s="101">
        <f>'3.a hivatal részletes'!D108</f>
        <v>121145342</v>
      </c>
      <c r="E75" s="101">
        <f>'3.a hivatal részletes'!E108</f>
        <v>111333304</v>
      </c>
      <c r="F75" s="422">
        <f t="shared" ref="F75:F76" si="22">+E75/D75</f>
        <v>0.91900606463267898</v>
      </c>
      <c r="G75" s="75"/>
      <c r="H75" s="75" t="s">
        <v>245</v>
      </c>
      <c r="I75" s="109">
        <f>I70+I73+I74</f>
        <v>0</v>
      </c>
      <c r="J75" s="109">
        <f t="shared" ref="J75:L75" si="23">J70+J73+J74</f>
        <v>0</v>
      </c>
      <c r="K75" s="109">
        <f t="shared" si="23"/>
        <v>0</v>
      </c>
      <c r="L75" s="423">
        <f t="shared" si="23"/>
        <v>0</v>
      </c>
    </row>
    <row r="76" spans="1:12" ht="20.25" customHeight="1" x14ac:dyDescent="0.25">
      <c r="A76" s="75"/>
      <c r="B76" s="80" t="s">
        <v>309</v>
      </c>
      <c r="C76" s="109">
        <f>C70+C73+C74+C75</f>
        <v>120445565</v>
      </c>
      <c r="D76" s="109">
        <f t="shared" ref="D76:E76" si="24">D70+D73+D74+D75</f>
        <v>121166765</v>
      </c>
      <c r="E76" s="109">
        <f t="shared" si="24"/>
        <v>111354727</v>
      </c>
      <c r="F76" s="423">
        <f t="shared" si="22"/>
        <v>0.91902038483902748</v>
      </c>
      <c r="G76" s="75"/>
      <c r="H76" s="94"/>
      <c r="I76" s="101"/>
      <c r="J76" s="101"/>
      <c r="K76" s="101"/>
      <c r="L76" s="422"/>
    </row>
    <row r="77" spans="1:12" ht="20.25" customHeight="1" x14ac:dyDescent="0.25">
      <c r="A77" s="89"/>
      <c r="B77" s="79"/>
      <c r="C77" s="102"/>
      <c r="D77" s="102"/>
      <c r="E77" s="102"/>
      <c r="F77" s="424"/>
      <c r="G77" s="89"/>
      <c r="H77" s="89"/>
      <c r="I77" s="102"/>
      <c r="J77" s="102"/>
      <c r="K77" s="102"/>
      <c r="L77" s="424"/>
    </row>
    <row r="78" spans="1:12" ht="20.25" customHeight="1" x14ac:dyDescent="0.25">
      <c r="A78" s="75"/>
      <c r="B78" s="93" t="s">
        <v>300</v>
      </c>
      <c r="C78" s="101"/>
      <c r="D78" s="101"/>
      <c r="E78" s="101"/>
      <c r="F78" s="422"/>
      <c r="G78" s="75"/>
      <c r="H78" s="93" t="s">
        <v>231</v>
      </c>
      <c r="I78" s="101"/>
      <c r="J78" s="101"/>
      <c r="K78" s="101"/>
      <c r="L78" s="422"/>
    </row>
    <row r="79" spans="1:12" ht="20.25" customHeight="1" x14ac:dyDescent="0.25">
      <c r="A79" s="75"/>
      <c r="B79" s="93" t="s">
        <v>301</v>
      </c>
      <c r="C79" s="101"/>
      <c r="D79" s="101"/>
      <c r="E79" s="101"/>
      <c r="F79" s="422"/>
      <c r="G79" s="75"/>
      <c r="H79" s="93" t="s">
        <v>232</v>
      </c>
      <c r="I79" s="101"/>
      <c r="J79" s="101"/>
      <c r="K79" s="101"/>
      <c r="L79" s="422"/>
    </row>
    <row r="80" spans="1:12" ht="20.25" customHeight="1" x14ac:dyDescent="0.25">
      <c r="A80" s="75"/>
      <c r="B80" s="93" t="s">
        <v>302</v>
      </c>
      <c r="C80" s="101"/>
      <c r="D80" s="101"/>
      <c r="E80" s="101"/>
      <c r="F80" s="422"/>
      <c r="G80" s="75"/>
      <c r="H80" s="93" t="s">
        <v>233</v>
      </c>
      <c r="I80" s="101"/>
      <c r="J80" s="101"/>
      <c r="K80" s="101"/>
      <c r="L80" s="422"/>
    </row>
    <row r="81" spans="1:12" ht="20.25" customHeight="1" x14ac:dyDescent="0.25">
      <c r="A81" s="75"/>
      <c r="B81" s="94" t="s">
        <v>303</v>
      </c>
      <c r="C81" s="101">
        <f>C78+C79+C80</f>
        <v>0</v>
      </c>
      <c r="D81" s="101">
        <f t="shared" ref="D81:F81" si="25">D78+D79+D80</f>
        <v>0</v>
      </c>
      <c r="E81" s="101">
        <f t="shared" si="25"/>
        <v>0</v>
      </c>
      <c r="F81" s="422">
        <f t="shared" si="25"/>
        <v>0</v>
      </c>
      <c r="G81" s="75"/>
      <c r="H81" s="94" t="s">
        <v>243</v>
      </c>
      <c r="I81" s="101">
        <f>I78+I79+I80</f>
        <v>0</v>
      </c>
      <c r="J81" s="101">
        <f t="shared" ref="J81:L81" si="26">J78+J79+J80</f>
        <v>0</v>
      </c>
      <c r="K81" s="101">
        <f t="shared" si="26"/>
        <v>0</v>
      </c>
      <c r="L81" s="422">
        <f t="shared" si="26"/>
        <v>0</v>
      </c>
    </row>
    <row r="82" spans="1:12" ht="20.25" customHeight="1" x14ac:dyDescent="0.25">
      <c r="A82" s="75"/>
      <c r="B82" s="69" t="s">
        <v>304</v>
      </c>
      <c r="C82" s="101"/>
      <c r="D82" s="101"/>
      <c r="E82" s="101"/>
      <c r="F82" s="422"/>
      <c r="G82" s="75"/>
      <c r="H82" s="93" t="s">
        <v>235</v>
      </c>
      <c r="I82" s="101"/>
      <c r="J82" s="101"/>
      <c r="K82" s="101"/>
      <c r="L82" s="422"/>
    </row>
    <row r="83" spans="1:12" ht="20.25" customHeight="1" x14ac:dyDescent="0.25">
      <c r="A83" s="75"/>
      <c r="B83" s="69" t="s">
        <v>305</v>
      </c>
      <c r="C83" s="101"/>
      <c r="D83" s="101"/>
      <c r="E83" s="101"/>
      <c r="F83" s="422"/>
      <c r="G83" s="75"/>
      <c r="H83" s="93" t="s">
        <v>1795</v>
      </c>
      <c r="I83" s="101"/>
      <c r="J83" s="101"/>
      <c r="K83" s="101"/>
      <c r="L83" s="422"/>
    </row>
    <row r="84" spans="1:12" ht="20.25" customHeight="1" x14ac:dyDescent="0.25">
      <c r="A84" s="75"/>
      <c r="B84" s="70" t="s">
        <v>306</v>
      </c>
      <c r="C84" s="101">
        <f>C82+C83</f>
        <v>0</v>
      </c>
      <c r="D84" s="101">
        <f t="shared" ref="D84:F84" si="27">D82+D83</f>
        <v>0</v>
      </c>
      <c r="E84" s="101">
        <f t="shared" si="27"/>
        <v>0</v>
      </c>
      <c r="F84" s="422">
        <f t="shared" si="27"/>
        <v>0</v>
      </c>
      <c r="G84" s="75"/>
      <c r="H84" s="94" t="s">
        <v>244</v>
      </c>
      <c r="I84" s="101">
        <f>I82+I83</f>
        <v>0</v>
      </c>
      <c r="J84" s="101">
        <f t="shared" ref="J84:L84" si="28">J82+J83</f>
        <v>0</v>
      </c>
      <c r="K84" s="101">
        <f t="shared" si="28"/>
        <v>0</v>
      </c>
      <c r="L84" s="422">
        <f t="shared" si="28"/>
        <v>0</v>
      </c>
    </row>
    <row r="85" spans="1:12" ht="20.25" customHeight="1" x14ac:dyDescent="0.25">
      <c r="A85" s="75"/>
      <c r="B85" s="70" t="s">
        <v>311</v>
      </c>
      <c r="C85" s="101"/>
      <c r="D85" s="101"/>
      <c r="E85" s="101"/>
      <c r="F85" s="422"/>
      <c r="G85" s="75"/>
      <c r="H85" s="94" t="s">
        <v>236</v>
      </c>
      <c r="I85" s="101"/>
      <c r="J85" s="101"/>
      <c r="K85" s="101"/>
      <c r="L85" s="422"/>
    </row>
    <row r="86" spans="1:12" ht="20.25" customHeight="1" x14ac:dyDescent="0.25">
      <c r="A86" s="75"/>
      <c r="B86" s="70" t="s">
        <v>308</v>
      </c>
      <c r="C86" s="101">
        <f>'3.a hivatal részletes'!C119</f>
        <v>3175000</v>
      </c>
      <c r="D86" s="101">
        <f>'3.a hivatal részletes'!D119</f>
        <v>3175000</v>
      </c>
      <c r="E86" s="101">
        <f>'3.a hivatal részletes'!E119</f>
        <v>1238364</v>
      </c>
      <c r="F86" s="422">
        <f>+E86/D86</f>
        <v>0.390035905511811</v>
      </c>
      <c r="G86" s="75"/>
      <c r="H86" s="75" t="s">
        <v>246</v>
      </c>
      <c r="I86" s="109">
        <f>I81+I84+I85</f>
        <v>0</v>
      </c>
      <c r="J86" s="109">
        <f t="shared" ref="J86:L86" si="29">J81+J84+J85</f>
        <v>0</v>
      </c>
      <c r="K86" s="109">
        <f t="shared" si="29"/>
        <v>0</v>
      </c>
      <c r="L86" s="423">
        <f t="shared" si="29"/>
        <v>0</v>
      </c>
    </row>
    <row r="87" spans="1:12" ht="20.25" customHeight="1" x14ac:dyDescent="0.25">
      <c r="A87" s="107"/>
      <c r="B87" s="80" t="s">
        <v>310</v>
      </c>
      <c r="C87" s="109">
        <f>C81+C84+C85+C86</f>
        <v>3175000</v>
      </c>
      <c r="D87" s="109">
        <f t="shared" ref="D87:E87" si="30">D81+D84+D85+D86</f>
        <v>3175000</v>
      </c>
      <c r="E87" s="109">
        <f t="shared" si="30"/>
        <v>1238364</v>
      </c>
      <c r="F87" s="423">
        <f>+E87/D87</f>
        <v>0.390035905511811</v>
      </c>
      <c r="G87" s="107"/>
      <c r="H87" s="94"/>
      <c r="I87" s="101"/>
      <c r="J87" s="101"/>
      <c r="K87" s="101"/>
      <c r="L87" s="422"/>
    </row>
    <row r="88" spans="1:12" ht="20.25" customHeight="1" x14ac:dyDescent="0.25">
      <c r="A88" s="851" t="s">
        <v>143</v>
      </c>
      <c r="B88" s="852"/>
      <c r="C88" s="238">
        <f>C2+C49+C66</f>
        <v>124204765</v>
      </c>
      <c r="D88" s="238">
        <f>D2+D49+D66</f>
        <v>126705612</v>
      </c>
      <c r="E88" s="238">
        <f>E2+E49+E66</f>
        <v>115288176</v>
      </c>
      <c r="F88" s="425">
        <f>+E88/D88</f>
        <v>0.90989005285732727</v>
      </c>
      <c r="G88" s="851" t="s">
        <v>144</v>
      </c>
      <c r="H88" s="852"/>
      <c r="I88" s="238">
        <f>I2+I49+I66</f>
        <v>124204765.33333333</v>
      </c>
      <c r="J88" s="238">
        <f>J2+J49+J66</f>
        <v>126705612</v>
      </c>
      <c r="K88" s="238">
        <f>K2+K49+K66</f>
        <v>115214248</v>
      </c>
      <c r="L88" s="425">
        <f>+K88/J88</f>
        <v>0.90930659014535209</v>
      </c>
    </row>
    <row r="89" spans="1:12" x14ac:dyDescent="0.25">
      <c r="C89" s="113">
        <f>+C88-'3.a hivatal részletes'!C121</f>
        <v>0</v>
      </c>
      <c r="D89" s="113">
        <f>+D88-'3.a hivatal részletes'!D121</f>
        <v>0</v>
      </c>
      <c r="E89" s="113">
        <f>+E88-'3.a hivatal részletes'!E121</f>
        <v>0</v>
      </c>
    </row>
    <row r="90" spans="1:12" x14ac:dyDescent="0.25">
      <c r="E90" s="812">
        <f>+(E75+E86-65744397+721200)/E88</f>
        <v>0.41243146218221027</v>
      </c>
      <c r="I90" s="113">
        <f>C88-I88</f>
        <v>-0.3333333283662796</v>
      </c>
      <c r="J90" s="113">
        <f>D88-J88</f>
        <v>0</v>
      </c>
      <c r="K90" s="113">
        <f>E88-K88</f>
        <v>73928</v>
      </c>
    </row>
    <row r="91" spans="1:12" x14ac:dyDescent="0.25">
      <c r="E91" s="812">
        <f>+(65744397+721200)/E88</f>
        <v>0.57651703154710332</v>
      </c>
    </row>
    <row r="92" spans="1:12" x14ac:dyDescent="0.25">
      <c r="E92" s="812">
        <f>+(E74+E2)/E88</f>
        <v>2.3562763279384349E-2</v>
      </c>
    </row>
  </sheetData>
  <mergeCells count="2">
    <mergeCell ref="A88:B88"/>
    <mergeCell ref="G88:H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&amp;CTaksony Nagyközség Önkormányzat 2018. évi zárszámadás&amp;R3.sz. melléklet</oddHeader>
    <oddFooter xml:space="preserve">&amp;LKészült: &amp;D
&amp;C&amp;P&amp;R/:Kreisz László://:Dr.Micheller Anita:/
/:Szelecki N.Andrea:/       </oddFooter>
  </headerFooter>
  <rowBreaks count="1" manualBreakCount="1">
    <brk id="48" max="11" man="1"/>
  </rowBreaks>
  <colBreaks count="1" manualBreakCount="1">
    <brk id="6" max="9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8"/>
  <sheetViews>
    <sheetView view="pageBreakPreview" zoomScale="60" zoomScaleNormal="90" workbookViewId="0">
      <pane ySplit="1" topLeftCell="A2" activePane="bottomLeft" state="frozen"/>
      <selection activeCell="L86" sqref="L86"/>
      <selection pane="bottomLeft" activeCell="H116" sqref="H116"/>
    </sheetView>
  </sheetViews>
  <sheetFormatPr defaultRowHeight="15" x14ac:dyDescent="0.25"/>
  <cols>
    <col min="1" max="1" width="6.7109375" style="21" customWidth="1"/>
    <col min="2" max="2" width="67.140625" style="21" customWidth="1"/>
    <col min="3" max="3" width="18.42578125" style="21" customWidth="1"/>
    <col min="4" max="4" width="17.42578125" style="21" customWidth="1"/>
    <col min="5" max="5" width="17.140625" style="21" customWidth="1"/>
    <col min="6" max="6" width="16" style="426" customWidth="1"/>
    <col min="7" max="7" width="6.7109375" style="21" customWidth="1"/>
    <col min="8" max="8" width="69.28515625" style="21" customWidth="1"/>
    <col min="9" max="9" width="16" style="21" customWidth="1"/>
    <col min="10" max="10" width="16.5703125" style="21" customWidth="1"/>
    <col min="11" max="11" width="17.140625" style="21" customWidth="1"/>
    <col min="12" max="12" width="13.42578125" style="426" customWidth="1"/>
    <col min="13" max="16384" width="9.140625" style="21"/>
  </cols>
  <sheetData>
    <row r="1" spans="1:12" ht="40.5" customHeight="1" x14ac:dyDescent="0.25">
      <c r="A1" s="76"/>
      <c r="B1" s="77" t="s">
        <v>502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503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C3+C24+C26+C61</f>
        <v>584200</v>
      </c>
      <c r="D2" s="308">
        <f t="shared" ref="D2:E2" si="0">D3+D24+D26+D61</f>
        <v>2363847</v>
      </c>
      <c r="E2" s="308">
        <f t="shared" si="0"/>
        <v>2695085</v>
      </c>
      <c r="F2" s="414">
        <f>+E2/D2</f>
        <v>1.1401266664043823</v>
      </c>
      <c r="G2" s="306"/>
      <c r="H2" s="307" t="s">
        <v>196</v>
      </c>
      <c r="I2" s="308">
        <f>I3+I19+I24+I68+I75</f>
        <v>121029765.33333333</v>
      </c>
      <c r="J2" s="308">
        <f t="shared" ref="J2:K2" si="1">J3+J19+J24+J68+J75</f>
        <v>123530612</v>
      </c>
      <c r="K2" s="308">
        <f t="shared" si="1"/>
        <v>113975884</v>
      </c>
      <c r="L2" s="414">
        <f>+K2/J2</f>
        <v>0.92265295342339926</v>
      </c>
    </row>
    <row r="3" spans="1:12" ht="20.25" customHeight="1" x14ac:dyDescent="0.25">
      <c r="A3" s="231" t="s">
        <v>23</v>
      </c>
      <c r="B3" s="232" t="s">
        <v>402</v>
      </c>
      <c r="C3" s="233">
        <f>C4+C14+C15+C16+C17+C18</f>
        <v>0</v>
      </c>
      <c r="D3" s="233">
        <f t="shared" ref="D3:E3" si="2">D4+D14+D15+D16+D17+D18</f>
        <v>1589045</v>
      </c>
      <c r="E3" s="233">
        <f t="shared" si="2"/>
        <v>1589045</v>
      </c>
      <c r="F3" s="415">
        <f>+E3/D3</f>
        <v>1</v>
      </c>
      <c r="G3" s="231" t="s">
        <v>23</v>
      </c>
      <c r="H3" s="227" t="s">
        <v>313</v>
      </c>
      <c r="I3" s="228">
        <f>I14+I18</f>
        <v>84813100.333333328</v>
      </c>
      <c r="J3" s="228">
        <f t="shared" ref="J3:K3" si="3">J14+J18</f>
        <v>86738100</v>
      </c>
      <c r="K3" s="228">
        <f t="shared" si="3"/>
        <v>80957524</v>
      </c>
      <c r="L3" s="415">
        <f>+K3/J3</f>
        <v>0.93335597620884014</v>
      </c>
    </row>
    <row r="4" spans="1:12" ht="20.25" customHeight="1" x14ac:dyDescent="0.25">
      <c r="A4" s="70"/>
      <c r="B4" s="108" t="s">
        <v>443</v>
      </c>
      <c r="C4" s="106">
        <f>SUM(C7:C10)</f>
        <v>0</v>
      </c>
      <c r="D4" s="106">
        <f t="shared" ref="D4:F4" si="4">SUM(D7:D10)</f>
        <v>0</v>
      </c>
      <c r="E4" s="106">
        <f t="shared" si="4"/>
        <v>0</v>
      </c>
      <c r="F4" s="427">
        <f t="shared" si="4"/>
        <v>0</v>
      </c>
      <c r="G4" s="80"/>
      <c r="H4" s="69" t="s">
        <v>805</v>
      </c>
      <c r="I4" s="95">
        <f>71500000+2843000+1444000+3000000</f>
        <v>78787000</v>
      </c>
      <c r="J4" s="95">
        <v>71991769</v>
      </c>
      <c r="K4" s="95">
        <v>66759508</v>
      </c>
      <c r="L4" s="416">
        <f>+K4/J4</f>
        <v>0.92732139975613048</v>
      </c>
    </row>
    <row r="5" spans="1:12" ht="20.25" customHeight="1" x14ac:dyDescent="0.25">
      <c r="A5" s="70"/>
      <c r="B5" s="108"/>
      <c r="C5" s="106"/>
      <c r="D5" s="106"/>
      <c r="E5" s="106"/>
      <c r="F5" s="427"/>
      <c r="G5" s="80"/>
      <c r="H5" s="69" t="s">
        <v>1133</v>
      </c>
      <c r="I5" s="95"/>
      <c r="J5" s="95">
        <v>786831</v>
      </c>
      <c r="K5" s="95">
        <v>786831</v>
      </c>
      <c r="L5" s="416">
        <f t="shared" ref="L5:L18" si="5">+K5/J5</f>
        <v>1</v>
      </c>
    </row>
    <row r="6" spans="1:12" ht="20.25" customHeight="1" x14ac:dyDescent="0.25">
      <c r="A6" s="70"/>
      <c r="B6" s="108"/>
      <c r="C6" s="106"/>
      <c r="D6" s="106"/>
      <c r="E6" s="106"/>
      <c r="F6" s="427"/>
      <c r="G6" s="80"/>
      <c r="H6" s="69" t="s">
        <v>1134</v>
      </c>
      <c r="I6" s="95"/>
      <c r="J6" s="95">
        <v>604000</v>
      </c>
      <c r="K6" s="95">
        <v>603516</v>
      </c>
      <c r="L6" s="416">
        <f t="shared" si="5"/>
        <v>0.99919867549668873</v>
      </c>
    </row>
    <row r="7" spans="1:12" ht="24" customHeight="1" x14ac:dyDescent="0.25">
      <c r="A7" s="80"/>
      <c r="B7" s="83" t="s">
        <v>404</v>
      </c>
      <c r="C7" s="106">
        <v>0</v>
      </c>
      <c r="D7" s="106">
        <v>0</v>
      </c>
      <c r="E7" s="106">
        <v>0</v>
      </c>
      <c r="F7" s="427">
        <v>0</v>
      </c>
      <c r="G7" s="80"/>
      <c r="H7" s="69" t="s">
        <v>314</v>
      </c>
      <c r="I7" s="95"/>
      <c r="J7" s="95">
        <v>550000</v>
      </c>
      <c r="K7" s="95">
        <v>525409</v>
      </c>
      <c r="L7" s="416">
        <f t="shared" si="5"/>
        <v>0.95528909090909087</v>
      </c>
    </row>
    <row r="8" spans="1:12" ht="24" customHeight="1" x14ac:dyDescent="0.25">
      <c r="A8" s="80"/>
      <c r="B8" s="83" t="s">
        <v>405</v>
      </c>
      <c r="C8" s="106"/>
      <c r="D8" s="106"/>
      <c r="E8" s="106"/>
      <c r="F8" s="427"/>
      <c r="G8" s="80"/>
      <c r="H8" s="69" t="s">
        <v>315</v>
      </c>
      <c r="I8" s="95"/>
      <c r="J8" s="95"/>
      <c r="K8" s="95"/>
      <c r="L8" s="416"/>
    </row>
    <row r="9" spans="1:12" ht="30" x14ac:dyDescent="0.25">
      <c r="A9" s="80"/>
      <c r="B9" s="83" t="s">
        <v>657</v>
      </c>
      <c r="C9" s="106"/>
      <c r="D9" s="106"/>
      <c r="E9" s="106"/>
      <c r="F9" s="427"/>
      <c r="G9" s="80"/>
      <c r="H9" s="69" t="s">
        <v>316</v>
      </c>
      <c r="I9" s="95"/>
      <c r="J9" s="95"/>
      <c r="K9" s="95"/>
      <c r="L9" s="416"/>
    </row>
    <row r="10" spans="1:12" ht="22.5" customHeight="1" x14ac:dyDescent="0.25">
      <c r="A10" s="80"/>
      <c r="B10" s="83" t="s">
        <v>406</v>
      </c>
      <c r="C10" s="106"/>
      <c r="D10" s="106"/>
      <c r="E10" s="106"/>
      <c r="F10" s="427"/>
      <c r="G10" s="80"/>
      <c r="H10" s="69" t="s">
        <v>683</v>
      </c>
      <c r="I10" s="95">
        <f>149000*21+149000/12*8+I41*127%*20%-13</f>
        <v>3563600.3333333335</v>
      </c>
      <c r="J10" s="95">
        <v>6995000</v>
      </c>
      <c r="K10" s="95">
        <v>6944549</v>
      </c>
      <c r="L10" s="416">
        <f t="shared" si="5"/>
        <v>0.99278756254467482</v>
      </c>
    </row>
    <row r="11" spans="1:12" ht="24.75" customHeight="1" x14ac:dyDescent="0.25">
      <c r="A11" s="80"/>
      <c r="B11" s="83" t="s">
        <v>658</v>
      </c>
      <c r="C11" s="81" t="s">
        <v>253</v>
      </c>
      <c r="D11" s="81" t="s">
        <v>253</v>
      </c>
      <c r="E11" s="81"/>
      <c r="F11" s="427"/>
      <c r="G11" s="80"/>
      <c r="H11" s="69" t="s">
        <v>317</v>
      </c>
      <c r="I11" s="95">
        <v>445000</v>
      </c>
      <c r="J11" s="95">
        <v>596000</v>
      </c>
      <c r="K11" s="95">
        <v>589792</v>
      </c>
      <c r="L11" s="416">
        <f t="shared" si="5"/>
        <v>0.98958389261744961</v>
      </c>
    </row>
    <row r="12" spans="1:12" ht="18" customHeight="1" x14ac:dyDescent="0.25">
      <c r="A12" s="80"/>
      <c r="B12" s="83" t="s">
        <v>659</v>
      </c>
      <c r="C12" s="81" t="s">
        <v>253</v>
      </c>
      <c r="D12" s="81" t="s">
        <v>253</v>
      </c>
      <c r="E12" s="81"/>
      <c r="F12" s="427"/>
      <c r="G12" s="84"/>
      <c r="H12" s="69" t="s">
        <v>642</v>
      </c>
      <c r="I12" s="244">
        <f>92500</f>
        <v>92500</v>
      </c>
      <c r="J12" s="244">
        <f t="shared" ref="J12" si="6">92500</f>
        <v>92500</v>
      </c>
      <c r="K12" s="244">
        <v>92500</v>
      </c>
      <c r="L12" s="416">
        <f t="shared" si="5"/>
        <v>1</v>
      </c>
    </row>
    <row r="13" spans="1:12" ht="20.25" customHeight="1" x14ac:dyDescent="0.25">
      <c r="A13" s="80"/>
      <c r="B13" s="87"/>
      <c r="C13" s="81"/>
      <c r="D13" s="81"/>
      <c r="E13" s="81"/>
      <c r="F13" s="427"/>
      <c r="G13" s="84"/>
      <c r="H13" s="69" t="s">
        <v>698</v>
      </c>
      <c r="I13" s="104">
        <v>165000</v>
      </c>
      <c r="J13" s="104">
        <v>1082000</v>
      </c>
      <c r="K13" s="104">
        <v>1078739</v>
      </c>
      <c r="L13" s="416">
        <f t="shared" si="5"/>
        <v>0.99698613678373382</v>
      </c>
    </row>
    <row r="14" spans="1:12" ht="20.25" customHeight="1" x14ac:dyDescent="0.25">
      <c r="A14" s="80"/>
      <c r="B14" s="83" t="s">
        <v>409</v>
      </c>
      <c r="C14" s="81"/>
      <c r="D14" s="81"/>
      <c r="E14" s="81"/>
      <c r="F14" s="427"/>
      <c r="G14" s="84"/>
      <c r="H14" s="70" t="s">
        <v>320</v>
      </c>
      <c r="I14" s="104">
        <f>I4+I7+I8+I9+I10+I11+I12+I13</f>
        <v>83053100.333333328</v>
      </c>
      <c r="J14" s="104">
        <f>SUM(J4:J13)</f>
        <v>82698100</v>
      </c>
      <c r="K14" s="104">
        <f>K4+K7+K8+K9+K10+K11+K12+K13+K5+K6</f>
        <v>77380844</v>
      </c>
      <c r="L14" s="416">
        <f t="shared" si="5"/>
        <v>0.93570280332921796</v>
      </c>
    </row>
    <row r="15" spans="1:12" ht="30" x14ac:dyDescent="0.25">
      <c r="A15" s="70"/>
      <c r="B15" s="83" t="s">
        <v>410</v>
      </c>
      <c r="C15" s="106"/>
      <c r="D15" s="106"/>
      <c r="E15" s="106"/>
      <c r="F15" s="427"/>
      <c r="G15" s="84"/>
      <c r="H15" s="69" t="s">
        <v>321</v>
      </c>
      <c r="I15" s="97"/>
      <c r="J15" s="97"/>
      <c r="K15" s="97"/>
      <c r="L15" s="416"/>
    </row>
    <row r="16" spans="1:12" ht="29.25" customHeight="1" x14ac:dyDescent="0.25">
      <c r="A16" s="70"/>
      <c r="B16" s="83" t="s">
        <v>411</v>
      </c>
      <c r="C16" s="106"/>
      <c r="D16" s="106"/>
      <c r="E16" s="106"/>
      <c r="F16" s="427"/>
      <c r="G16" s="84"/>
      <c r="H16" s="69" t="s">
        <v>1123</v>
      </c>
      <c r="I16" s="104">
        <f>(25000+50000+20000)*12+25000*12+270000</f>
        <v>1710000</v>
      </c>
      <c r="J16" s="104">
        <v>3010000</v>
      </c>
      <c r="K16" s="104">
        <v>2773143</v>
      </c>
      <c r="L16" s="416">
        <f t="shared" si="5"/>
        <v>0.92130996677740862</v>
      </c>
    </row>
    <row r="17" spans="1:12" ht="29.25" customHeight="1" x14ac:dyDescent="0.25">
      <c r="A17" s="70"/>
      <c r="B17" s="83" t="s">
        <v>412</v>
      </c>
      <c r="C17" s="106"/>
      <c r="D17" s="106"/>
      <c r="E17" s="106"/>
      <c r="F17" s="427"/>
      <c r="G17" s="84"/>
      <c r="H17" s="69" t="s">
        <v>686</v>
      </c>
      <c r="I17" s="204">
        <v>50000</v>
      </c>
      <c r="J17" s="204">
        <v>1030000</v>
      </c>
      <c r="K17" s="204">
        <v>803537</v>
      </c>
      <c r="L17" s="416">
        <f t="shared" si="5"/>
        <v>0.78013300970873789</v>
      </c>
    </row>
    <row r="18" spans="1:12" ht="37.5" customHeight="1" x14ac:dyDescent="0.25">
      <c r="A18" s="70"/>
      <c r="B18" s="83" t="s">
        <v>413</v>
      </c>
      <c r="C18" s="106"/>
      <c r="D18" s="106">
        <v>1589045</v>
      </c>
      <c r="E18" s="106">
        <v>1589045</v>
      </c>
      <c r="F18" s="427"/>
      <c r="G18" s="84"/>
      <c r="H18" s="70" t="s">
        <v>324</v>
      </c>
      <c r="I18" s="104">
        <f>I15+I16+I17</f>
        <v>1760000</v>
      </c>
      <c r="J18" s="104">
        <f t="shared" ref="J18:K18" si="7">J15+J16+J17</f>
        <v>4040000</v>
      </c>
      <c r="K18" s="104">
        <f t="shared" si="7"/>
        <v>3576680</v>
      </c>
      <c r="L18" s="416">
        <f t="shared" si="5"/>
        <v>0.88531683168316833</v>
      </c>
    </row>
    <row r="19" spans="1:12" ht="18.75" customHeight="1" x14ac:dyDescent="0.25">
      <c r="A19" s="70"/>
      <c r="B19" s="87"/>
      <c r="C19" s="106"/>
      <c r="D19" s="106"/>
      <c r="E19" s="106"/>
      <c r="F19" s="427"/>
      <c r="G19" s="231" t="s">
        <v>45</v>
      </c>
      <c r="H19" s="227" t="s">
        <v>325</v>
      </c>
      <c r="I19" s="228">
        <f>SUM(I20:I23)</f>
        <v>16956685</v>
      </c>
      <c r="J19" s="228">
        <f>SUM(J20:J23)</f>
        <v>17341930</v>
      </c>
      <c r="K19" s="228">
        <f t="shared" ref="K19" si="8">SUM(K20:K23)</f>
        <v>17341092</v>
      </c>
      <c r="L19" s="415">
        <f>+K19/J19</f>
        <v>0.99995167781210048</v>
      </c>
    </row>
    <row r="20" spans="1:12" ht="18.75" customHeight="1" x14ac:dyDescent="0.25">
      <c r="A20" s="70"/>
      <c r="B20" s="87"/>
      <c r="C20" s="106"/>
      <c r="D20" s="106"/>
      <c r="E20" s="106"/>
      <c r="F20" s="427"/>
      <c r="G20" s="80"/>
      <c r="H20" s="93" t="s">
        <v>807</v>
      </c>
      <c r="I20" s="104">
        <v>15729090</v>
      </c>
      <c r="J20" s="104">
        <v>14274335</v>
      </c>
      <c r="K20" s="104">
        <v>14273678</v>
      </c>
      <c r="L20" s="418">
        <f>+K20/J20</f>
        <v>0.99995397333746194</v>
      </c>
    </row>
    <row r="21" spans="1:12" ht="18.75" customHeight="1" x14ac:dyDescent="0.25">
      <c r="A21" s="70"/>
      <c r="B21" s="87"/>
      <c r="C21" s="106"/>
      <c r="D21" s="106"/>
      <c r="E21" s="106"/>
      <c r="F21" s="427"/>
      <c r="G21" s="80"/>
      <c r="H21" s="93" t="s">
        <v>806</v>
      </c>
      <c r="I21" s="104">
        <v>605565</v>
      </c>
      <c r="J21" s="104">
        <v>1479765</v>
      </c>
      <c r="K21" s="104">
        <v>1479687</v>
      </c>
      <c r="L21" s="418">
        <f t="shared" ref="L21:L67" si="9">+K21/J21</f>
        <v>0.99994728892763374</v>
      </c>
    </row>
    <row r="22" spans="1:12" ht="18.75" customHeight="1" x14ac:dyDescent="0.25">
      <c r="A22" s="70"/>
      <c r="B22" s="87"/>
      <c r="C22" s="106"/>
      <c r="D22" s="106"/>
      <c r="E22" s="106"/>
      <c r="F22" s="427"/>
      <c r="G22" s="80"/>
      <c r="H22" s="93" t="s">
        <v>1157</v>
      </c>
      <c r="I22" s="104">
        <v>0</v>
      </c>
      <c r="J22" s="104">
        <v>309300</v>
      </c>
      <c r="K22" s="104">
        <v>309274</v>
      </c>
      <c r="L22" s="418">
        <f t="shared" si="9"/>
        <v>0.99991593921758815</v>
      </c>
    </row>
    <row r="23" spans="1:12" ht="18.75" customHeight="1" x14ac:dyDescent="0.25">
      <c r="A23" s="70"/>
      <c r="B23" s="87"/>
      <c r="C23" s="106"/>
      <c r="D23" s="106"/>
      <c r="E23" s="106"/>
      <c r="F23" s="427"/>
      <c r="G23" s="80"/>
      <c r="H23" s="93" t="s">
        <v>687</v>
      </c>
      <c r="I23" s="104">
        <v>622030</v>
      </c>
      <c r="J23" s="104">
        <v>1278530</v>
      </c>
      <c r="K23" s="104">
        <v>1278453</v>
      </c>
      <c r="L23" s="418">
        <f t="shared" si="9"/>
        <v>0.99993977458487482</v>
      </c>
    </row>
    <row r="24" spans="1:12" ht="20.25" customHeight="1" x14ac:dyDescent="0.25">
      <c r="A24" s="231" t="s">
        <v>45</v>
      </c>
      <c r="B24" s="227" t="s">
        <v>445</v>
      </c>
      <c r="C24" s="228">
        <f>0</f>
        <v>0</v>
      </c>
      <c r="D24" s="228">
        <f>0</f>
        <v>0</v>
      </c>
      <c r="E24" s="228">
        <f>0</f>
        <v>0</v>
      </c>
      <c r="F24" s="415">
        <f>0</f>
        <v>0</v>
      </c>
      <c r="G24" s="231" t="s">
        <v>56</v>
      </c>
      <c r="H24" s="227" t="s">
        <v>326</v>
      </c>
      <c r="I24" s="228">
        <f>I37+I42+I58+I61+I67</f>
        <v>19259980</v>
      </c>
      <c r="J24" s="228">
        <f t="shared" ref="J24:K24" si="10">J37+J42+J58+J61+J67</f>
        <v>19450582</v>
      </c>
      <c r="K24" s="228">
        <f t="shared" si="10"/>
        <v>15677268</v>
      </c>
      <c r="L24" s="415">
        <f>+K24/J24</f>
        <v>0.80600508509205537</v>
      </c>
    </row>
    <row r="25" spans="1:12" ht="20.25" customHeight="1" x14ac:dyDescent="0.25">
      <c r="A25" s="85"/>
      <c r="B25" s="87"/>
      <c r="C25" s="95"/>
      <c r="D25" s="95"/>
      <c r="E25" s="95"/>
      <c r="F25" s="416"/>
      <c r="G25" s="71"/>
      <c r="H25" s="71" t="s">
        <v>327</v>
      </c>
      <c r="I25" s="104">
        <f>SUM(I26:I28)</f>
        <v>246200</v>
      </c>
      <c r="J25" s="104">
        <f t="shared" ref="J25:K25" si="11">SUM(J26:J28)</f>
        <v>246200</v>
      </c>
      <c r="K25" s="104">
        <f t="shared" si="11"/>
        <v>190069</v>
      </c>
      <c r="L25" s="418">
        <f t="shared" si="9"/>
        <v>0.77201056051990247</v>
      </c>
    </row>
    <row r="26" spans="1:12" ht="20.25" customHeight="1" x14ac:dyDescent="0.25">
      <c r="A26" s="231" t="s">
        <v>56</v>
      </c>
      <c r="B26" s="227" t="s">
        <v>444</v>
      </c>
      <c r="C26" s="228">
        <f>C27+C28+C34+C35+C36+C44+C45+C46+C47+C48</f>
        <v>584200</v>
      </c>
      <c r="D26" s="228">
        <f t="shared" ref="D26:E26" si="12">D27+D28+D34+D35+D36+D44+D45+D46+D47+D48</f>
        <v>774802</v>
      </c>
      <c r="E26" s="228">
        <f t="shared" si="12"/>
        <v>1106040</v>
      </c>
      <c r="F26" s="415">
        <f>+E26/D26</f>
        <v>1.4275130936678015</v>
      </c>
      <c r="G26" s="71"/>
      <c r="H26" s="71" t="s">
        <v>328</v>
      </c>
      <c r="I26" s="104">
        <v>10000</v>
      </c>
      <c r="J26" s="104">
        <v>10000</v>
      </c>
      <c r="K26" s="104"/>
      <c r="L26" s="418">
        <f t="shared" si="9"/>
        <v>0</v>
      </c>
    </row>
    <row r="27" spans="1:12" ht="20.25" customHeight="1" x14ac:dyDescent="0.25">
      <c r="A27" s="85"/>
      <c r="B27" s="88" t="s">
        <v>446</v>
      </c>
      <c r="C27" s="101"/>
      <c r="D27" s="101"/>
      <c r="E27" s="101"/>
      <c r="F27" s="422"/>
      <c r="G27" s="71"/>
      <c r="H27" s="71" t="s">
        <v>808</v>
      </c>
      <c r="I27" s="104">
        <f>53000*2+35000+16300*4+30000</f>
        <v>236200</v>
      </c>
      <c r="J27" s="104">
        <f t="shared" ref="J27" si="13">53000*2+35000+16300*4+30000</f>
        <v>236200</v>
      </c>
      <c r="K27" s="104">
        <v>190069</v>
      </c>
      <c r="L27" s="418">
        <f t="shared" si="9"/>
        <v>0.80469517358171039</v>
      </c>
    </row>
    <row r="28" spans="1:12" ht="20.25" customHeight="1" x14ac:dyDescent="0.25">
      <c r="A28" s="85"/>
      <c r="B28" s="88" t="s">
        <v>447</v>
      </c>
      <c r="C28" s="101">
        <f>SUM(C29:C33)</f>
        <v>460000</v>
      </c>
      <c r="D28" s="101">
        <f t="shared" ref="D28:E28" si="14">SUM(D29:D33)</f>
        <v>460000</v>
      </c>
      <c r="E28" s="101">
        <f t="shared" si="14"/>
        <v>562417</v>
      </c>
      <c r="F28" s="422">
        <f>+E28/D28</f>
        <v>1.2226456521739131</v>
      </c>
      <c r="G28" s="71"/>
      <c r="H28" s="71" t="s">
        <v>330</v>
      </c>
      <c r="I28" s="104"/>
      <c r="J28" s="104"/>
      <c r="K28" s="104"/>
      <c r="L28" s="418"/>
    </row>
    <row r="29" spans="1:12" ht="20.25" customHeight="1" x14ac:dyDescent="0.25">
      <c r="A29" s="85"/>
      <c r="B29" s="88" t="s">
        <v>622</v>
      </c>
      <c r="C29" s="101"/>
      <c r="D29" s="101"/>
      <c r="E29" s="101"/>
      <c r="F29" s="422"/>
      <c r="G29" s="71"/>
      <c r="H29" s="71" t="s">
        <v>337</v>
      </c>
      <c r="I29" s="104">
        <f>SUM(I30:I35)</f>
        <v>1580000</v>
      </c>
      <c r="J29" s="104">
        <f t="shared" ref="J29:K29" si="15">SUM(J30:J35)</f>
        <v>1580000</v>
      </c>
      <c r="K29" s="104">
        <f t="shared" si="15"/>
        <v>1311844</v>
      </c>
      <c r="L29" s="418">
        <f t="shared" si="9"/>
        <v>0.83028101265822785</v>
      </c>
    </row>
    <row r="30" spans="1:12" ht="20.25" customHeight="1" x14ac:dyDescent="0.25">
      <c r="A30" s="85"/>
      <c r="B30" s="88" t="s">
        <v>606</v>
      </c>
      <c r="C30" s="101">
        <v>10000</v>
      </c>
      <c r="D30" s="101">
        <v>10000</v>
      </c>
      <c r="E30" s="101">
        <v>7417</v>
      </c>
      <c r="F30" s="422">
        <f t="shared" ref="F30:F44" si="16">+E30/D30</f>
        <v>0.74170000000000003</v>
      </c>
      <c r="G30" s="71"/>
      <c r="H30" s="71" t="s">
        <v>331</v>
      </c>
      <c r="I30" s="97"/>
      <c r="J30" s="97"/>
      <c r="K30" s="97"/>
      <c r="L30" s="418"/>
    </row>
    <row r="31" spans="1:12" ht="20.25" customHeight="1" x14ac:dyDescent="0.25">
      <c r="A31" s="85"/>
      <c r="B31" s="87" t="s">
        <v>465</v>
      </c>
      <c r="C31" s="101"/>
      <c r="D31" s="101"/>
      <c r="E31" s="101"/>
      <c r="F31" s="422"/>
      <c r="G31" s="71"/>
      <c r="H31" s="71" t="s">
        <v>332</v>
      </c>
      <c r="I31" s="104">
        <v>1000000</v>
      </c>
      <c r="J31" s="104">
        <v>1000000</v>
      </c>
      <c r="K31" s="104">
        <v>891543</v>
      </c>
      <c r="L31" s="418">
        <f t="shared" si="9"/>
        <v>0.89154299999999997</v>
      </c>
    </row>
    <row r="32" spans="1:12" ht="20.25" customHeight="1" x14ac:dyDescent="0.25">
      <c r="A32" s="85"/>
      <c r="B32" s="88" t="s">
        <v>612</v>
      </c>
      <c r="C32" s="101"/>
      <c r="D32" s="101"/>
      <c r="E32" s="101"/>
      <c r="F32" s="422"/>
      <c r="G32" s="71"/>
      <c r="H32" s="71" t="s">
        <v>333</v>
      </c>
      <c r="I32" s="104">
        <v>80000</v>
      </c>
      <c r="J32" s="104">
        <v>80000</v>
      </c>
      <c r="K32" s="104">
        <v>55800</v>
      </c>
      <c r="L32" s="418">
        <f t="shared" si="9"/>
        <v>0.69750000000000001</v>
      </c>
    </row>
    <row r="33" spans="1:12" ht="20.25" customHeight="1" x14ac:dyDescent="0.25">
      <c r="A33" s="85"/>
      <c r="B33" s="88" t="s">
        <v>613</v>
      </c>
      <c r="C33" s="101">
        <v>450000</v>
      </c>
      <c r="D33" s="101">
        <v>450000</v>
      </c>
      <c r="E33" s="101">
        <v>555000</v>
      </c>
      <c r="F33" s="422">
        <f t="shared" si="16"/>
        <v>1.2333333333333334</v>
      </c>
      <c r="G33" s="71"/>
      <c r="H33" s="71" t="s">
        <v>334</v>
      </c>
      <c r="I33" s="97"/>
      <c r="J33" s="97"/>
      <c r="K33" s="97"/>
      <c r="L33" s="418"/>
    </row>
    <row r="34" spans="1:12" ht="20.25" customHeight="1" x14ac:dyDescent="0.25">
      <c r="A34" s="85"/>
      <c r="B34" s="88" t="s">
        <v>448</v>
      </c>
      <c r="C34" s="101"/>
      <c r="D34" s="101">
        <v>190602</v>
      </c>
      <c r="E34" s="101">
        <v>209762</v>
      </c>
      <c r="F34" s="422">
        <f t="shared" si="16"/>
        <v>1.1005236041594526</v>
      </c>
      <c r="G34" s="71"/>
      <c r="H34" s="71" t="s">
        <v>809</v>
      </c>
      <c r="I34" s="104">
        <v>300000</v>
      </c>
      <c r="J34" s="104">
        <v>300000</v>
      </c>
      <c r="K34" s="104">
        <v>195790</v>
      </c>
      <c r="L34" s="418">
        <f t="shared" si="9"/>
        <v>0.65263333333333329</v>
      </c>
    </row>
    <row r="35" spans="1:12" ht="20.25" customHeight="1" x14ac:dyDescent="0.25">
      <c r="A35" s="85"/>
      <c r="B35" s="88" t="s">
        <v>449</v>
      </c>
      <c r="C35" s="101"/>
      <c r="D35" s="101"/>
      <c r="E35" s="101"/>
      <c r="F35" s="422"/>
      <c r="G35" s="71"/>
      <c r="H35" s="71" t="s">
        <v>336</v>
      </c>
      <c r="I35" s="104">
        <f>80000+12*10000</f>
        <v>200000</v>
      </c>
      <c r="J35" s="104">
        <f t="shared" ref="J35" si="17">80000+12*10000</f>
        <v>200000</v>
      </c>
      <c r="K35" s="104">
        <v>168711</v>
      </c>
      <c r="L35" s="418">
        <f t="shared" si="9"/>
        <v>0.84355500000000005</v>
      </c>
    </row>
    <row r="36" spans="1:12" ht="20.25" customHeight="1" x14ac:dyDescent="0.25">
      <c r="A36" s="85"/>
      <c r="B36" s="88" t="s">
        <v>450</v>
      </c>
      <c r="C36" s="101">
        <f>SUM(C37:C43)</f>
        <v>0</v>
      </c>
      <c r="D36" s="101">
        <f t="shared" ref="D36:E36" si="18">SUM(D37:D43)</f>
        <v>0</v>
      </c>
      <c r="E36" s="101">
        <f t="shared" si="18"/>
        <v>0</v>
      </c>
      <c r="F36" s="422"/>
      <c r="G36" s="71"/>
      <c r="H36" s="71" t="s">
        <v>338</v>
      </c>
      <c r="I36" s="97"/>
      <c r="J36" s="97"/>
      <c r="K36" s="97"/>
      <c r="L36" s="418"/>
    </row>
    <row r="37" spans="1:12" ht="20.25" customHeight="1" x14ac:dyDescent="0.25">
      <c r="A37" s="85"/>
      <c r="B37" s="87" t="s">
        <v>494</v>
      </c>
      <c r="C37" s="101"/>
      <c r="D37" s="101"/>
      <c r="E37" s="101"/>
      <c r="F37" s="422"/>
      <c r="G37" s="71"/>
      <c r="H37" s="72" t="s">
        <v>339</v>
      </c>
      <c r="I37" s="104">
        <f>I25+I29+I36</f>
        <v>1826200</v>
      </c>
      <c r="J37" s="104">
        <f t="shared" ref="J37:K37" si="19">J25+J29+J36</f>
        <v>1826200</v>
      </c>
      <c r="K37" s="104">
        <f t="shared" si="19"/>
        <v>1501913</v>
      </c>
      <c r="L37" s="418">
        <f t="shared" si="9"/>
        <v>0.82242525462709448</v>
      </c>
    </row>
    <row r="38" spans="1:12" ht="29.25" customHeight="1" x14ac:dyDescent="0.25">
      <c r="A38" s="85"/>
      <c r="B38" s="87" t="s">
        <v>495</v>
      </c>
      <c r="C38" s="101"/>
      <c r="D38" s="101"/>
      <c r="E38" s="101"/>
      <c r="F38" s="422"/>
      <c r="G38" s="71"/>
      <c r="H38" s="112" t="s">
        <v>615</v>
      </c>
      <c r="I38" s="104">
        <f>SUM(I39:I40)</f>
        <v>4189000</v>
      </c>
      <c r="J38" s="104">
        <f t="shared" ref="J38:K38" si="20">SUM(J39:J40)</f>
        <v>4389000</v>
      </c>
      <c r="K38" s="104">
        <f t="shared" si="20"/>
        <v>4344066</v>
      </c>
      <c r="L38" s="418">
        <f t="shared" si="9"/>
        <v>0.98976213260423784</v>
      </c>
    </row>
    <row r="39" spans="1:12" ht="20.25" customHeight="1" x14ac:dyDescent="0.25">
      <c r="A39" s="85"/>
      <c r="B39" s="87"/>
      <c r="C39" s="101"/>
      <c r="D39" s="101"/>
      <c r="E39" s="101"/>
      <c r="F39" s="422"/>
      <c r="G39" s="71"/>
      <c r="H39" s="71" t="s">
        <v>628</v>
      </c>
      <c r="I39" s="204">
        <f>12*40000</f>
        <v>480000</v>
      </c>
      <c r="J39" s="204">
        <f t="shared" ref="J39" si="21">12*40000</f>
        <v>480000</v>
      </c>
      <c r="K39" s="204">
        <v>443000</v>
      </c>
      <c r="L39" s="418">
        <f t="shared" si="9"/>
        <v>0.92291666666666672</v>
      </c>
    </row>
    <row r="40" spans="1:12" ht="20.25" customHeight="1" x14ac:dyDescent="0.25">
      <c r="A40" s="85"/>
      <c r="B40" s="87"/>
      <c r="C40" s="101"/>
      <c r="D40" s="101"/>
      <c r="E40" s="101"/>
      <c r="F40" s="422"/>
      <c r="G40" s="71"/>
      <c r="H40" s="71" t="s">
        <v>675</v>
      </c>
      <c r="I40" s="204">
        <f>205000*12+66000*4+90000*4+65000+130000+230000+200000</f>
        <v>3709000</v>
      </c>
      <c r="J40" s="204">
        <v>3909000</v>
      </c>
      <c r="K40" s="204">
        <v>3901066</v>
      </c>
      <c r="L40" s="418">
        <f t="shared" si="9"/>
        <v>0.99797032489127657</v>
      </c>
    </row>
    <row r="41" spans="1:12" ht="20.25" customHeight="1" x14ac:dyDescent="0.25">
      <c r="A41" s="85"/>
      <c r="B41" s="87" t="s">
        <v>493</v>
      </c>
      <c r="C41" s="101"/>
      <c r="D41" s="101"/>
      <c r="E41" s="101"/>
      <c r="F41" s="422"/>
      <c r="G41" s="71"/>
      <c r="H41" s="71" t="s">
        <v>489</v>
      </c>
      <c r="I41" s="104">
        <f>40000*12+70000*12</f>
        <v>1320000</v>
      </c>
      <c r="J41" s="104">
        <v>1360000</v>
      </c>
      <c r="K41" s="104">
        <v>1312869</v>
      </c>
      <c r="L41" s="418">
        <f t="shared" si="9"/>
        <v>0.96534485294117645</v>
      </c>
    </row>
    <row r="42" spans="1:12" ht="20.25" customHeight="1" x14ac:dyDescent="0.25">
      <c r="A42" s="85"/>
      <c r="B42" s="87" t="s">
        <v>451</v>
      </c>
      <c r="C42" s="101"/>
      <c r="D42" s="101"/>
      <c r="E42" s="101"/>
      <c r="F42" s="422"/>
      <c r="G42" s="71"/>
      <c r="H42" s="72" t="s">
        <v>340</v>
      </c>
      <c r="I42" s="104">
        <f>I38+I41</f>
        <v>5509000</v>
      </c>
      <c r="J42" s="104">
        <f t="shared" ref="J42:K42" si="22">J38+J41</f>
        <v>5749000</v>
      </c>
      <c r="K42" s="104">
        <f t="shared" si="22"/>
        <v>5656935</v>
      </c>
      <c r="L42" s="418">
        <f t="shared" si="9"/>
        <v>0.98398591059314666</v>
      </c>
    </row>
    <row r="43" spans="1:12" ht="20.25" customHeight="1" x14ac:dyDescent="0.25">
      <c r="A43" s="85"/>
      <c r="B43" s="87" t="s">
        <v>496</v>
      </c>
      <c r="C43" s="101"/>
      <c r="D43" s="101"/>
      <c r="E43" s="101"/>
      <c r="F43" s="422"/>
      <c r="G43" s="71"/>
      <c r="H43" s="71" t="s">
        <v>344</v>
      </c>
      <c r="I43" s="104">
        <f>SUM(I44:I46)</f>
        <v>2150000</v>
      </c>
      <c r="J43" s="104">
        <f t="shared" ref="J43:K43" si="23">SUM(J44:J46)</f>
        <v>2150000</v>
      </c>
      <c r="K43" s="104">
        <f t="shared" si="23"/>
        <v>1727673</v>
      </c>
      <c r="L43" s="418">
        <f t="shared" si="9"/>
        <v>0.80356883720930228</v>
      </c>
    </row>
    <row r="44" spans="1:12" ht="20.25" customHeight="1" x14ac:dyDescent="0.25">
      <c r="A44" s="85"/>
      <c r="B44" s="88" t="s">
        <v>452</v>
      </c>
      <c r="C44" s="101">
        <f>C28*0.27</f>
        <v>124200.00000000001</v>
      </c>
      <c r="D44" s="101">
        <f t="shared" ref="D44" si="24">D28*0.27</f>
        <v>124200.00000000001</v>
      </c>
      <c r="E44" s="101">
        <v>203316</v>
      </c>
      <c r="F44" s="422">
        <f t="shared" si="16"/>
        <v>1.6370048309178742</v>
      </c>
      <c r="G44" s="71"/>
      <c r="H44" s="246" t="s">
        <v>345</v>
      </c>
      <c r="I44" s="204">
        <v>600000</v>
      </c>
      <c r="J44" s="204">
        <v>600000</v>
      </c>
      <c r="K44" s="204">
        <v>542832</v>
      </c>
      <c r="L44" s="418">
        <f t="shared" si="9"/>
        <v>0.90471999999999997</v>
      </c>
    </row>
    <row r="45" spans="1:12" ht="20.25" customHeight="1" x14ac:dyDescent="0.25">
      <c r="A45" s="87"/>
      <c r="B45" s="88" t="s">
        <v>453</v>
      </c>
      <c r="C45" s="87"/>
      <c r="D45" s="87"/>
      <c r="E45" s="87"/>
      <c r="F45" s="422"/>
      <c r="G45" s="71"/>
      <c r="H45" s="246" t="s">
        <v>347</v>
      </c>
      <c r="I45" s="204">
        <f>208463+709583+381954</f>
        <v>1300000</v>
      </c>
      <c r="J45" s="204">
        <f t="shared" ref="J45" si="25">208463+709583+381954</f>
        <v>1300000</v>
      </c>
      <c r="K45" s="204">
        <v>990899</v>
      </c>
      <c r="L45" s="418">
        <f t="shared" si="9"/>
        <v>0.76222999999999996</v>
      </c>
    </row>
    <row r="46" spans="1:12" ht="20.25" customHeight="1" x14ac:dyDescent="0.25">
      <c r="A46" s="87"/>
      <c r="B46" s="88" t="s">
        <v>660</v>
      </c>
      <c r="C46" s="87"/>
      <c r="D46" s="87"/>
      <c r="E46" s="87">
        <v>1</v>
      </c>
      <c r="F46" s="422"/>
      <c r="G46" s="71"/>
      <c r="H46" s="71" t="s">
        <v>346</v>
      </c>
      <c r="I46" s="204">
        <v>250000</v>
      </c>
      <c r="J46" s="204">
        <v>250000</v>
      </c>
      <c r="K46" s="204">
        <v>193942</v>
      </c>
      <c r="L46" s="418">
        <f t="shared" si="9"/>
        <v>0.77576800000000001</v>
      </c>
    </row>
    <row r="47" spans="1:12" ht="20.25" customHeight="1" x14ac:dyDescent="0.25">
      <c r="A47" s="87"/>
      <c r="B47" s="88" t="s">
        <v>455</v>
      </c>
      <c r="C47" s="87"/>
      <c r="D47" s="87"/>
      <c r="E47" s="87"/>
      <c r="F47" s="422"/>
      <c r="G47" s="71"/>
      <c r="H47" s="71" t="s">
        <v>348</v>
      </c>
      <c r="I47" s="104"/>
      <c r="J47" s="104"/>
      <c r="K47" s="104"/>
      <c r="L47" s="418"/>
    </row>
    <row r="48" spans="1:12" ht="20.25" customHeight="1" x14ac:dyDescent="0.25">
      <c r="A48" s="87"/>
      <c r="B48" s="88" t="s">
        <v>456</v>
      </c>
      <c r="C48" s="87">
        <f>SUM(C49:C51)</f>
        <v>0</v>
      </c>
      <c r="D48" s="87">
        <f t="shared" ref="D48:E48" si="26">SUM(D49:D51)</f>
        <v>0</v>
      </c>
      <c r="E48" s="101">
        <f t="shared" si="26"/>
        <v>130544</v>
      </c>
      <c r="F48" s="422"/>
      <c r="G48" s="71"/>
      <c r="H48" s="242" t="s">
        <v>810</v>
      </c>
      <c r="I48" s="104">
        <f>50000*12+9000*4</f>
        <v>636000</v>
      </c>
      <c r="J48" s="104">
        <f t="shared" ref="J48" si="27">50000*12+9000*4</f>
        <v>636000</v>
      </c>
      <c r="K48" s="104">
        <v>525516</v>
      </c>
      <c r="L48" s="418">
        <f t="shared" si="9"/>
        <v>0.82628301886792455</v>
      </c>
    </row>
    <row r="49" spans="1:12" ht="20.25" customHeight="1" x14ac:dyDescent="0.25">
      <c r="A49" s="87"/>
      <c r="B49" s="87" t="s">
        <v>1158</v>
      </c>
      <c r="C49" s="87"/>
      <c r="D49" s="87"/>
      <c r="E49" s="101">
        <v>44929</v>
      </c>
      <c r="F49" s="422"/>
      <c r="G49" s="71"/>
      <c r="H49" s="71" t="s">
        <v>811</v>
      </c>
      <c r="I49" s="104">
        <f>60000*12</f>
        <v>720000</v>
      </c>
      <c r="J49" s="104">
        <f t="shared" ref="J49" si="28">60000*12</f>
        <v>720000</v>
      </c>
      <c r="K49" s="104">
        <v>655199</v>
      </c>
      <c r="L49" s="418">
        <f t="shared" si="9"/>
        <v>0.90999861111111113</v>
      </c>
    </row>
    <row r="50" spans="1:12" ht="20.25" customHeight="1" x14ac:dyDescent="0.25">
      <c r="A50" s="87"/>
      <c r="B50" s="87" t="s">
        <v>1156</v>
      </c>
      <c r="C50" s="87"/>
      <c r="D50" s="87"/>
      <c r="E50" s="101">
        <v>4648</v>
      </c>
      <c r="F50" s="422"/>
      <c r="G50" s="71"/>
      <c r="H50" s="71" t="s">
        <v>351</v>
      </c>
      <c r="I50" s="104"/>
      <c r="J50" s="104">
        <v>221000</v>
      </c>
      <c r="K50" s="104">
        <v>207777</v>
      </c>
      <c r="L50" s="418">
        <f t="shared" si="9"/>
        <v>0.94016742081447968</v>
      </c>
    </row>
    <row r="51" spans="1:12" ht="20.25" customHeight="1" x14ac:dyDescent="0.25">
      <c r="A51" s="85"/>
      <c r="B51" s="87" t="s">
        <v>1745</v>
      </c>
      <c r="C51" s="101"/>
      <c r="D51" s="101"/>
      <c r="E51" s="101">
        <v>80967</v>
      </c>
      <c r="F51" s="422"/>
      <c r="G51" s="71"/>
      <c r="H51" s="71" t="s">
        <v>812</v>
      </c>
      <c r="I51" s="104">
        <f>21*5000+400000</f>
        <v>505000</v>
      </c>
      <c r="J51" s="104">
        <f t="shared" ref="J51" si="29">21*5000+400000</f>
        <v>505000</v>
      </c>
      <c r="K51" s="104">
        <v>0</v>
      </c>
      <c r="L51" s="418">
        <f t="shared" si="9"/>
        <v>0</v>
      </c>
    </row>
    <row r="52" spans="1:12" ht="20.25" customHeight="1" x14ac:dyDescent="0.25">
      <c r="A52" s="87"/>
      <c r="B52" s="88"/>
      <c r="C52" s="87"/>
      <c r="D52" s="87"/>
      <c r="E52" s="87"/>
      <c r="F52" s="422"/>
      <c r="G52" s="71"/>
      <c r="H52" s="71" t="s">
        <v>353</v>
      </c>
      <c r="I52" s="104">
        <f>SUM(I53:I57)</f>
        <v>3557400</v>
      </c>
      <c r="J52" s="104">
        <f t="shared" ref="J52:K52" si="30">SUM(J53:J57)</f>
        <v>3287002</v>
      </c>
      <c r="K52" s="104">
        <f t="shared" si="30"/>
        <v>2881574</v>
      </c>
      <c r="L52" s="418">
        <f t="shared" si="9"/>
        <v>0.87665720921374557</v>
      </c>
    </row>
    <row r="53" spans="1:12" ht="20.25" customHeight="1" x14ac:dyDescent="0.25">
      <c r="A53" s="87"/>
      <c r="B53" s="88"/>
      <c r="C53" s="87"/>
      <c r="D53" s="87"/>
      <c r="E53" s="87"/>
      <c r="F53" s="422"/>
      <c r="G53" s="71"/>
      <c r="H53" s="71" t="s">
        <v>616</v>
      </c>
      <c r="I53" s="204">
        <f>15*28300+2*38650+2*2*38650+100000</f>
        <v>756400</v>
      </c>
      <c r="J53" s="204">
        <f t="shared" ref="J53" si="31">15*28300+2*38650+2*2*38650+100000</f>
        <v>756400</v>
      </c>
      <c r="K53" s="204">
        <v>779603</v>
      </c>
      <c r="L53" s="418">
        <f t="shared" si="9"/>
        <v>1.0306755684822846</v>
      </c>
    </row>
    <row r="54" spans="1:12" ht="20.25" customHeight="1" x14ac:dyDescent="0.25">
      <c r="A54" s="87"/>
      <c r="B54" s="87"/>
      <c r="C54" s="87"/>
      <c r="D54" s="87"/>
      <c r="E54" s="87"/>
      <c r="F54" s="422"/>
      <c r="G54" s="71"/>
      <c r="H54" s="71" t="s">
        <v>617</v>
      </c>
      <c r="I54" s="104">
        <v>1800000</v>
      </c>
      <c r="J54" s="104">
        <v>1529602</v>
      </c>
      <c r="K54" s="104">
        <v>1289869</v>
      </c>
      <c r="L54" s="418">
        <f t="shared" si="9"/>
        <v>0.84327099467704669</v>
      </c>
    </row>
    <row r="55" spans="1:12" ht="20.25" customHeight="1" x14ac:dyDescent="0.25">
      <c r="A55" s="87"/>
      <c r="B55" s="87"/>
      <c r="C55" s="87"/>
      <c r="D55" s="87"/>
      <c r="E55" s="87"/>
      <c r="F55" s="422"/>
      <c r="G55" s="71"/>
      <c r="H55" s="71" t="s">
        <v>813</v>
      </c>
      <c r="I55" s="104">
        <f>470000</f>
        <v>470000</v>
      </c>
      <c r="J55" s="104">
        <f t="shared" ref="J55" si="32">470000</f>
        <v>470000</v>
      </c>
      <c r="K55" s="104">
        <v>510476</v>
      </c>
      <c r="L55" s="418">
        <f t="shared" si="9"/>
        <v>1.0861191489361701</v>
      </c>
    </row>
    <row r="56" spans="1:12" ht="20.25" customHeight="1" x14ac:dyDescent="0.25">
      <c r="A56" s="87"/>
      <c r="B56" s="87"/>
      <c r="C56" s="87"/>
      <c r="D56" s="87"/>
      <c r="E56" s="87"/>
      <c r="F56" s="422"/>
      <c r="G56" s="71"/>
      <c r="H56" s="71" t="s">
        <v>814</v>
      </c>
      <c r="I56" s="104">
        <f>3000+12000*4+300000</f>
        <v>351000</v>
      </c>
      <c r="J56" s="104">
        <f t="shared" ref="J56" si="33">3000+12000*4+300000</f>
        <v>351000</v>
      </c>
      <c r="K56" s="104">
        <v>137456</v>
      </c>
      <c r="L56" s="418">
        <f t="shared" si="9"/>
        <v>0.39161253561253562</v>
      </c>
    </row>
    <row r="57" spans="1:12" ht="20.25" customHeight="1" x14ac:dyDescent="0.25">
      <c r="A57" s="87"/>
      <c r="B57" s="87"/>
      <c r="C57" s="87"/>
      <c r="D57" s="87"/>
      <c r="E57" s="87"/>
      <c r="F57" s="422"/>
      <c r="G57" s="71"/>
      <c r="H57" s="71" t="s">
        <v>618</v>
      </c>
      <c r="I57" s="104">
        <v>180000</v>
      </c>
      <c r="J57" s="104">
        <v>180000</v>
      </c>
      <c r="K57" s="104">
        <v>164170</v>
      </c>
      <c r="L57" s="418">
        <f t="shared" si="9"/>
        <v>0.91205555555555551</v>
      </c>
    </row>
    <row r="58" spans="1:12" ht="20.25" customHeight="1" x14ac:dyDescent="0.25">
      <c r="A58" s="87"/>
      <c r="B58" s="87"/>
      <c r="C58" s="87"/>
      <c r="D58" s="87"/>
      <c r="E58" s="87"/>
      <c r="F58" s="422"/>
      <c r="G58" s="71"/>
      <c r="H58" s="72" t="s">
        <v>343</v>
      </c>
      <c r="I58" s="104">
        <f>I43+I47+I48+I49+I50+I51+I52</f>
        <v>7568400</v>
      </c>
      <c r="J58" s="104">
        <f t="shared" ref="J58" si="34">J43+J47+J48+J49+J50+J51+J52</f>
        <v>7519002</v>
      </c>
      <c r="K58" s="104">
        <f>K43+K47+K48+K49+K50+K51+K52</f>
        <v>5997739</v>
      </c>
      <c r="L58" s="418">
        <f t="shared" si="9"/>
        <v>0.79767753752426185</v>
      </c>
    </row>
    <row r="59" spans="1:12" ht="20.25" customHeight="1" x14ac:dyDescent="0.25">
      <c r="A59" s="87"/>
      <c r="B59" s="87"/>
      <c r="C59" s="87"/>
      <c r="D59" s="87"/>
      <c r="E59" s="87"/>
      <c r="F59" s="422"/>
      <c r="G59" s="71"/>
      <c r="H59" s="71" t="s">
        <v>815</v>
      </c>
      <c r="I59" s="204">
        <f>250000+200000</f>
        <v>450000</v>
      </c>
      <c r="J59" s="204">
        <f t="shared" ref="J59" si="35">250000+200000</f>
        <v>450000</v>
      </c>
      <c r="K59" s="204">
        <v>332506</v>
      </c>
      <c r="L59" s="418">
        <f t="shared" si="9"/>
        <v>0.73890222222222224</v>
      </c>
    </row>
    <row r="60" spans="1:12" ht="20.25" customHeight="1" x14ac:dyDescent="0.25">
      <c r="A60" s="87"/>
      <c r="B60" s="87"/>
      <c r="C60" s="87"/>
      <c r="D60" s="87"/>
      <c r="E60" s="87"/>
      <c r="F60" s="422"/>
      <c r="G60" s="71"/>
      <c r="H60" s="71" t="s">
        <v>357</v>
      </c>
      <c r="I60" s="104">
        <v>40000</v>
      </c>
      <c r="J60" s="104">
        <v>40000</v>
      </c>
      <c r="K60" s="104">
        <v>0</v>
      </c>
      <c r="L60" s="418">
        <f t="shared" si="9"/>
        <v>0</v>
      </c>
    </row>
    <row r="61" spans="1:12" ht="20.25" customHeight="1" x14ac:dyDescent="0.25">
      <c r="A61" s="231" t="s">
        <v>64</v>
      </c>
      <c r="B61" s="227" t="s">
        <v>460</v>
      </c>
      <c r="C61" s="228">
        <f>C62+C63+C64</f>
        <v>0</v>
      </c>
      <c r="D61" s="228">
        <f t="shared" ref="D61:F61" si="36">D62+D63+D64</f>
        <v>0</v>
      </c>
      <c r="E61" s="228">
        <f t="shared" si="36"/>
        <v>0</v>
      </c>
      <c r="F61" s="415">
        <f t="shared" si="36"/>
        <v>0</v>
      </c>
      <c r="G61" s="71"/>
      <c r="H61" s="72" t="s">
        <v>358</v>
      </c>
      <c r="I61" s="104">
        <f>I59+I60</f>
        <v>490000</v>
      </c>
      <c r="J61" s="104">
        <f t="shared" ref="J61:K61" si="37">J59+J60</f>
        <v>490000</v>
      </c>
      <c r="K61" s="104">
        <f t="shared" si="37"/>
        <v>332506</v>
      </c>
      <c r="L61" s="418">
        <f t="shared" si="9"/>
        <v>0.67858367346938775</v>
      </c>
    </row>
    <row r="62" spans="1:12" ht="30" x14ac:dyDescent="0.25">
      <c r="A62" s="85"/>
      <c r="B62" s="88" t="s">
        <v>461</v>
      </c>
      <c r="C62" s="101"/>
      <c r="D62" s="101"/>
      <c r="E62" s="101"/>
      <c r="F62" s="422"/>
      <c r="G62" s="71"/>
      <c r="H62" s="71" t="s">
        <v>360</v>
      </c>
      <c r="I62" s="104">
        <v>3138380</v>
      </c>
      <c r="J62" s="104">
        <v>3138380</v>
      </c>
      <c r="K62" s="104">
        <v>2104717</v>
      </c>
      <c r="L62" s="418">
        <f t="shared" si="9"/>
        <v>0.67063803618427342</v>
      </c>
    </row>
    <row r="63" spans="1:12" ht="28.5" customHeight="1" x14ac:dyDescent="0.25">
      <c r="A63" s="85"/>
      <c r="B63" s="83" t="s">
        <v>462</v>
      </c>
      <c r="C63" s="101"/>
      <c r="D63" s="101"/>
      <c r="E63" s="101"/>
      <c r="F63" s="422"/>
      <c r="G63" s="71"/>
      <c r="H63" s="71" t="s">
        <v>361</v>
      </c>
      <c r="I63" s="104">
        <v>328000</v>
      </c>
      <c r="J63" s="104">
        <v>328000</v>
      </c>
      <c r="K63" s="104">
        <v>50000</v>
      </c>
      <c r="L63" s="418">
        <f t="shared" si="9"/>
        <v>0.1524390243902439</v>
      </c>
    </row>
    <row r="64" spans="1:12" ht="19.5" customHeight="1" x14ac:dyDescent="0.25">
      <c r="A64" s="85"/>
      <c r="B64" s="88" t="s">
        <v>614</v>
      </c>
      <c r="C64" s="101"/>
      <c r="D64" s="101"/>
      <c r="E64" s="101"/>
      <c r="F64" s="422"/>
      <c r="G64" s="71"/>
      <c r="H64" s="71" t="s">
        <v>362</v>
      </c>
      <c r="I64" s="97"/>
      <c r="J64" s="97"/>
      <c r="K64" s="97"/>
      <c r="L64" s="418"/>
    </row>
    <row r="65" spans="1:12" ht="19.5" customHeight="1" x14ac:dyDescent="0.25">
      <c r="A65" s="85"/>
      <c r="B65" s="88"/>
      <c r="C65" s="101"/>
      <c r="D65" s="101"/>
      <c r="E65" s="101"/>
      <c r="F65" s="422"/>
      <c r="G65" s="71"/>
      <c r="H65" s="71" t="s">
        <v>363</v>
      </c>
      <c r="I65" s="97"/>
      <c r="J65" s="97"/>
      <c r="K65" s="97"/>
      <c r="L65" s="418"/>
    </row>
    <row r="66" spans="1:12" ht="30.75" customHeight="1" x14ac:dyDescent="0.25">
      <c r="A66" s="85"/>
      <c r="B66" s="88"/>
      <c r="C66" s="99"/>
      <c r="D66" s="99"/>
      <c r="E66" s="99"/>
      <c r="F66" s="430"/>
      <c r="G66" s="71"/>
      <c r="H66" s="112" t="s">
        <v>621</v>
      </c>
      <c r="I66" s="204">
        <f>2*50000+300000</f>
        <v>400000</v>
      </c>
      <c r="J66" s="204">
        <f t="shared" ref="J66" si="38">2*50000+300000</f>
        <v>400000</v>
      </c>
      <c r="K66" s="204">
        <v>33458</v>
      </c>
      <c r="L66" s="418">
        <f t="shared" si="9"/>
        <v>8.3644999999999997E-2</v>
      </c>
    </row>
    <row r="67" spans="1:12" ht="19.5" customHeight="1" x14ac:dyDescent="0.25">
      <c r="A67" s="85"/>
      <c r="B67" s="88"/>
      <c r="C67" s="99"/>
      <c r="D67" s="99"/>
      <c r="E67" s="99"/>
      <c r="F67" s="430"/>
      <c r="G67" s="71"/>
      <c r="H67" s="72" t="s">
        <v>359</v>
      </c>
      <c r="I67" s="105">
        <f>I62+I63+I64+I65+I66</f>
        <v>3866380</v>
      </c>
      <c r="J67" s="105">
        <f t="shared" ref="J67:K67" si="39">J62+J63+J64+J65+J66</f>
        <v>3866380</v>
      </c>
      <c r="K67" s="105">
        <f t="shared" si="39"/>
        <v>2188175</v>
      </c>
      <c r="L67" s="418">
        <f t="shared" si="9"/>
        <v>0.56594928589533366</v>
      </c>
    </row>
    <row r="68" spans="1:12" ht="19.5" customHeight="1" x14ac:dyDescent="0.25">
      <c r="A68" s="85"/>
      <c r="B68" s="88"/>
      <c r="C68" s="99"/>
      <c r="D68" s="99"/>
      <c r="E68" s="99"/>
      <c r="F68" s="430"/>
      <c r="G68" s="231" t="s">
        <v>64</v>
      </c>
      <c r="H68" s="227" t="s">
        <v>365</v>
      </c>
      <c r="I68" s="228">
        <f>SUM(I69:I74)</f>
        <v>0</v>
      </c>
      <c r="J68" s="228">
        <f t="shared" ref="J68:L68" si="40">SUM(J69:J74)</f>
        <v>0</v>
      </c>
      <c r="K68" s="228">
        <f t="shared" si="40"/>
        <v>0</v>
      </c>
      <c r="L68" s="415">
        <f t="shared" si="40"/>
        <v>0</v>
      </c>
    </row>
    <row r="69" spans="1:12" ht="19.5" customHeight="1" x14ac:dyDescent="0.25">
      <c r="A69" s="85"/>
      <c r="B69" s="88"/>
      <c r="C69" s="99"/>
      <c r="D69" s="99"/>
      <c r="E69" s="99"/>
      <c r="F69" s="430"/>
      <c r="G69" s="71"/>
      <c r="H69" s="71" t="s">
        <v>366</v>
      </c>
      <c r="I69" s="100"/>
      <c r="J69" s="100"/>
      <c r="K69" s="100"/>
      <c r="L69" s="420"/>
    </row>
    <row r="70" spans="1:12" ht="19.5" customHeight="1" x14ac:dyDescent="0.25">
      <c r="A70" s="85"/>
      <c r="B70" s="88"/>
      <c r="C70" s="99"/>
      <c r="D70" s="99"/>
      <c r="E70" s="99"/>
      <c r="F70" s="430"/>
      <c r="G70" s="71"/>
      <c r="H70" s="87" t="s">
        <v>367</v>
      </c>
      <c r="I70" s="100"/>
      <c r="J70" s="100"/>
      <c r="K70" s="100"/>
      <c r="L70" s="420"/>
    </row>
    <row r="71" spans="1:12" ht="19.5" customHeight="1" x14ac:dyDescent="0.25">
      <c r="A71" s="85"/>
      <c r="B71" s="88"/>
      <c r="C71" s="99"/>
      <c r="D71" s="99"/>
      <c r="E71" s="99"/>
      <c r="F71" s="430"/>
      <c r="G71" s="71"/>
      <c r="H71" s="71" t="s">
        <v>368</v>
      </c>
      <c r="I71" s="100"/>
      <c r="J71" s="100"/>
      <c r="K71" s="100"/>
      <c r="L71" s="420"/>
    </row>
    <row r="72" spans="1:12" ht="19.5" customHeight="1" x14ac:dyDescent="0.25">
      <c r="A72" s="85"/>
      <c r="B72" s="88"/>
      <c r="C72" s="99"/>
      <c r="D72" s="99"/>
      <c r="E72" s="99"/>
      <c r="F72" s="430"/>
      <c r="G72" s="71"/>
      <c r="H72" s="71" t="s">
        <v>369</v>
      </c>
      <c r="I72" s="100"/>
      <c r="J72" s="100"/>
      <c r="K72" s="100"/>
      <c r="L72" s="420"/>
    </row>
    <row r="73" spans="1:12" ht="19.5" customHeight="1" x14ac:dyDescent="0.25">
      <c r="A73" s="85"/>
      <c r="B73" s="88"/>
      <c r="C73" s="99"/>
      <c r="D73" s="99"/>
      <c r="E73" s="99"/>
      <c r="F73" s="430"/>
      <c r="G73" s="71"/>
      <c r="H73" s="71" t="s">
        <v>370</v>
      </c>
      <c r="I73" s="100"/>
      <c r="J73" s="100"/>
      <c r="K73" s="100"/>
      <c r="L73" s="420"/>
    </row>
    <row r="74" spans="1:12" ht="19.5" customHeight="1" x14ac:dyDescent="0.25">
      <c r="A74" s="85"/>
      <c r="B74" s="88"/>
      <c r="C74" s="99"/>
      <c r="D74" s="99"/>
      <c r="E74" s="99"/>
      <c r="F74" s="430"/>
      <c r="G74" s="71"/>
      <c r="H74" s="71" t="s">
        <v>371</v>
      </c>
      <c r="I74" s="100"/>
      <c r="J74" s="100"/>
      <c r="K74" s="100"/>
      <c r="L74" s="420"/>
    </row>
    <row r="75" spans="1:12" ht="19.5" customHeight="1" x14ac:dyDescent="0.25">
      <c r="A75" s="85"/>
      <c r="B75" s="86"/>
      <c r="C75" s="99"/>
      <c r="D75" s="99"/>
      <c r="E75" s="99"/>
      <c r="F75" s="430"/>
      <c r="G75" s="231" t="s">
        <v>100</v>
      </c>
      <c r="H75" s="227" t="s">
        <v>499</v>
      </c>
      <c r="I75" s="228">
        <f>SUM(I76:I81)</f>
        <v>0</v>
      </c>
      <c r="J75" s="228">
        <f t="shared" ref="J75:L75" si="41">SUM(J76:J81)</f>
        <v>0</v>
      </c>
      <c r="K75" s="228">
        <f t="shared" si="41"/>
        <v>0</v>
      </c>
      <c r="L75" s="415">
        <f t="shared" si="41"/>
        <v>0</v>
      </c>
    </row>
    <row r="76" spans="1:12" ht="21.75" customHeight="1" x14ac:dyDescent="0.25">
      <c r="A76" s="85"/>
      <c r="B76" s="88"/>
      <c r="C76" s="99"/>
      <c r="D76" s="99"/>
      <c r="E76" s="99"/>
      <c r="F76" s="430"/>
      <c r="G76" s="71"/>
      <c r="H76" s="71" t="s">
        <v>372</v>
      </c>
      <c r="I76" s="105" t="s">
        <v>253</v>
      </c>
      <c r="J76" s="105" t="s">
        <v>253</v>
      </c>
      <c r="K76" s="105"/>
      <c r="L76" s="417"/>
    </row>
    <row r="77" spans="1:12" ht="21.75" customHeight="1" x14ac:dyDescent="0.25">
      <c r="A77" s="85"/>
      <c r="B77" s="83"/>
      <c r="C77" s="99"/>
      <c r="D77" s="99"/>
      <c r="E77" s="99"/>
      <c r="F77" s="430"/>
      <c r="G77" s="71"/>
      <c r="H77" s="71" t="s">
        <v>373</v>
      </c>
      <c r="I77" s="100"/>
      <c r="J77" s="100"/>
      <c r="K77" s="100"/>
      <c r="L77" s="420"/>
    </row>
    <row r="78" spans="1:12" ht="19.5" customHeight="1" x14ac:dyDescent="0.25">
      <c r="A78" s="85"/>
      <c r="B78" s="88"/>
      <c r="C78" s="99"/>
      <c r="D78" s="99"/>
      <c r="E78" s="99"/>
      <c r="F78" s="430"/>
      <c r="G78" s="71"/>
      <c r="H78" s="71" t="s">
        <v>374</v>
      </c>
      <c r="I78" s="100"/>
      <c r="J78" s="100"/>
      <c r="K78" s="100"/>
      <c r="L78" s="420"/>
    </row>
    <row r="79" spans="1:12" ht="19.5" customHeight="1" x14ac:dyDescent="0.25">
      <c r="A79" s="85"/>
      <c r="B79" s="88"/>
      <c r="C79" s="99"/>
      <c r="D79" s="99"/>
      <c r="E79" s="99"/>
      <c r="F79" s="430"/>
      <c r="G79" s="71"/>
      <c r="H79" s="71" t="s">
        <v>375</v>
      </c>
      <c r="I79" s="100"/>
      <c r="J79" s="100"/>
      <c r="K79" s="100"/>
      <c r="L79" s="420"/>
    </row>
    <row r="80" spans="1:12" ht="19.5" customHeight="1" x14ac:dyDescent="0.25">
      <c r="A80" s="85"/>
      <c r="B80" s="88"/>
      <c r="C80" s="99"/>
      <c r="D80" s="99"/>
      <c r="E80" s="99"/>
      <c r="F80" s="430"/>
      <c r="G80" s="71"/>
      <c r="H80" s="71" t="s">
        <v>656</v>
      </c>
      <c r="I80" s="100"/>
      <c r="J80" s="100"/>
      <c r="K80" s="100"/>
      <c r="L80" s="420"/>
    </row>
    <row r="81" spans="1:12" ht="20.25" customHeight="1" x14ac:dyDescent="0.25">
      <c r="A81" s="85"/>
      <c r="B81" s="88"/>
      <c r="C81" s="99"/>
      <c r="D81" s="99"/>
      <c r="E81" s="99"/>
      <c r="F81" s="430"/>
      <c r="G81" s="71"/>
      <c r="H81" s="71" t="s">
        <v>665</v>
      </c>
      <c r="I81" s="100"/>
      <c r="J81" s="100"/>
      <c r="K81" s="100"/>
      <c r="L81" s="420"/>
    </row>
    <row r="82" spans="1:12" ht="20.25" customHeight="1" x14ac:dyDescent="0.25">
      <c r="A82" s="306"/>
      <c r="B82" s="307" t="s">
        <v>192</v>
      </c>
      <c r="C82" s="308">
        <f>C83+C89+C95</f>
        <v>0</v>
      </c>
      <c r="D82" s="308">
        <f t="shared" ref="D82:F82" si="42">D83+D89+D95</f>
        <v>0</v>
      </c>
      <c r="E82" s="308">
        <f t="shared" si="42"/>
        <v>0</v>
      </c>
      <c r="F82" s="414">
        <f t="shared" si="42"/>
        <v>0</v>
      </c>
      <c r="G82" s="306"/>
      <c r="H82" s="307" t="s">
        <v>200</v>
      </c>
      <c r="I82" s="308">
        <f>I83+I91+I96</f>
        <v>3175000</v>
      </c>
      <c r="J82" s="308">
        <f t="shared" ref="J82:K82" si="43">J83+J91+J96</f>
        <v>3175000</v>
      </c>
      <c r="K82" s="308">
        <f t="shared" si="43"/>
        <v>1238364</v>
      </c>
      <c r="L82" s="414">
        <f>+K82/J82</f>
        <v>0.390035905511811</v>
      </c>
    </row>
    <row r="83" spans="1:12" ht="20.25" customHeight="1" x14ac:dyDescent="0.25">
      <c r="A83" s="231" t="s">
        <v>100</v>
      </c>
      <c r="B83" s="227" t="s">
        <v>414</v>
      </c>
      <c r="C83" s="228">
        <f>SUM(C84:C88)</f>
        <v>0</v>
      </c>
      <c r="D83" s="228">
        <f t="shared" ref="D83:F83" si="44">SUM(D84:D88)</f>
        <v>0</v>
      </c>
      <c r="E83" s="228">
        <f t="shared" si="44"/>
        <v>0</v>
      </c>
      <c r="F83" s="415">
        <f t="shared" si="44"/>
        <v>0</v>
      </c>
      <c r="G83" s="231" t="s">
        <v>181</v>
      </c>
      <c r="H83" s="227" t="s">
        <v>379</v>
      </c>
      <c r="I83" s="228">
        <f>SUM(I84:I90)</f>
        <v>3175000</v>
      </c>
      <c r="J83" s="228">
        <f t="shared" ref="J83:K83" si="45">SUM(J84:J90)</f>
        <v>3175000</v>
      </c>
      <c r="K83" s="228">
        <f t="shared" si="45"/>
        <v>1238364</v>
      </c>
      <c r="L83" s="415">
        <f>+K83/J83</f>
        <v>0.390035905511811</v>
      </c>
    </row>
    <row r="84" spans="1:12" ht="20.25" customHeight="1" x14ac:dyDescent="0.25">
      <c r="A84" s="85"/>
      <c r="B84" s="83" t="s">
        <v>415</v>
      </c>
      <c r="C84" s="101"/>
      <c r="D84" s="101"/>
      <c r="E84" s="101"/>
      <c r="F84" s="422"/>
      <c r="G84" s="85"/>
      <c r="H84" s="91" t="s">
        <v>710</v>
      </c>
      <c r="I84" s="95"/>
      <c r="J84" s="95"/>
      <c r="K84" s="95"/>
      <c r="L84" s="416"/>
    </row>
    <row r="85" spans="1:12" ht="29.25" customHeight="1" x14ac:dyDescent="0.25">
      <c r="A85" s="85"/>
      <c r="B85" s="83" t="s">
        <v>416</v>
      </c>
      <c r="C85" s="101"/>
      <c r="D85" s="101"/>
      <c r="E85" s="101"/>
      <c r="F85" s="422"/>
      <c r="G85" s="85"/>
      <c r="H85" s="91" t="s">
        <v>378</v>
      </c>
      <c r="I85" s="245"/>
      <c r="J85" s="245"/>
      <c r="K85" s="245"/>
      <c r="L85" s="435"/>
    </row>
    <row r="86" spans="1:12" ht="29.25" customHeight="1" x14ac:dyDescent="0.25">
      <c r="A86" s="85"/>
      <c r="B86" s="83" t="s">
        <v>417</v>
      </c>
      <c r="C86" s="101"/>
      <c r="D86" s="101"/>
      <c r="E86" s="101"/>
      <c r="F86" s="422"/>
      <c r="G86" s="71"/>
      <c r="H86" s="71" t="s">
        <v>599</v>
      </c>
      <c r="I86" s="98">
        <v>500000</v>
      </c>
      <c r="J86" s="98">
        <v>749000</v>
      </c>
      <c r="K86" s="98">
        <v>749000</v>
      </c>
      <c r="L86" s="421">
        <f>+K86/J86</f>
        <v>1</v>
      </c>
    </row>
    <row r="87" spans="1:12" ht="29.25" customHeight="1" x14ac:dyDescent="0.25">
      <c r="A87" s="85"/>
      <c r="B87" s="83" t="s">
        <v>418</v>
      </c>
      <c r="C87" s="101"/>
      <c r="D87" s="101"/>
      <c r="E87" s="101"/>
      <c r="F87" s="422"/>
      <c r="G87" s="71"/>
      <c r="H87" s="112" t="s">
        <v>816</v>
      </c>
      <c r="I87" s="98">
        <v>2000000</v>
      </c>
      <c r="J87" s="98">
        <v>1751000</v>
      </c>
      <c r="K87" s="98">
        <v>226090</v>
      </c>
      <c r="L87" s="421">
        <f>+K87/J87</f>
        <v>0.12912050256996002</v>
      </c>
    </row>
    <row r="88" spans="1:12" ht="21" customHeight="1" x14ac:dyDescent="0.25">
      <c r="A88" s="85"/>
      <c r="B88" s="83" t="s">
        <v>419</v>
      </c>
      <c r="C88" s="101"/>
      <c r="D88" s="101"/>
      <c r="E88" s="101"/>
      <c r="F88" s="422"/>
      <c r="G88" s="71"/>
      <c r="H88" s="71" t="s">
        <v>381</v>
      </c>
      <c r="I88" s="98"/>
      <c r="J88" s="98"/>
      <c r="K88" s="98"/>
      <c r="L88" s="421"/>
    </row>
    <row r="89" spans="1:12" ht="20.25" customHeight="1" x14ac:dyDescent="0.25">
      <c r="A89" s="231" t="s">
        <v>181</v>
      </c>
      <c r="B89" s="227" t="s">
        <v>420</v>
      </c>
      <c r="C89" s="228">
        <f>SUM(C90:C94)</f>
        <v>0</v>
      </c>
      <c r="D89" s="228">
        <f t="shared" ref="D89:F89" si="46">SUM(D90:D94)</f>
        <v>0</v>
      </c>
      <c r="E89" s="228">
        <f t="shared" si="46"/>
        <v>0</v>
      </c>
      <c r="F89" s="415">
        <f t="shared" si="46"/>
        <v>0</v>
      </c>
      <c r="G89" s="71"/>
      <c r="H89" s="71" t="s">
        <v>382</v>
      </c>
      <c r="I89" s="98"/>
      <c r="J89" s="98"/>
      <c r="K89" s="98"/>
      <c r="L89" s="421"/>
    </row>
    <row r="90" spans="1:12" ht="20.25" customHeight="1" x14ac:dyDescent="0.25">
      <c r="A90" s="85"/>
      <c r="B90" s="88" t="s">
        <v>421</v>
      </c>
      <c r="C90" s="101"/>
      <c r="D90" s="101"/>
      <c r="E90" s="101"/>
      <c r="F90" s="422"/>
      <c r="G90" s="71"/>
      <c r="H90" s="71" t="s">
        <v>383</v>
      </c>
      <c r="I90" s="98">
        <f>I86*0.27+I87*0.27+I84*0.27</f>
        <v>675000</v>
      </c>
      <c r="J90" s="98">
        <f t="shared" ref="J90" si="47">J86*0.27+J87*0.27+J84*0.27</f>
        <v>675000</v>
      </c>
      <c r="K90" s="98">
        <v>263274</v>
      </c>
      <c r="L90" s="421">
        <f t="shared" ref="L90" si="48">+K90/J90</f>
        <v>0.39003555555555558</v>
      </c>
    </row>
    <row r="91" spans="1:12" ht="20.25" customHeight="1" x14ac:dyDescent="0.25">
      <c r="A91" s="85"/>
      <c r="B91" s="88" t="s">
        <v>422</v>
      </c>
      <c r="C91" s="101"/>
      <c r="D91" s="101"/>
      <c r="E91" s="101"/>
      <c r="F91" s="422"/>
      <c r="G91" s="231" t="s">
        <v>191</v>
      </c>
      <c r="H91" s="227" t="s">
        <v>384</v>
      </c>
      <c r="I91" s="228">
        <f>SUM(I92:I95)</f>
        <v>0</v>
      </c>
      <c r="J91" s="228">
        <f t="shared" ref="J91:L91" si="49">SUM(J92:J95)</f>
        <v>0</v>
      </c>
      <c r="K91" s="228">
        <f t="shared" si="49"/>
        <v>0</v>
      </c>
      <c r="L91" s="415">
        <f t="shared" si="49"/>
        <v>0</v>
      </c>
    </row>
    <row r="92" spans="1:12" ht="20.25" customHeight="1" x14ac:dyDescent="0.25">
      <c r="A92" s="85"/>
      <c r="B92" s="88" t="s">
        <v>423</v>
      </c>
      <c r="C92" s="101"/>
      <c r="D92" s="101"/>
      <c r="E92" s="101"/>
      <c r="F92" s="422"/>
      <c r="G92" s="71"/>
      <c r="H92" s="71" t="s">
        <v>385</v>
      </c>
      <c r="I92" s="106"/>
      <c r="J92" s="106"/>
      <c r="K92" s="106"/>
      <c r="L92" s="427"/>
    </row>
    <row r="93" spans="1:12" ht="20.25" customHeight="1" x14ac:dyDescent="0.25">
      <c r="A93" s="85"/>
      <c r="B93" s="88" t="s">
        <v>424</v>
      </c>
      <c r="C93" s="101"/>
      <c r="D93" s="101"/>
      <c r="E93" s="101"/>
      <c r="F93" s="422"/>
      <c r="G93" s="71"/>
      <c r="H93" s="71" t="s">
        <v>386</v>
      </c>
      <c r="I93" s="98"/>
      <c r="J93" s="98"/>
      <c r="K93" s="98"/>
      <c r="L93" s="421"/>
    </row>
    <row r="94" spans="1:12" ht="20.25" customHeight="1" x14ac:dyDescent="0.25">
      <c r="A94" s="85"/>
      <c r="B94" s="88" t="s">
        <v>425</v>
      </c>
      <c r="C94" s="101"/>
      <c r="D94" s="101"/>
      <c r="E94" s="101"/>
      <c r="F94" s="422"/>
      <c r="G94" s="71"/>
      <c r="H94" s="71" t="s">
        <v>387</v>
      </c>
      <c r="I94" s="98"/>
      <c r="J94" s="98"/>
      <c r="K94" s="98"/>
      <c r="L94" s="421"/>
    </row>
    <row r="95" spans="1:12" ht="20.25" customHeight="1" x14ac:dyDescent="0.25">
      <c r="A95" s="231" t="s">
        <v>191</v>
      </c>
      <c r="B95" s="227" t="s">
        <v>426</v>
      </c>
      <c r="C95" s="228">
        <f>C96+C97+C98</f>
        <v>0</v>
      </c>
      <c r="D95" s="228">
        <f t="shared" ref="D95:F95" si="50">D96+D97+D98</f>
        <v>0</v>
      </c>
      <c r="E95" s="228">
        <f t="shared" si="50"/>
        <v>0</v>
      </c>
      <c r="F95" s="415">
        <f t="shared" si="50"/>
        <v>0</v>
      </c>
      <c r="G95" s="71"/>
      <c r="H95" s="71" t="s">
        <v>388</v>
      </c>
      <c r="I95" s="106">
        <f>I92*0.27</f>
        <v>0</v>
      </c>
      <c r="J95" s="106">
        <f t="shared" ref="J95:L95" si="51">J92*0.27</f>
        <v>0</v>
      </c>
      <c r="K95" s="106">
        <f t="shared" si="51"/>
        <v>0</v>
      </c>
      <c r="L95" s="427">
        <f t="shared" si="51"/>
        <v>0</v>
      </c>
    </row>
    <row r="96" spans="1:12" ht="29.25" customHeight="1" x14ac:dyDescent="0.25">
      <c r="A96" s="85"/>
      <c r="B96" s="88" t="s">
        <v>427</v>
      </c>
      <c r="C96" s="101"/>
      <c r="D96" s="101"/>
      <c r="E96" s="101"/>
      <c r="F96" s="422"/>
      <c r="G96" s="231" t="s">
        <v>199</v>
      </c>
      <c r="H96" s="227" t="s">
        <v>389</v>
      </c>
      <c r="I96" s="228">
        <f>I97+I98</f>
        <v>0</v>
      </c>
      <c r="J96" s="228">
        <f t="shared" ref="J96:L96" si="52">J97+J98</f>
        <v>0</v>
      </c>
      <c r="K96" s="228">
        <f t="shared" si="52"/>
        <v>0</v>
      </c>
      <c r="L96" s="415">
        <f t="shared" si="52"/>
        <v>0</v>
      </c>
    </row>
    <row r="97" spans="1:12" ht="29.25" customHeight="1" x14ac:dyDescent="0.25">
      <c r="A97" s="85"/>
      <c r="B97" s="83" t="s">
        <v>662</v>
      </c>
      <c r="C97" s="101"/>
      <c r="D97" s="101"/>
      <c r="E97" s="101"/>
      <c r="F97" s="422"/>
      <c r="G97" s="71"/>
      <c r="H97" s="71" t="s">
        <v>391</v>
      </c>
      <c r="I97" s="98"/>
      <c r="J97" s="98"/>
      <c r="K97" s="98"/>
      <c r="L97" s="421"/>
    </row>
    <row r="98" spans="1:12" ht="21" customHeight="1" x14ac:dyDescent="0.25">
      <c r="A98" s="85"/>
      <c r="B98" s="88"/>
      <c r="C98" s="101"/>
      <c r="D98" s="101"/>
      <c r="E98" s="101"/>
      <c r="F98" s="422"/>
      <c r="G98" s="71"/>
      <c r="H98" s="71" t="s">
        <v>390</v>
      </c>
      <c r="I98" s="98"/>
      <c r="J98" s="98"/>
      <c r="K98" s="98"/>
      <c r="L98" s="421"/>
    </row>
    <row r="99" spans="1:12" ht="20.25" customHeight="1" x14ac:dyDescent="0.25">
      <c r="A99" s="306"/>
      <c r="B99" s="307" t="s">
        <v>430</v>
      </c>
      <c r="C99" s="308">
        <f>C109+C120</f>
        <v>123620565</v>
      </c>
      <c r="D99" s="308">
        <f t="shared" ref="D99:E99" si="53">D109+D120</f>
        <v>124341765</v>
      </c>
      <c r="E99" s="308">
        <f t="shared" si="53"/>
        <v>112593091</v>
      </c>
      <c r="F99" s="414">
        <f>+E99/D99</f>
        <v>0.90551305106534397</v>
      </c>
      <c r="G99" s="306"/>
      <c r="H99" s="307" t="s">
        <v>395</v>
      </c>
      <c r="I99" s="308">
        <f>I108+I119</f>
        <v>0</v>
      </c>
      <c r="J99" s="308">
        <f t="shared" ref="J99:L99" si="54">J108+J119</f>
        <v>0</v>
      </c>
      <c r="K99" s="308">
        <f t="shared" si="54"/>
        <v>0</v>
      </c>
      <c r="L99" s="414">
        <f t="shared" si="54"/>
        <v>0</v>
      </c>
    </row>
    <row r="100" spans="1:12" ht="21" customHeight="1" x14ac:dyDescent="0.25">
      <c r="A100" s="75"/>
      <c r="B100" s="93" t="s">
        <v>431</v>
      </c>
      <c r="C100" s="101"/>
      <c r="D100" s="101"/>
      <c r="E100" s="101"/>
      <c r="F100" s="422"/>
      <c r="G100" s="75"/>
      <c r="H100" s="93" t="s">
        <v>392</v>
      </c>
      <c r="I100" s="101"/>
      <c r="J100" s="101"/>
      <c r="K100" s="101"/>
      <c r="L100" s="422"/>
    </row>
    <row r="101" spans="1:12" ht="20.25" customHeight="1" x14ac:dyDescent="0.25">
      <c r="A101" s="75"/>
      <c r="B101" s="93" t="s">
        <v>432</v>
      </c>
      <c r="C101" s="101"/>
      <c r="D101" s="101"/>
      <c r="E101" s="101"/>
      <c r="F101" s="422"/>
      <c r="G101" s="75"/>
      <c r="H101" s="93" t="s">
        <v>393</v>
      </c>
      <c r="I101" s="101"/>
      <c r="J101" s="101"/>
      <c r="K101" s="101"/>
      <c r="L101" s="422"/>
    </row>
    <row r="102" spans="1:12" ht="20.25" customHeight="1" x14ac:dyDescent="0.25">
      <c r="A102" s="75"/>
      <c r="B102" s="93" t="s">
        <v>433</v>
      </c>
      <c r="C102" s="101"/>
      <c r="D102" s="101"/>
      <c r="E102" s="101"/>
      <c r="F102" s="422"/>
      <c r="G102" s="75"/>
      <c r="H102" s="93" t="s">
        <v>394</v>
      </c>
      <c r="I102" s="101"/>
      <c r="J102" s="101"/>
      <c r="K102" s="101"/>
      <c r="L102" s="422"/>
    </row>
    <row r="103" spans="1:12" ht="20.25" customHeight="1" x14ac:dyDescent="0.25">
      <c r="A103" s="75"/>
      <c r="B103" s="94" t="s">
        <v>434</v>
      </c>
      <c r="C103" s="101">
        <f>C100+C101+C102</f>
        <v>0</v>
      </c>
      <c r="D103" s="101">
        <f t="shared" ref="D103:F103" si="55">D100+D101+D102</f>
        <v>0</v>
      </c>
      <c r="E103" s="101">
        <f t="shared" si="55"/>
        <v>0</v>
      </c>
      <c r="F103" s="422">
        <f t="shared" si="55"/>
        <v>0</v>
      </c>
      <c r="G103" s="75"/>
      <c r="H103" s="94" t="s">
        <v>396</v>
      </c>
      <c r="I103" s="101">
        <f>I100+I101+I102</f>
        <v>0</v>
      </c>
      <c r="J103" s="101">
        <f t="shared" ref="J103:L103" si="56">J100+J101+J102</f>
        <v>0</v>
      </c>
      <c r="K103" s="101">
        <f t="shared" si="56"/>
        <v>0</v>
      </c>
      <c r="L103" s="422">
        <f t="shared" si="56"/>
        <v>0</v>
      </c>
    </row>
    <row r="104" spans="1:12" ht="20.25" customHeight="1" x14ac:dyDescent="0.25">
      <c r="A104" s="75"/>
      <c r="B104" s="69" t="s">
        <v>435</v>
      </c>
      <c r="C104" s="101"/>
      <c r="D104" s="101"/>
      <c r="E104" s="101"/>
      <c r="F104" s="422"/>
      <c r="G104" s="75"/>
      <c r="H104" s="93" t="s">
        <v>397</v>
      </c>
      <c r="I104" s="101"/>
      <c r="J104" s="101"/>
      <c r="K104" s="101"/>
      <c r="L104" s="422"/>
    </row>
    <row r="105" spans="1:12" ht="20.25" customHeight="1" x14ac:dyDescent="0.25">
      <c r="A105" s="75"/>
      <c r="B105" s="69" t="s">
        <v>436</v>
      </c>
      <c r="C105" s="101"/>
      <c r="D105" s="101"/>
      <c r="E105" s="101"/>
      <c r="F105" s="422"/>
      <c r="G105" s="75"/>
      <c r="H105" s="93" t="s">
        <v>1754</v>
      </c>
      <c r="I105" s="101"/>
      <c r="J105" s="101"/>
      <c r="K105" s="101"/>
      <c r="L105" s="422"/>
    </row>
    <row r="106" spans="1:12" ht="20.25" customHeight="1" x14ac:dyDescent="0.25">
      <c r="A106" s="75"/>
      <c r="B106" s="70" t="s">
        <v>437</v>
      </c>
      <c r="C106" s="101">
        <f>C104+C105</f>
        <v>0</v>
      </c>
      <c r="D106" s="101">
        <f t="shared" ref="D106:F106" si="57">D104+D105</f>
        <v>0</v>
      </c>
      <c r="E106" s="101">
        <f t="shared" si="57"/>
        <v>0</v>
      </c>
      <c r="F106" s="422">
        <f t="shared" si="57"/>
        <v>0</v>
      </c>
      <c r="G106" s="75"/>
      <c r="H106" s="94" t="s">
        <v>398</v>
      </c>
      <c r="I106" s="101">
        <f>I104+I105</f>
        <v>0</v>
      </c>
      <c r="J106" s="101">
        <f t="shared" ref="J106:L106" si="58">J104+J105</f>
        <v>0</v>
      </c>
      <c r="K106" s="101">
        <f t="shared" si="58"/>
        <v>0</v>
      </c>
      <c r="L106" s="422">
        <f t="shared" si="58"/>
        <v>0</v>
      </c>
    </row>
    <row r="107" spans="1:12" ht="20.25" customHeight="1" x14ac:dyDescent="0.25">
      <c r="A107" s="75"/>
      <c r="B107" s="70" t="s">
        <v>438</v>
      </c>
      <c r="C107" s="205"/>
      <c r="D107" s="205">
        <v>21423</v>
      </c>
      <c r="E107" s="205">
        <v>21423</v>
      </c>
      <c r="F107" s="428">
        <f>+E107/D107</f>
        <v>1</v>
      </c>
      <c r="G107" s="75"/>
      <c r="H107" s="94" t="s">
        <v>399</v>
      </c>
      <c r="I107" s="101"/>
      <c r="J107" s="101"/>
      <c r="K107" s="101"/>
      <c r="L107" s="422"/>
    </row>
    <row r="108" spans="1:12" ht="20.25" customHeight="1" x14ac:dyDescent="0.25">
      <c r="A108" s="75"/>
      <c r="B108" s="70" t="s">
        <v>439</v>
      </c>
      <c r="C108" s="106">
        <f>123620565-3175000</f>
        <v>120445565</v>
      </c>
      <c r="D108" s="106">
        <v>121145342</v>
      </c>
      <c r="E108" s="106">
        <f>112571668-1238364</f>
        <v>111333304</v>
      </c>
      <c r="F108" s="428">
        <f>+E108/D108</f>
        <v>0.91900606463267898</v>
      </c>
      <c r="G108" s="75"/>
      <c r="H108" s="75" t="s">
        <v>400</v>
      </c>
      <c r="I108" s="109">
        <f>I103+I106+I107</f>
        <v>0</v>
      </c>
      <c r="J108" s="109">
        <f t="shared" ref="J108:L108" si="59">J103+J106+J107</f>
        <v>0</v>
      </c>
      <c r="K108" s="109">
        <f t="shared" si="59"/>
        <v>0</v>
      </c>
      <c r="L108" s="423">
        <f t="shared" si="59"/>
        <v>0</v>
      </c>
    </row>
    <row r="109" spans="1:12" ht="20.25" customHeight="1" x14ac:dyDescent="0.25">
      <c r="A109" s="75"/>
      <c r="B109" s="80" t="s">
        <v>440</v>
      </c>
      <c r="C109" s="109">
        <f>C103+C106+C107+C108</f>
        <v>120445565</v>
      </c>
      <c r="D109" s="109">
        <f t="shared" ref="D109:E109" si="60">D103+D106+D107+D108</f>
        <v>121166765</v>
      </c>
      <c r="E109" s="109">
        <f t="shared" si="60"/>
        <v>111354727</v>
      </c>
      <c r="F109" s="436">
        <f>+E109/D109</f>
        <v>0.91902038483902748</v>
      </c>
      <c r="G109" s="75"/>
      <c r="H109" s="94"/>
      <c r="I109" s="101"/>
      <c r="J109" s="101"/>
      <c r="K109" s="101"/>
      <c r="L109" s="422"/>
    </row>
    <row r="110" spans="1:12" ht="20.25" customHeight="1" x14ac:dyDescent="0.25">
      <c r="A110" s="89"/>
      <c r="B110" s="79"/>
      <c r="C110" s="102"/>
      <c r="D110" s="102"/>
      <c r="E110" s="102"/>
      <c r="F110" s="424"/>
      <c r="G110" s="89"/>
      <c r="H110" s="89"/>
      <c r="I110" s="102"/>
      <c r="J110" s="102"/>
      <c r="K110" s="102"/>
      <c r="L110" s="424"/>
    </row>
    <row r="111" spans="1:12" ht="20.25" customHeight="1" x14ac:dyDescent="0.25">
      <c r="A111" s="75"/>
      <c r="B111" s="93" t="s">
        <v>431</v>
      </c>
      <c r="C111" s="101"/>
      <c r="D111" s="101"/>
      <c r="E111" s="101"/>
      <c r="F111" s="422"/>
      <c r="G111" s="75"/>
      <c r="H111" s="93" t="s">
        <v>392</v>
      </c>
      <c r="I111" s="101"/>
      <c r="J111" s="101"/>
      <c r="K111" s="101"/>
      <c r="L111" s="422"/>
    </row>
    <row r="112" spans="1:12" ht="29.25" customHeight="1" x14ac:dyDescent="0.25">
      <c r="A112" s="75"/>
      <c r="B112" s="93" t="s">
        <v>432</v>
      </c>
      <c r="C112" s="101"/>
      <c r="D112" s="101"/>
      <c r="E112" s="101"/>
      <c r="F112" s="422"/>
      <c r="G112" s="75"/>
      <c r="H112" s="93" t="s">
        <v>393</v>
      </c>
      <c r="I112" s="101"/>
      <c r="J112" s="101"/>
      <c r="K112" s="101"/>
      <c r="L112" s="422"/>
    </row>
    <row r="113" spans="1:12" ht="20.25" customHeight="1" x14ac:dyDescent="0.25">
      <c r="A113" s="75"/>
      <c r="B113" s="93" t="s">
        <v>433</v>
      </c>
      <c r="C113" s="101"/>
      <c r="D113" s="101"/>
      <c r="E113" s="101"/>
      <c r="F113" s="422"/>
      <c r="G113" s="75"/>
      <c r="H113" s="93" t="s">
        <v>394</v>
      </c>
      <c r="I113" s="101"/>
      <c r="J113" s="101"/>
      <c r="K113" s="101"/>
      <c r="L113" s="422"/>
    </row>
    <row r="114" spans="1:12" ht="20.25" customHeight="1" x14ac:dyDescent="0.25">
      <c r="A114" s="75"/>
      <c r="B114" s="94" t="s">
        <v>434</v>
      </c>
      <c r="C114" s="101">
        <f>C111+C112+C113</f>
        <v>0</v>
      </c>
      <c r="D114" s="101">
        <f t="shared" ref="D114:F114" si="61">D111+D112+D113</f>
        <v>0</v>
      </c>
      <c r="E114" s="101">
        <f t="shared" si="61"/>
        <v>0</v>
      </c>
      <c r="F114" s="422">
        <f t="shared" si="61"/>
        <v>0</v>
      </c>
      <c r="G114" s="75"/>
      <c r="H114" s="94" t="s">
        <v>396</v>
      </c>
      <c r="I114" s="101">
        <f>I111+I112+I113</f>
        <v>0</v>
      </c>
      <c r="J114" s="101">
        <f t="shared" ref="J114:L114" si="62">J111+J112+J113</f>
        <v>0</v>
      </c>
      <c r="K114" s="101">
        <f t="shared" si="62"/>
        <v>0</v>
      </c>
      <c r="L114" s="422">
        <f t="shared" si="62"/>
        <v>0</v>
      </c>
    </row>
    <row r="115" spans="1:12" ht="20.25" customHeight="1" x14ac:dyDescent="0.25">
      <c r="A115" s="75"/>
      <c r="B115" s="69" t="s">
        <v>435</v>
      </c>
      <c r="C115" s="101"/>
      <c r="D115" s="101"/>
      <c r="E115" s="101"/>
      <c r="F115" s="422"/>
      <c r="G115" s="75"/>
      <c r="H115" s="93" t="s">
        <v>397</v>
      </c>
      <c r="I115" s="101"/>
      <c r="J115" s="101"/>
      <c r="K115" s="101"/>
      <c r="L115" s="422"/>
    </row>
    <row r="116" spans="1:12" ht="20.25" customHeight="1" x14ac:dyDescent="0.25">
      <c r="A116" s="75"/>
      <c r="B116" s="69" t="s">
        <v>436</v>
      </c>
      <c r="C116" s="101"/>
      <c r="D116" s="101"/>
      <c r="E116" s="101"/>
      <c r="F116" s="422"/>
      <c r="G116" s="75"/>
      <c r="H116" s="93" t="s">
        <v>1754</v>
      </c>
      <c r="I116" s="101"/>
      <c r="J116" s="101"/>
      <c r="K116" s="101"/>
      <c r="L116" s="422"/>
    </row>
    <row r="117" spans="1:12" ht="20.25" customHeight="1" x14ac:dyDescent="0.25">
      <c r="A117" s="75"/>
      <c r="B117" s="70" t="s">
        <v>437</v>
      </c>
      <c r="C117" s="101">
        <f>C115+C116</f>
        <v>0</v>
      </c>
      <c r="D117" s="101">
        <f t="shared" ref="D117:F117" si="63">D115+D116</f>
        <v>0</v>
      </c>
      <c r="E117" s="101">
        <f t="shared" si="63"/>
        <v>0</v>
      </c>
      <c r="F117" s="422">
        <f t="shared" si="63"/>
        <v>0</v>
      </c>
      <c r="G117" s="75"/>
      <c r="H117" s="94" t="s">
        <v>398</v>
      </c>
      <c r="I117" s="101">
        <f>I115+I116</f>
        <v>0</v>
      </c>
      <c r="J117" s="101">
        <f t="shared" ref="J117:L117" si="64">J115+J116</f>
        <v>0</v>
      </c>
      <c r="K117" s="101">
        <f t="shared" si="64"/>
        <v>0</v>
      </c>
      <c r="L117" s="422">
        <f t="shared" si="64"/>
        <v>0</v>
      </c>
    </row>
    <row r="118" spans="1:12" ht="20.25" customHeight="1" x14ac:dyDescent="0.25">
      <c r="A118" s="75"/>
      <c r="B118" s="70" t="s">
        <v>441</v>
      </c>
      <c r="C118" s="101"/>
      <c r="D118" s="101"/>
      <c r="E118" s="101"/>
      <c r="F118" s="422"/>
      <c r="G118" s="75"/>
      <c r="H118" s="94" t="s">
        <v>399</v>
      </c>
      <c r="I118" s="101"/>
      <c r="J118" s="101"/>
      <c r="K118" s="101"/>
      <c r="L118" s="422"/>
    </row>
    <row r="119" spans="1:12" ht="20.25" customHeight="1" x14ac:dyDescent="0.25">
      <c r="A119" s="75"/>
      <c r="B119" s="70" t="s">
        <v>439</v>
      </c>
      <c r="C119" s="106">
        <v>3175000</v>
      </c>
      <c r="D119" s="106">
        <v>3175000</v>
      </c>
      <c r="E119" s="106">
        <v>1238364</v>
      </c>
      <c r="F119" s="427">
        <f>+E119/D119</f>
        <v>0.390035905511811</v>
      </c>
      <c r="G119" s="75"/>
      <c r="H119" s="75" t="s">
        <v>401</v>
      </c>
      <c r="I119" s="109">
        <f>I114+I117+I118</f>
        <v>0</v>
      </c>
      <c r="J119" s="109">
        <f t="shared" ref="J119:L119" si="65">J114+J117+J118</f>
        <v>0</v>
      </c>
      <c r="K119" s="109">
        <f t="shared" si="65"/>
        <v>0</v>
      </c>
      <c r="L119" s="423">
        <f t="shared" si="65"/>
        <v>0</v>
      </c>
    </row>
    <row r="120" spans="1:12" ht="20.25" customHeight="1" x14ac:dyDescent="0.25">
      <c r="A120" s="75"/>
      <c r="B120" s="80" t="s">
        <v>442</v>
      </c>
      <c r="C120" s="109">
        <f>C114+C117+C118+C119</f>
        <v>3175000</v>
      </c>
      <c r="D120" s="109">
        <f t="shared" ref="D120:E120" si="66">D114+D117+D118+D119</f>
        <v>3175000</v>
      </c>
      <c r="E120" s="109">
        <f t="shared" si="66"/>
        <v>1238364</v>
      </c>
      <c r="F120" s="437">
        <f>+E120/D120</f>
        <v>0.390035905511811</v>
      </c>
      <c r="G120" s="75"/>
      <c r="H120" s="94"/>
      <c r="I120" s="101"/>
      <c r="J120" s="101"/>
      <c r="K120" s="101"/>
      <c r="L120" s="422"/>
    </row>
    <row r="121" spans="1:12" ht="20.25" customHeight="1" x14ac:dyDescent="0.25">
      <c r="A121" s="853" t="s">
        <v>143</v>
      </c>
      <c r="B121" s="853"/>
      <c r="C121" s="238">
        <f>C2+C82+C99</f>
        <v>124204765</v>
      </c>
      <c r="D121" s="238">
        <f>D2+D82+D99</f>
        <v>126705612</v>
      </c>
      <c r="E121" s="238">
        <f t="shared" ref="E121" si="67">E2+E82+E99</f>
        <v>115288176</v>
      </c>
      <c r="F121" s="425">
        <f>+E121/D121</f>
        <v>0.90989005285732727</v>
      </c>
      <c r="G121" s="853" t="s">
        <v>144</v>
      </c>
      <c r="H121" s="853"/>
      <c r="I121" s="238">
        <f>I2+I82+I99</f>
        <v>124204765.33333333</v>
      </c>
      <c r="J121" s="238">
        <f t="shared" ref="J121:K121" si="68">J2+J82+J99</f>
        <v>126705612</v>
      </c>
      <c r="K121" s="238">
        <f t="shared" si="68"/>
        <v>115214248</v>
      </c>
      <c r="L121" s="425">
        <f>+K121/J121</f>
        <v>0.90930659014535209</v>
      </c>
    </row>
    <row r="123" spans="1:12" x14ac:dyDescent="0.25">
      <c r="I123" s="113">
        <f>C121-I121</f>
        <v>-0.3333333283662796</v>
      </c>
      <c r="J123" s="113">
        <f t="shared" ref="J123:K123" si="69">D121-J121</f>
        <v>0</v>
      </c>
      <c r="K123" s="113">
        <f t="shared" si="69"/>
        <v>73928</v>
      </c>
      <c r="L123" s="113"/>
    </row>
    <row r="124" spans="1:12" x14ac:dyDescent="0.25">
      <c r="K124" s="239"/>
    </row>
    <row r="125" spans="1:12" x14ac:dyDescent="0.25">
      <c r="I125" s="239"/>
      <c r="J125" s="239"/>
      <c r="K125" s="239"/>
    </row>
    <row r="126" spans="1:12" x14ac:dyDescent="0.25">
      <c r="I126" s="239"/>
      <c r="J126" s="239"/>
      <c r="K126" s="239"/>
    </row>
    <row r="127" spans="1:12" x14ac:dyDescent="0.25">
      <c r="I127" s="239"/>
      <c r="J127" s="239"/>
      <c r="K127" s="239"/>
    </row>
    <row r="128" spans="1:12" x14ac:dyDescent="0.25">
      <c r="I128" s="239"/>
      <c r="J128" s="239"/>
      <c r="K128" s="239"/>
    </row>
  </sheetData>
  <mergeCells count="2">
    <mergeCell ref="A121:B121"/>
    <mergeCell ref="G121:H1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2" orientation="portrait" r:id="rId1"/>
  <headerFooter>
    <oddHeader>&amp;CTaksony Nagyközség Önkormányzat 2018. évi zárszámadás&amp;R3.a. sz. melléklet</oddHeader>
    <oddFooter xml:space="preserve">&amp;LKészült: &amp;D
&amp;C&amp;P&amp;R/:Kreisz László://:Dr.Micheller Anita:/
/:Szelecki N.Andrea:/       </oddFooter>
  </headerFooter>
  <rowBreaks count="1" manualBreakCount="1">
    <brk id="61" max="11" man="1"/>
  </rowBreaks>
  <colBreaks count="1" manualBreakCount="1">
    <brk id="6" max="117" man="1"/>
  </colBreaks>
  <ignoredErrors>
    <ignoredError sqref="I43 C36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zoomScale="70" zoomScaleNormal="60" zoomScaleSheetLayoutView="70" workbookViewId="0">
      <pane ySplit="1" topLeftCell="A2" activePane="bottomLeft" state="frozen"/>
      <selection activeCell="L86" sqref="L86"/>
      <selection pane="bottomLeft" activeCell="G35" sqref="G35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5" width="18" style="21" customWidth="1"/>
    <col min="6" max="6" width="14.28515625" style="426" customWidth="1"/>
    <col min="7" max="7" width="6.7109375" style="21" customWidth="1"/>
    <col min="8" max="8" width="71.5703125" style="21" customWidth="1"/>
    <col min="9" max="9" width="20.7109375" style="21" customWidth="1"/>
    <col min="10" max="10" width="18.42578125" style="21" customWidth="1"/>
    <col min="11" max="11" width="17.42578125" style="21" customWidth="1"/>
    <col min="12" max="12" width="13" style="426" customWidth="1"/>
    <col min="13" max="16384" width="9.140625" style="21"/>
  </cols>
  <sheetData>
    <row r="1" spans="1:12" ht="40.5" customHeight="1" x14ac:dyDescent="0.25">
      <c r="A1" s="76"/>
      <c r="B1" s="77" t="s">
        <v>505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506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C3+C17+C24+C35</f>
        <v>2400000</v>
      </c>
      <c r="D2" s="308">
        <f>D3+D17+D24+D35</f>
        <v>2400000</v>
      </c>
      <c r="E2" s="308">
        <f>E3+E17+E24+E35</f>
        <v>1626419</v>
      </c>
      <c r="F2" s="414">
        <f>+E2/D2</f>
        <v>0.6776745833333333</v>
      </c>
      <c r="G2" s="306"/>
      <c r="H2" s="307" t="s">
        <v>196</v>
      </c>
      <c r="I2" s="308">
        <f>I3+I7+I17+I24+I35</f>
        <v>25497720.333333332</v>
      </c>
      <c r="J2" s="308">
        <f>J3+J7+J17+J24+J35</f>
        <v>25908720</v>
      </c>
      <c r="K2" s="308">
        <f>K3+K7+K17+K24+K35</f>
        <v>23860219</v>
      </c>
      <c r="L2" s="414">
        <f>+K2/J2</f>
        <v>0.92093391722941154</v>
      </c>
    </row>
    <row r="3" spans="1:12" ht="20.25" customHeight="1" x14ac:dyDescent="0.25">
      <c r="A3" s="231" t="s">
        <v>23</v>
      </c>
      <c r="B3" s="232" t="s">
        <v>312</v>
      </c>
      <c r="C3" s="233">
        <f>C4+C11+C12+C13+C14+C15</f>
        <v>0</v>
      </c>
      <c r="D3" s="233">
        <f>D4+D11+D12+D13+D14+D15</f>
        <v>0</v>
      </c>
      <c r="E3" s="233">
        <f>E4+E11+E12+E13+E14+E15</f>
        <v>0</v>
      </c>
      <c r="F3" s="415">
        <v>0</v>
      </c>
      <c r="G3" s="231" t="s">
        <v>23</v>
      </c>
      <c r="H3" s="227" t="s">
        <v>213</v>
      </c>
      <c r="I3" s="228">
        <f>SUM(I4:I5)</f>
        <v>11808300</v>
      </c>
      <c r="J3" s="228">
        <f t="shared" ref="J3:K3" si="0">SUM(J4:J5)</f>
        <v>11808300</v>
      </c>
      <c r="K3" s="228">
        <f t="shared" si="0"/>
        <v>11159891</v>
      </c>
      <c r="L3" s="415">
        <f>+K3/J3</f>
        <v>0.94508870878958018</v>
      </c>
    </row>
    <row r="4" spans="1:12" ht="20.25" customHeight="1" x14ac:dyDescent="0.25">
      <c r="A4" s="70"/>
      <c r="B4" s="108" t="s">
        <v>247</v>
      </c>
      <c r="C4" s="106">
        <f>SUM(C5:C8)</f>
        <v>0</v>
      </c>
      <c r="D4" s="106">
        <f t="shared" ref="D4:F4" si="1">SUM(D5:D8)</f>
        <v>0</v>
      </c>
      <c r="E4" s="106">
        <f t="shared" si="1"/>
        <v>0</v>
      </c>
      <c r="F4" s="427">
        <f t="shared" si="1"/>
        <v>0</v>
      </c>
      <c r="G4" s="80"/>
      <c r="H4" s="69" t="s">
        <v>500</v>
      </c>
      <c r="I4" s="95">
        <f>'4.a műv.ház részletes'!I12</f>
        <v>11478300</v>
      </c>
      <c r="J4" s="95">
        <f>'4.a műv.ház részletes'!J12</f>
        <v>11478300</v>
      </c>
      <c r="K4" s="95">
        <f>'4.a műv.ház részletes'!K12</f>
        <v>10923411</v>
      </c>
      <c r="L4" s="416">
        <f>+K4/J4</f>
        <v>0.95165756253103684</v>
      </c>
    </row>
    <row r="5" spans="1:12" ht="24" customHeight="1" x14ac:dyDescent="0.25">
      <c r="A5" s="80"/>
      <c r="B5" s="83" t="s">
        <v>248</v>
      </c>
      <c r="C5" s="106"/>
      <c r="D5" s="106"/>
      <c r="E5" s="106"/>
      <c r="F5" s="427"/>
      <c r="G5" s="80"/>
      <c r="H5" s="69" t="s">
        <v>501</v>
      </c>
      <c r="I5" s="95">
        <f>'4.a műv.ház részletes'!I16</f>
        <v>330000</v>
      </c>
      <c r="J5" s="95">
        <f>'4.a műv.ház részletes'!J16</f>
        <v>330000</v>
      </c>
      <c r="K5" s="95">
        <f>'4.a műv.ház részletes'!K16</f>
        <v>236480</v>
      </c>
      <c r="L5" s="416">
        <f>+K5/J5</f>
        <v>0.71660606060606058</v>
      </c>
    </row>
    <row r="6" spans="1:12" ht="24" customHeight="1" x14ac:dyDescent="0.25">
      <c r="A6" s="80"/>
      <c r="B6" s="83" t="s">
        <v>249</v>
      </c>
      <c r="C6" s="106"/>
      <c r="D6" s="106"/>
      <c r="E6" s="106"/>
      <c r="F6" s="427"/>
      <c r="G6" s="80"/>
      <c r="H6" s="69"/>
      <c r="I6" s="95"/>
      <c r="J6" s="95"/>
      <c r="K6" s="95"/>
      <c r="L6" s="416"/>
    </row>
    <row r="7" spans="1:12" ht="22.5" customHeight="1" x14ac:dyDescent="0.25">
      <c r="A7" s="80"/>
      <c r="B7" s="83" t="s">
        <v>250</v>
      </c>
      <c r="C7" s="106"/>
      <c r="D7" s="106"/>
      <c r="E7" s="106"/>
      <c r="F7" s="427"/>
      <c r="G7" s="231" t="s">
        <v>45</v>
      </c>
      <c r="H7" s="227" t="s">
        <v>214</v>
      </c>
      <c r="I7" s="228">
        <f>'4.a műv.ház részletes'!I17</f>
        <v>2385170</v>
      </c>
      <c r="J7" s="228">
        <f>'4.a műv.ház részletes'!J17</f>
        <v>2385170</v>
      </c>
      <c r="K7" s="228">
        <f>'4.a műv.ház részletes'!K17</f>
        <v>2344577</v>
      </c>
      <c r="L7" s="415">
        <f>+K7/J7</f>
        <v>0.98298108730195333</v>
      </c>
    </row>
    <row r="8" spans="1:12" ht="22.5" customHeight="1" x14ac:dyDescent="0.25">
      <c r="A8" s="80"/>
      <c r="B8" s="83" t="s">
        <v>251</v>
      </c>
      <c r="C8" s="106">
        <f>'4.a műv.ház részletes'!C8</f>
        <v>0</v>
      </c>
      <c r="D8" s="106">
        <f>'4.a műv.ház részletes'!D8</f>
        <v>0</v>
      </c>
      <c r="E8" s="106">
        <f>'4.a műv.ház részletes'!E8</f>
        <v>0</v>
      </c>
      <c r="F8" s="427">
        <f>'4.a műv.ház részletes'!F8</f>
        <v>0</v>
      </c>
      <c r="G8" s="80"/>
      <c r="H8" s="69"/>
      <c r="I8" s="95"/>
      <c r="J8" s="95"/>
      <c r="K8" s="95"/>
      <c r="L8" s="416"/>
    </row>
    <row r="9" spans="1:12" ht="24.75" customHeight="1" x14ac:dyDescent="0.25">
      <c r="A9" s="80"/>
      <c r="B9" s="83" t="s">
        <v>252</v>
      </c>
      <c r="C9" s="81" t="s">
        <v>253</v>
      </c>
      <c r="D9" s="81" t="s">
        <v>253</v>
      </c>
      <c r="E9" s="81"/>
      <c r="F9" s="427"/>
      <c r="G9" s="80"/>
      <c r="H9" s="69"/>
      <c r="I9" s="95"/>
      <c r="J9" s="95"/>
      <c r="K9" s="95"/>
      <c r="L9" s="416"/>
    </row>
    <row r="10" spans="1:12" ht="18" customHeight="1" x14ac:dyDescent="0.25">
      <c r="A10" s="80"/>
      <c r="B10" s="83" t="s">
        <v>254</v>
      </c>
      <c r="C10" s="81" t="s">
        <v>253</v>
      </c>
      <c r="D10" s="81" t="s">
        <v>253</v>
      </c>
      <c r="E10" s="81"/>
      <c r="F10" s="427"/>
      <c r="G10" s="84"/>
      <c r="H10" s="69"/>
      <c r="I10" s="96"/>
      <c r="J10" s="96"/>
      <c r="K10" s="96"/>
      <c r="L10" s="431"/>
    </row>
    <row r="11" spans="1:12" ht="20.25" customHeight="1" x14ac:dyDescent="0.25">
      <c r="A11" s="80"/>
      <c r="B11" s="83" t="s">
        <v>255</v>
      </c>
      <c r="C11" s="87"/>
      <c r="D11" s="87"/>
      <c r="E11" s="87"/>
      <c r="F11" s="422"/>
      <c r="G11" s="84"/>
      <c r="I11" s="104"/>
      <c r="J11" s="104"/>
      <c r="K11" s="104"/>
      <c r="L11" s="418"/>
    </row>
    <row r="12" spans="1:12" ht="30" x14ac:dyDescent="0.25">
      <c r="A12" s="70"/>
      <c r="B12" s="83" t="s">
        <v>256</v>
      </c>
      <c r="C12" s="106"/>
      <c r="D12" s="106"/>
      <c r="E12" s="106"/>
      <c r="F12" s="427"/>
      <c r="G12" s="84"/>
      <c r="H12" s="69"/>
      <c r="I12" s="97"/>
      <c r="J12" s="97"/>
      <c r="K12" s="97"/>
      <c r="L12" s="419"/>
    </row>
    <row r="13" spans="1:12" ht="29.25" customHeight="1" x14ac:dyDescent="0.25">
      <c r="A13" s="70"/>
      <c r="B13" s="83" t="s">
        <v>257</v>
      </c>
      <c r="C13" s="106"/>
      <c r="D13" s="106"/>
      <c r="E13" s="106"/>
      <c r="F13" s="427"/>
      <c r="G13" s="84"/>
      <c r="H13" s="69"/>
      <c r="I13" s="97"/>
      <c r="J13" s="97"/>
      <c r="K13" s="97"/>
      <c r="L13" s="419"/>
    </row>
    <row r="14" spans="1:12" ht="29.25" customHeight="1" x14ac:dyDescent="0.25">
      <c r="A14" s="70"/>
      <c r="B14" s="83" t="s">
        <v>258</v>
      </c>
      <c r="C14" s="106"/>
      <c r="D14" s="106"/>
      <c r="E14" s="106"/>
      <c r="F14" s="427"/>
      <c r="G14" s="84"/>
      <c r="H14" s="69"/>
      <c r="I14" s="97"/>
      <c r="J14" s="97"/>
      <c r="K14" s="97"/>
      <c r="L14" s="419"/>
    </row>
    <row r="15" spans="1:12" ht="29.25" customHeight="1" x14ac:dyDescent="0.25">
      <c r="A15" s="70"/>
      <c r="B15" s="83" t="s">
        <v>259</v>
      </c>
      <c r="C15" s="106">
        <f>'4.a műv.ház részletes'!C16</f>
        <v>0</v>
      </c>
      <c r="D15" s="106">
        <f>'4.a műv.ház részletes'!D16</f>
        <v>0</v>
      </c>
      <c r="E15" s="106">
        <f>'4.a műv.ház részletes'!E16</f>
        <v>0</v>
      </c>
      <c r="F15" s="427">
        <f>'4.a műv.ház részletes'!F16</f>
        <v>0</v>
      </c>
      <c r="G15" s="84"/>
      <c r="H15" s="87"/>
      <c r="I15" s="104"/>
      <c r="J15" s="104"/>
      <c r="K15" s="104"/>
      <c r="L15" s="418"/>
    </row>
    <row r="16" spans="1:12" ht="18.75" customHeight="1" x14ac:dyDescent="0.25">
      <c r="A16" s="70"/>
      <c r="C16" s="106"/>
      <c r="D16" s="106"/>
      <c r="E16" s="106"/>
      <c r="F16" s="427"/>
      <c r="H16" s="87"/>
      <c r="I16" s="97"/>
      <c r="J16" s="97"/>
      <c r="K16" s="97"/>
      <c r="L16" s="419"/>
    </row>
    <row r="17" spans="1:12" ht="20.25" customHeight="1" x14ac:dyDescent="0.25">
      <c r="A17" s="234" t="s">
        <v>45</v>
      </c>
      <c r="B17" s="235" t="s">
        <v>266</v>
      </c>
      <c r="C17" s="228">
        <f>C18+C19+C23</f>
        <v>0</v>
      </c>
      <c r="D17" s="228">
        <f t="shared" ref="D17:F17" si="2">D18+D19+D23</f>
        <v>0</v>
      </c>
      <c r="E17" s="228">
        <f t="shared" si="2"/>
        <v>0</v>
      </c>
      <c r="F17" s="415">
        <f t="shared" si="2"/>
        <v>0</v>
      </c>
      <c r="G17" s="231" t="s">
        <v>56</v>
      </c>
      <c r="H17" s="227" t="s">
        <v>215</v>
      </c>
      <c r="I17" s="228">
        <f>SUM(I18:I22)</f>
        <v>11304250.333333332</v>
      </c>
      <c r="J17" s="228">
        <f t="shared" ref="J17:K17" si="3">SUM(J18:J22)</f>
        <v>11715250</v>
      </c>
      <c r="K17" s="228">
        <f t="shared" si="3"/>
        <v>10355751</v>
      </c>
      <c r="L17" s="415">
        <f>+K17/J17</f>
        <v>0.8839547598216001</v>
      </c>
    </row>
    <row r="18" spans="1:12" ht="20.25" customHeight="1" x14ac:dyDescent="0.25">
      <c r="A18" s="85"/>
      <c r="B18" s="87" t="s">
        <v>267</v>
      </c>
      <c r="C18" s="95"/>
      <c r="D18" s="95"/>
      <c r="E18" s="95"/>
      <c r="F18" s="416"/>
      <c r="G18" s="71"/>
      <c r="H18" s="115" t="s">
        <v>238</v>
      </c>
      <c r="I18" s="104">
        <f>'4.a műv.ház részletes'!I35</f>
        <v>2982450.333333333</v>
      </c>
      <c r="J18" s="104">
        <f>'4.a műv.ház részletes'!J35</f>
        <v>2251250</v>
      </c>
      <c r="K18" s="104">
        <f>'4.a műv.ház részletes'!K35</f>
        <v>2160489</v>
      </c>
      <c r="L18" s="416">
        <f t="shared" ref="L18:L22" si="4">+K18/J18</f>
        <v>0.95968417545807883</v>
      </c>
    </row>
    <row r="19" spans="1:12" ht="20.25" customHeight="1" x14ac:dyDescent="0.25">
      <c r="A19" s="85"/>
      <c r="B19" s="87" t="s">
        <v>268</v>
      </c>
      <c r="C19" s="95"/>
      <c r="D19" s="95"/>
      <c r="E19" s="95"/>
      <c r="F19" s="416"/>
      <c r="G19" s="71"/>
      <c r="H19" s="115" t="s">
        <v>239</v>
      </c>
      <c r="I19" s="104">
        <f>'4.a műv.ház részletes'!I38</f>
        <v>334000</v>
      </c>
      <c r="J19" s="104">
        <f>'4.a műv.ház részletes'!J38</f>
        <v>380000</v>
      </c>
      <c r="K19" s="104">
        <f>'4.a műv.ház részletes'!K38</f>
        <v>365716</v>
      </c>
      <c r="L19" s="416">
        <f t="shared" si="4"/>
        <v>0.96241052631578949</v>
      </c>
    </row>
    <row r="20" spans="1:12" ht="20.25" customHeight="1" x14ac:dyDescent="0.25">
      <c r="A20" s="85"/>
      <c r="B20" s="87" t="s">
        <v>269</v>
      </c>
      <c r="C20" s="95"/>
      <c r="D20" s="95"/>
      <c r="E20" s="95"/>
      <c r="F20" s="416"/>
      <c r="G20" s="71"/>
      <c r="H20" s="115" t="s">
        <v>240</v>
      </c>
      <c r="I20" s="104">
        <f>'4.a műv.ház részletes'!I54</f>
        <v>5277800</v>
      </c>
      <c r="J20" s="104">
        <f>'4.a műv.ház részletes'!J54</f>
        <v>6370000</v>
      </c>
      <c r="K20" s="104">
        <f>'4.a műv.ház részletes'!K54</f>
        <v>5992703</v>
      </c>
      <c r="L20" s="416">
        <f t="shared" si="4"/>
        <v>0.9407697017268446</v>
      </c>
    </row>
    <row r="21" spans="1:12" ht="20.25" customHeight="1" x14ac:dyDescent="0.25">
      <c r="A21" s="85"/>
      <c r="B21" s="87" t="s">
        <v>270</v>
      </c>
      <c r="C21" s="95"/>
      <c r="D21" s="95"/>
      <c r="E21" s="95"/>
      <c r="F21" s="416"/>
      <c r="G21" s="71"/>
      <c r="H21" s="115" t="s">
        <v>241</v>
      </c>
      <c r="I21" s="104">
        <f>'4.a műv.ház részletes'!I57</f>
        <v>280000</v>
      </c>
      <c r="J21" s="104">
        <f>'4.a műv.ház részletes'!J57</f>
        <v>284000</v>
      </c>
      <c r="K21" s="104">
        <f>'4.a műv.ház részletes'!K57</f>
        <v>193119</v>
      </c>
      <c r="L21" s="416">
        <f t="shared" si="4"/>
        <v>0.67999647887323944</v>
      </c>
    </row>
    <row r="22" spans="1:12" ht="20.25" customHeight="1" x14ac:dyDescent="0.25">
      <c r="A22" s="85"/>
      <c r="B22" s="87" t="s">
        <v>271</v>
      </c>
      <c r="C22" s="95"/>
      <c r="D22" s="95"/>
      <c r="E22" s="95"/>
      <c r="F22" s="416"/>
      <c r="G22" s="71"/>
      <c r="H22" s="115" t="s">
        <v>242</v>
      </c>
      <c r="I22" s="104">
        <f>'4.a műv.ház részletes'!I65</f>
        <v>2430000</v>
      </c>
      <c r="J22" s="104">
        <f>'4.a műv.ház részletes'!J65</f>
        <v>2430000</v>
      </c>
      <c r="K22" s="104">
        <f>'4.a műv.ház részletes'!K65</f>
        <v>1643724</v>
      </c>
      <c r="L22" s="416">
        <f t="shared" si="4"/>
        <v>0.6764296296296296</v>
      </c>
    </row>
    <row r="23" spans="1:12" ht="20.25" customHeight="1" x14ac:dyDescent="0.25">
      <c r="A23" s="85"/>
      <c r="B23" s="87" t="s">
        <v>272</v>
      </c>
      <c r="C23" s="95"/>
      <c r="D23" s="95"/>
      <c r="E23" s="95"/>
      <c r="F23" s="416"/>
      <c r="G23" s="71"/>
      <c r="H23" s="71"/>
      <c r="I23" s="97"/>
      <c r="J23" s="97"/>
      <c r="K23" s="97"/>
      <c r="L23" s="416"/>
    </row>
    <row r="24" spans="1:12" ht="20.25" customHeight="1" x14ac:dyDescent="0.25">
      <c r="A24" s="234" t="s">
        <v>56</v>
      </c>
      <c r="B24" s="235" t="s">
        <v>273</v>
      </c>
      <c r="C24" s="228">
        <f>SUM(C25:C34)</f>
        <v>2400000</v>
      </c>
      <c r="D24" s="228">
        <f t="shared" ref="D24:E24" si="5">SUM(D25:D34)</f>
        <v>2400000</v>
      </c>
      <c r="E24" s="228">
        <f t="shared" si="5"/>
        <v>1626419</v>
      </c>
      <c r="F24" s="415">
        <f>+E24/D24</f>
        <v>0.6776745833333333</v>
      </c>
      <c r="G24" s="231" t="s">
        <v>64</v>
      </c>
      <c r="H24" s="227" t="s">
        <v>216</v>
      </c>
      <c r="I24" s="228">
        <f>SUM(I25:I30)</f>
        <v>0</v>
      </c>
      <c r="J24" s="228">
        <f t="shared" ref="J24:L24" si="6">SUM(J25:J30)</f>
        <v>0</v>
      </c>
      <c r="K24" s="228">
        <f t="shared" si="6"/>
        <v>0</v>
      </c>
      <c r="L24" s="415">
        <f t="shared" si="6"/>
        <v>0</v>
      </c>
    </row>
    <row r="25" spans="1:12" ht="20.25" customHeight="1" x14ac:dyDescent="0.25">
      <c r="A25" s="85"/>
      <c r="B25" s="88" t="s">
        <v>274</v>
      </c>
      <c r="C25" s="101"/>
      <c r="D25" s="101"/>
      <c r="E25" s="101"/>
      <c r="F25" s="422"/>
      <c r="G25" s="71"/>
      <c r="H25" s="71" t="s">
        <v>202</v>
      </c>
      <c r="I25" s="100"/>
      <c r="J25" s="100"/>
      <c r="K25" s="100"/>
      <c r="L25" s="420"/>
    </row>
    <row r="26" spans="1:12" ht="20.25" customHeight="1" x14ac:dyDescent="0.25">
      <c r="A26" s="85"/>
      <c r="B26" s="88" t="s">
        <v>275</v>
      </c>
      <c r="C26" s="101">
        <f>'4.a műv.ház részletes'!C26</f>
        <v>2400000</v>
      </c>
      <c r="D26" s="101">
        <f>'4.a műv.ház részletes'!D26</f>
        <v>2400000</v>
      </c>
      <c r="E26" s="101">
        <f>'4.a műv.ház részletes'!E26</f>
        <v>1566950</v>
      </c>
      <c r="F26" s="422">
        <f>+E26/D26</f>
        <v>0.65289583333333334</v>
      </c>
      <c r="G26" s="71"/>
      <c r="H26" s="87" t="s">
        <v>203</v>
      </c>
      <c r="I26" s="100"/>
      <c r="J26" s="100"/>
      <c r="K26" s="100"/>
      <c r="L26" s="420"/>
    </row>
    <row r="27" spans="1:12" ht="20.25" customHeight="1" x14ac:dyDescent="0.25">
      <c r="A27" s="85"/>
      <c r="B27" s="88" t="s">
        <v>276</v>
      </c>
      <c r="C27" s="101">
        <f>+'4.a műv.ház részletes'!C32</f>
        <v>0</v>
      </c>
      <c r="D27" s="101">
        <f>+'4.a műv.ház részletes'!D32</f>
        <v>0</v>
      </c>
      <c r="E27" s="101">
        <f>+'4.a műv.ház részletes'!E32</f>
        <v>3175</v>
      </c>
      <c r="F27" s="422"/>
      <c r="G27" s="71"/>
      <c r="H27" s="71" t="s">
        <v>204</v>
      </c>
      <c r="I27" s="100"/>
      <c r="J27" s="100"/>
      <c r="K27" s="100"/>
      <c r="L27" s="420"/>
    </row>
    <row r="28" spans="1:12" ht="20.25" customHeight="1" x14ac:dyDescent="0.25">
      <c r="A28" s="85"/>
      <c r="B28" s="88" t="s">
        <v>277</v>
      </c>
      <c r="C28" s="101"/>
      <c r="D28" s="101"/>
      <c r="E28" s="101"/>
      <c r="F28" s="422"/>
      <c r="G28" s="71"/>
      <c r="H28" s="71" t="s">
        <v>205</v>
      </c>
      <c r="I28" s="100"/>
      <c r="J28" s="100"/>
      <c r="K28" s="100"/>
      <c r="L28" s="420"/>
    </row>
    <row r="29" spans="1:12" ht="20.25" customHeight="1" x14ac:dyDescent="0.25">
      <c r="A29" s="85"/>
      <c r="B29" s="88" t="s">
        <v>278</v>
      </c>
      <c r="C29" s="101"/>
      <c r="D29" s="101"/>
      <c r="E29" s="101"/>
      <c r="F29" s="422"/>
      <c r="G29" s="71"/>
      <c r="H29" s="71" t="s">
        <v>206</v>
      </c>
      <c r="I29" s="100"/>
      <c r="J29" s="100"/>
      <c r="K29" s="100"/>
      <c r="L29" s="420"/>
    </row>
    <row r="30" spans="1:12" ht="20.25" customHeight="1" x14ac:dyDescent="0.25">
      <c r="A30" s="85"/>
      <c r="B30" s="88" t="s">
        <v>279</v>
      </c>
      <c r="C30" s="101">
        <f>'4.a műv.ház részletes'!C40</f>
        <v>0</v>
      </c>
      <c r="D30" s="101">
        <f>'4.a műv.ház részletes'!D40</f>
        <v>0</v>
      </c>
      <c r="E30" s="101">
        <f>'4.a műv.ház részletes'!E40</f>
        <v>0</v>
      </c>
      <c r="F30" s="422">
        <f>'4.a műv.ház részletes'!F40</f>
        <v>0</v>
      </c>
      <c r="G30" s="71"/>
      <c r="H30" s="71" t="s">
        <v>207</v>
      </c>
      <c r="I30" s="100"/>
      <c r="J30" s="100"/>
      <c r="K30" s="100"/>
      <c r="L30" s="420"/>
    </row>
    <row r="31" spans="1:12" ht="20.25" customHeight="1" x14ac:dyDescent="0.25">
      <c r="A31" s="85"/>
      <c r="B31" s="88" t="s">
        <v>280</v>
      </c>
      <c r="C31" s="101"/>
      <c r="D31" s="101"/>
      <c r="E31" s="101"/>
      <c r="F31" s="422"/>
      <c r="G31" s="71"/>
      <c r="H31" s="71"/>
      <c r="I31" s="97"/>
      <c r="J31" s="97"/>
      <c r="K31" s="97"/>
      <c r="L31" s="419"/>
    </row>
    <row r="32" spans="1:12" ht="20.25" customHeight="1" x14ac:dyDescent="0.25">
      <c r="A32" s="85"/>
      <c r="B32" s="88" t="s">
        <v>281</v>
      </c>
      <c r="C32" s="101"/>
      <c r="D32" s="101"/>
      <c r="E32" s="101"/>
      <c r="F32" s="422"/>
      <c r="G32" s="71"/>
      <c r="I32" s="104"/>
      <c r="J32" s="104"/>
      <c r="K32" s="104"/>
      <c r="L32" s="418"/>
    </row>
    <row r="33" spans="1:12" ht="20.25" customHeight="1" x14ac:dyDescent="0.25">
      <c r="A33" s="85"/>
      <c r="B33" s="88" t="s">
        <v>282</v>
      </c>
      <c r="C33" s="101"/>
      <c r="D33" s="101"/>
      <c r="E33" s="101"/>
      <c r="F33" s="422"/>
      <c r="G33" s="71"/>
      <c r="H33" s="71"/>
      <c r="I33" s="97"/>
      <c r="J33" s="97"/>
      <c r="K33" s="97"/>
      <c r="L33" s="419"/>
    </row>
    <row r="34" spans="1:12" ht="20.25" customHeight="1" x14ac:dyDescent="0.25">
      <c r="A34" s="85"/>
      <c r="B34" s="88" t="s">
        <v>283</v>
      </c>
      <c r="C34" s="101">
        <f>+'4.a műv.ház részletes'!C44</f>
        <v>0</v>
      </c>
      <c r="D34" s="101">
        <f>+'4.a műv.ház részletes'!D44</f>
        <v>0</v>
      </c>
      <c r="E34" s="101">
        <f>+'4.a műv.ház részletes'!E44</f>
        <v>56294</v>
      </c>
      <c r="F34" s="422">
        <v>0</v>
      </c>
      <c r="G34" s="71"/>
      <c r="H34" s="71"/>
      <c r="I34" s="97"/>
      <c r="J34" s="97"/>
      <c r="K34" s="97"/>
      <c r="L34" s="419"/>
    </row>
    <row r="35" spans="1:12" ht="20.25" customHeight="1" x14ac:dyDescent="0.25">
      <c r="A35" s="234" t="s">
        <v>64</v>
      </c>
      <c r="B35" s="235" t="s">
        <v>290</v>
      </c>
      <c r="C35" s="233">
        <f>C36+C37+C38</f>
        <v>0</v>
      </c>
      <c r="D35" s="233">
        <f t="shared" ref="D35:F35" si="7">D36+D37+D38</f>
        <v>0</v>
      </c>
      <c r="E35" s="233">
        <f t="shared" si="7"/>
        <v>0</v>
      </c>
      <c r="F35" s="429">
        <f t="shared" si="7"/>
        <v>0</v>
      </c>
      <c r="G35" s="231" t="s">
        <v>100</v>
      </c>
      <c r="H35" s="227" t="s">
        <v>237</v>
      </c>
      <c r="I35" s="228">
        <f>SUM(I36:I41)</f>
        <v>0</v>
      </c>
      <c r="J35" s="228">
        <f t="shared" ref="J35:L35" si="8">SUM(J36:J41)</f>
        <v>0</v>
      </c>
      <c r="K35" s="228">
        <f t="shared" si="8"/>
        <v>0</v>
      </c>
      <c r="L35" s="415">
        <f t="shared" si="8"/>
        <v>0</v>
      </c>
    </row>
    <row r="36" spans="1:12" ht="30" x14ac:dyDescent="0.25">
      <c r="A36" s="85"/>
      <c r="B36" s="88" t="s">
        <v>291</v>
      </c>
      <c r="C36" s="101"/>
      <c r="D36" s="101"/>
      <c r="E36" s="101"/>
      <c r="F36" s="422"/>
      <c r="G36" s="71"/>
      <c r="H36" s="71" t="s">
        <v>208</v>
      </c>
      <c r="I36" s="105" t="s">
        <v>253</v>
      </c>
      <c r="J36" s="105" t="s">
        <v>253</v>
      </c>
      <c r="K36" s="105"/>
      <c r="L36" s="417"/>
    </row>
    <row r="37" spans="1:12" ht="28.5" customHeight="1" x14ac:dyDescent="0.25">
      <c r="A37" s="85"/>
      <c r="B37" s="83" t="s">
        <v>292</v>
      </c>
      <c r="C37" s="101"/>
      <c r="D37" s="101"/>
      <c r="E37" s="101"/>
      <c r="F37" s="422"/>
      <c r="G37" s="71"/>
      <c r="H37" s="71" t="s">
        <v>210</v>
      </c>
      <c r="I37" s="100"/>
      <c r="J37" s="100"/>
      <c r="K37" s="100"/>
      <c r="L37" s="420"/>
    </row>
    <row r="38" spans="1:12" ht="19.5" customHeight="1" x14ac:dyDescent="0.25">
      <c r="A38" s="85"/>
      <c r="B38" s="88" t="s">
        <v>293</v>
      </c>
      <c r="C38" s="101"/>
      <c r="D38" s="101"/>
      <c r="E38" s="101"/>
      <c r="F38" s="422"/>
      <c r="G38" s="71"/>
      <c r="H38" s="71" t="s">
        <v>209</v>
      </c>
      <c r="I38" s="100"/>
      <c r="J38" s="100"/>
      <c r="K38" s="100"/>
      <c r="L38" s="420"/>
    </row>
    <row r="39" spans="1:12" ht="19.5" customHeight="1" x14ac:dyDescent="0.25">
      <c r="A39" s="85"/>
      <c r="B39" s="88"/>
      <c r="C39" s="101"/>
      <c r="D39" s="101"/>
      <c r="E39" s="101"/>
      <c r="F39" s="422"/>
      <c r="G39" s="71"/>
      <c r="H39" s="71" t="s">
        <v>211</v>
      </c>
      <c r="I39" s="100"/>
      <c r="J39" s="100"/>
      <c r="K39" s="100"/>
      <c r="L39" s="420"/>
    </row>
    <row r="40" spans="1:12" ht="19.5" customHeight="1" x14ac:dyDescent="0.25">
      <c r="A40" s="85"/>
      <c r="B40" s="88"/>
      <c r="C40" s="99"/>
      <c r="D40" s="99"/>
      <c r="E40" s="99"/>
      <c r="F40" s="430"/>
      <c r="G40" s="71"/>
      <c r="H40" s="71" t="s">
        <v>376</v>
      </c>
      <c r="I40" s="100"/>
      <c r="J40" s="100"/>
      <c r="K40" s="100"/>
      <c r="L40" s="420"/>
    </row>
    <row r="41" spans="1:12" ht="19.5" customHeight="1" x14ac:dyDescent="0.25">
      <c r="A41" s="85"/>
      <c r="B41" s="88"/>
      <c r="C41" s="99"/>
      <c r="D41" s="99"/>
      <c r="E41" s="99"/>
      <c r="F41" s="430"/>
      <c r="G41" s="71"/>
      <c r="H41" s="71" t="s">
        <v>212</v>
      </c>
      <c r="I41" s="100"/>
      <c r="J41" s="100"/>
      <c r="K41" s="100"/>
      <c r="L41" s="420"/>
    </row>
    <row r="42" spans="1:12" ht="19.5" customHeight="1" x14ac:dyDescent="0.25">
      <c r="A42" s="85"/>
      <c r="B42" s="88"/>
      <c r="C42" s="99"/>
      <c r="D42" s="99"/>
      <c r="E42" s="99"/>
      <c r="F42" s="430"/>
      <c r="G42" s="73"/>
      <c r="H42" s="82"/>
      <c r="I42" s="100"/>
      <c r="J42" s="100"/>
      <c r="K42" s="100"/>
      <c r="L42" s="420"/>
    </row>
    <row r="43" spans="1:12" ht="19.5" customHeight="1" x14ac:dyDescent="0.25">
      <c r="A43" s="85"/>
      <c r="B43" s="88"/>
      <c r="C43" s="99"/>
      <c r="D43" s="99"/>
      <c r="E43" s="99"/>
      <c r="F43" s="430"/>
      <c r="G43" s="71"/>
      <c r="H43" s="71"/>
      <c r="I43" s="100"/>
      <c r="J43" s="100"/>
      <c r="K43" s="100"/>
      <c r="L43" s="420"/>
    </row>
    <row r="44" spans="1:12" ht="19.5" customHeight="1" x14ac:dyDescent="0.25">
      <c r="A44" s="85"/>
      <c r="B44" s="88"/>
      <c r="C44" s="99"/>
      <c r="D44" s="99"/>
      <c r="E44" s="99"/>
      <c r="F44" s="430"/>
      <c r="G44" s="71"/>
      <c r="H44" s="87"/>
      <c r="I44" s="100"/>
      <c r="J44" s="100"/>
      <c r="K44" s="100"/>
      <c r="L44" s="420"/>
    </row>
    <row r="45" spans="1:12" ht="19.5" customHeight="1" x14ac:dyDescent="0.25">
      <c r="A45" s="85"/>
      <c r="B45" s="88"/>
      <c r="C45" s="99"/>
      <c r="D45" s="99"/>
      <c r="E45" s="99"/>
      <c r="F45" s="430"/>
      <c r="G45" s="71"/>
      <c r="H45" s="71"/>
      <c r="I45" s="100"/>
      <c r="J45" s="100"/>
      <c r="K45" s="100"/>
      <c r="L45" s="420"/>
    </row>
    <row r="46" spans="1:12" ht="19.5" customHeight="1" x14ac:dyDescent="0.25">
      <c r="A46" s="85"/>
      <c r="B46" s="88"/>
      <c r="C46" s="99"/>
      <c r="D46" s="99"/>
      <c r="E46" s="99"/>
      <c r="F46" s="430"/>
      <c r="G46" s="71"/>
      <c r="H46" s="71"/>
      <c r="I46" s="100"/>
      <c r="J46" s="100"/>
      <c r="K46" s="100"/>
      <c r="L46" s="420"/>
    </row>
    <row r="47" spans="1:12" ht="19.5" customHeight="1" x14ac:dyDescent="0.25">
      <c r="A47" s="85"/>
      <c r="B47" s="88"/>
      <c r="C47" s="99"/>
      <c r="D47" s="99"/>
      <c r="E47" s="99"/>
      <c r="F47" s="430"/>
      <c r="G47" s="71"/>
      <c r="H47" s="71"/>
      <c r="I47" s="100"/>
      <c r="J47" s="100"/>
      <c r="K47" s="100"/>
      <c r="L47" s="420"/>
    </row>
    <row r="48" spans="1:12" ht="19.5" customHeight="1" x14ac:dyDescent="0.25">
      <c r="A48" s="85"/>
      <c r="B48" s="88"/>
      <c r="C48" s="99"/>
      <c r="D48" s="99"/>
      <c r="E48" s="99"/>
      <c r="F48" s="430"/>
      <c r="G48" s="71"/>
      <c r="H48" s="71"/>
      <c r="I48" s="100"/>
      <c r="J48" s="100"/>
      <c r="K48" s="100"/>
      <c r="L48" s="420"/>
    </row>
    <row r="49" spans="1:12" ht="20.25" customHeight="1" x14ac:dyDescent="0.25">
      <c r="A49" s="85"/>
      <c r="B49" s="88"/>
      <c r="C49" s="99"/>
      <c r="D49" s="99"/>
      <c r="E49" s="99"/>
      <c r="F49" s="430"/>
      <c r="G49" s="71"/>
      <c r="H49" s="71"/>
      <c r="I49" s="100"/>
      <c r="J49" s="100"/>
      <c r="K49" s="100"/>
      <c r="L49" s="420"/>
    </row>
    <row r="50" spans="1:12" ht="20.25" customHeight="1" x14ac:dyDescent="0.25">
      <c r="A50" s="306"/>
      <c r="B50" s="306" t="s">
        <v>192</v>
      </c>
      <c r="C50" s="308">
        <f>C51+C57+C63</f>
        <v>0</v>
      </c>
      <c r="D50" s="308">
        <f t="shared" ref="D50:F50" si="9">D51+D57+D63</f>
        <v>0</v>
      </c>
      <c r="E50" s="308">
        <f t="shared" si="9"/>
        <v>0</v>
      </c>
      <c r="F50" s="414">
        <f t="shared" si="9"/>
        <v>0</v>
      </c>
      <c r="G50" s="306"/>
      <c r="H50" s="307" t="s">
        <v>200</v>
      </c>
      <c r="I50" s="308">
        <f>I51+I59+I64</f>
        <v>2491740</v>
      </c>
      <c r="J50" s="308">
        <f t="shared" ref="J50:K50" si="10">J51+J59+J64</f>
        <v>2491740</v>
      </c>
      <c r="K50" s="308">
        <f t="shared" si="10"/>
        <v>878459</v>
      </c>
      <c r="L50" s="414">
        <f>+K50/J50</f>
        <v>0.35254841997961262</v>
      </c>
    </row>
    <row r="51" spans="1:12" ht="20.25" customHeight="1" x14ac:dyDescent="0.25">
      <c r="A51" s="234" t="s">
        <v>100</v>
      </c>
      <c r="B51" s="232" t="s">
        <v>260</v>
      </c>
      <c r="C51" s="233">
        <f>SUM(C52:C56)</f>
        <v>0</v>
      </c>
      <c r="D51" s="233">
        <f t="shared" ref="D51:F51" si="11">SUM(D52:D56)</f>
        <v>0</v>
      </c>
      <c r="E51" s="233">
        <f t="shared" si="11"/>
        <v>0</v>
      </c>
      <c r="F51" s="429">
        <f t="shared" si="11"/>
        <v>0</v>
      </c>
      <c r="G51" s="231" t="s">
        <v>181</v>
      </c>
      <c r="H51" s="227" t="s">
        <v>217</v>
      </c>
      <c r="I51" s="228">
        <f>SUM(I52:I58)</f>
        <v>2491740</v>
      </c>
      <c r="J51" s="228">
        <f t="shared" ref="J51:K51" si="12">SUM(J52:J58)</f>
        <v>2491740</v>
      </c>
      <c r="K51" s="228">
        <f t="shared" si="12"/>
        <v>878459</v>
      </c>
      <c r="L51" s="415">
        <f>+K51/J51</f>
        <v>0.35254841997961262</v>
      </c>
    </row>
    <row r="52" spans="1:12" ht="20.25" customHeight="1" x14ac:dyDescent="0.25">
      <c r="A52" s="85"/>
      <c r="B52" s="83" t="s">
        <v>261</v>
      </c>
      <c r="C52" s="101"/>
      <c r="D52" s="101"/>
      <c r="E52" s="101"/>
      <c r="F52" s="422"/>
      <c r="G52" s="85"/>
      <c r="H52" s="91" t="s">
        <v>218</v>
      </c>
      <c r="I52" s="95"/>
      <c r="J52" s="95"/>
      <c r="K52" s="95"/>
      <c r="L52" s="416"/>
    </row>
    <row r="53" spans="1:12" ht="29.25" customHeight="1" x14ac:dyDescent="0.25">
      <c r="A53" s="85"/>
      <c r="B53" s="83" t="s">
        <v>262</v>
      </c>
      <c r="C53" s="101"/>
      <c r="D53" s="101"/>
      <c r="E53" s="101"/>
      <c r="F53" s="422"/>
      <c r="G53" s="85"/>
      <c r="H53" s="91" t="s">
        <v>219</v>
      </c>
      <c r="I53" s="95"/>
      <c r="J53" s="95"/>
      <c r="K53" s="95"/>
      <c r="L53" s="416"/>
    </row>
    <row r="54" spans="1:12" ht="29.25" customHeight="1" x14ac:dyDescent="0.25">
      <c r="A54" s="85"/>
      <c r="B54" s="83" t="s">
        <v>263</v>
      </c>
      <c r="C54" s="101"/>
      <c r="D54" s="101"/>
      <c r="E54" s="101"/>
      <c r="F54" s="422"/>
      <c r="G54" s="71"/>
      <c r="H54" s="71" t="s">
        <v>220</v>
      </c>
      <c r="I54" s="98">
        <f>'4.a műv.ház részletes'!I84</f>
        <v>250000</v>
      </c>
      <c r="J54" s="98">
        <f>'4.a műv.ház részletes'!J84</f>
        <v>250000</v>
      </c>
      <c r="K54" s="98">
        <f>'4.a műv.ház részletes'!K84</f>
        <v>139000</v>
      </c>
      <c r="L54" s="421">
        <f>'4.a műv.ház részletes'!L84</f>
        <v>0.55600000000000005</v>
      </c>
    </row>
    <row r="55" spans="1:12" ht="29.25" customHeight="1" x14ac:dyDescent="0.25">
      <c r="A55" s="85"/>
      <c r="B55" s="83" t="s">
        <v>264</v>
      </c>
      <c r="C55" s="101"/>
      <c r="D55" s="101"/>
      <c r="E55" s="101"/>
      <c r="F55" s="422"/>
      <c r="G55" s="71"/>
      <c r="H55" s="71" t="s">
        <v>221</v>
      </c>
      <c r="I55" s="98">
        <f>'4.a műv.ház részletes'!I85</f>
        <v>1712000</v>
      </c>
      <c r="J55" s="98">
        <f>'4.a műv.ház részletes'!J85</f>
        <v>1712000</v>
      </c>
      <c r="K55" s="98">
        <f>'4.a műv.ház részletes'!K85</f>
        <v>586715</v>
      </c>
      <c r="L55" s="421">
        <f>+K55/J55</f>
        <v>0.34270735981308409</v>
      </c>
    </row>
    <row r="56" spans="1:12" ht="21" customHeight="1" x14ac:dyDescent="0.25">
      <c r="A56" s="85"/>
      <c r="B56" s="83" t="s">
        <v>265</v>
      </c>
      <c r="C56" s="101"/>
      <c r="D56" s="101"/>
      <c r="E56" s="101"/>
      <c r="F56" s="422"/>
      <c r="G56" s="71"/>
      <c r="H56" s="71" t="s">
        <v>222</v>
      </c>
      <c r="I56" s="98"/>
      <c r="J56" s="98"/>
      <c r="K56" s="98"/>
      <c r="L56" s="421"/>
    </row>
    <row r="57" spans="1:12" ht="20.25" customHeight="1" x14ac:dyDescent="0.25">
      <c r="A57" s="234" t="s">
        <v>181</v>
      </c>
      <c r="B57" s="227" t="s">
        <v>284</v>
      </c>
      <c r="C57" s="233">
        <f>SUM(C58:C62)</f>
        <v>0</v>
      </c>
      <c r="D57" s="233">
        <f t="shared" ref="D57:F57" si="13">SUM(D58:D62)</f>
        <v>0</v>
      </c>
      <c r="E57" s="233">
        <f t="shared" si="13"/>
        <v>0</v>
      </c>
      <c r="F57" s="429">
        <f t="shared" si="13"/>
        <v>0</v>
      </c>
      <c r="G57" s="71"/>
      <c r="H57" s="71" t="s">
        <v>223</v>
      </c>
      <c r="I57" s="98"/>
      <c r="J57" s="98"/>
      <c r="K57" s="98"/>
      <c r="L57" s="421"/>
    </row>
    <row r="58" spans="1:12" ht="20.25" customHeight="1" x14ac:dyDescent="0.25">
      <c r="A58" s="85"/>
      <c r="B58" s="88" t="s">
        <v>285</v>
      </c>
      <c r="C58" s="101"/>
      <c r="D58" s="101"/>
      <c r="E58" s="101"/>
      <c r="F58" s="422"/>
      <c r="G58" s="71"/>
      <c r="H58" s="71" t="s">
        <v>224</v>
      </c>
      <c r="I58" s="98">
        <f>'4.a műv.ház részletes'!I88</f>
        <v>529740</v>
      </c>
      <c r="J58" s="98">
        <f>'4.a műv.ház részletes'!J88</f>
        <v>529740</v>
      </c>
      <c r="K58" s="98">
        <f>'4.a műv.ház részletes'!K88</f>
        <v>152744</v>
      </c>
      <c r="L58" s="421">
        <f t="shared" ref="L58" si="14">+K58/J58</f>
        <v>0.2883376750858912</v>
      </c>
    </row>
    <row r="59" spans="1:12" ht="20.25" customHeight="1" x14ac:dyDescent="0.25">
      <c r="A59" s="85"/>
      <c r="B59" s="88" t="s">
        <v>286</v>
      </c>
      <c r="C59" s="101"/>
      <c r="D59" s="101"/>
      <c r="E59" s="101"/>
      <c r="F59" s="422"/>
      <c r="G59" s="229" t="s">
        <v>191</v>
      </c>
      <c r="H59" s="229" t="s">
        <v>225</v>
      </c>
      <c r="I59" s="230">
        <f>SUM(I60:I63)</f>
        <v>0</v>
      </c>
      <c r="J59" s="230">
        <f t="shared" ref="J59:L59" si="15">SUM(J60:J63)</f>
        <v>0</v>
      </c>
      <c r="K59" s="230">
        <f t="shared" si="15"/>
        <v>0</v>
      </c>
      <c r="L59" s="434">
        <f t="shared" si="15"/>
        <v>0</v>
      </c>
    </row>
    <row r="60" spans="1:12" ht="20.25" customHeight="1" x14ac:dyDescent="0.25">
      <c r="A60" s="85"/>
      <c r="B60" s="88" t="s">
        <v>287</v>
      </c>
      <c r="C60" s="101"/>
      <c r="D60" s="101"/>
      <c r="E60" s="101"/>
      <c r="F60" s="422"/>
      <c r="G60" s="71"/>
      <c r="H60" s="71" t="s">
        <v>226</v>
      </c>
      <c r="I60" s="98"/>
      <c r="J60" s="98"/>
      <c r="K60" s="98"/>
      <c r="L60" s="421"/>
    </row>
    <row r="61" spans="1:12" ht="20.25" customHeight="1" x14ac:dyDescent="0.25">
      <c r="A61" s="85"/>
      <c r="B61" s="88" t="s">
        <v>288</v>
      </c>
      <c r="C61" s="101"/>
      <c r="D61" s="101"/>
      <c r="E61" s="101"/>
      <c r="F61" s="422"/>
      <c r="G61" s="71"/>
      <c r="H61" s="71" t="s">
        <v>227</v>
      </c>
      <c r="I61" s="98"/>
      <c r="J61" s="98"/>
      <c r="K61" s="98"/>
      <c r="L61" s="421"/>
    </row>
    <row r="62" spans="1:12" ht="20.25" customHeight="1" x14ac:dyDescent="0.25">
      <c r="A62" s="85"/>
      <c r="B62" s="88" t="s">
        <v>289</v>
      </c>
      <c r="C62" s="101"/>
      <c r="D62" s="101"/>
      <c r="E62" s="101"/>
      <c r="F62" s="422"/>
      <c r="G62" s="71"/>
      <c r="H62" s="71" t="s">
        <v>228</v>
      </c>
      <c r="I62" s="98"/>
      <c r="J62" s="98"/>
      <c r="K62" s="98"/>
      <c r="L62" s="421"/>
    </row>
    <row r="63" spans="1:12" ht="20.25" customHeight="1" x14ac:dyDescent="0.25">
      <c r="A63" s="234" t="s">
        <v>191</v>
      </c>
      <c r="B63" s="235" t="s">
        <v>294</v>
      </c>
      <c r="C63" s="233">
        <f>C64+C65+C66</f>
        <v>0</v>
      </c>
      <c r="D63" s="233">
        <f t="shared" ref="D63:F63" si="16">D64+D65+D66</f>
        <v>0</v>
      </c>
      <c r="E63" s="233">
        <f t="shared" si="16"/>
        <v>0</v>
      </c>
      <c r="F63" s="429">
        <f t="shared" si="16"/>
        <v>0</v>
      </c>
      <c r="G63" s="71"/>
      <c r="H63" s="71" t="s">
        <v>229</v>
      </c>
      <c r="I63" s="98"/>
      <c r="J63" s="98"/>
      <c r="K63" s="98"/>
      <c r="L63" s="421"/>
    </row>
    <row r="64" spans="1:12" ht="25.5" customHeight="1" x14ac:dyDescent="0.25">
      <c r="A64" s="85"/>
      <c r="B64" s="88" t="s">
        <v>295</v>
      </c>
      <c r="C64" s="101"/>
      <c r="D64" s="101"/>
      <c r="E64" s="101"/>
      <c r="F64" s="422"/>
      <c r="G64" s="229" t="s">
        <v>199</v>
      </c>
      <c r="H64" s="229" t="s">
        <v>230</v>
      </c>
      <c r="I64" s="230"/>
      <c r="J64" s="230"/>
      <c r="K64" s="230"/>
      <c r="L64" s="434"/>
    </row>
    <row r="65" spans="1:12" ht="29.25" customHeight="1" x14ac:dyDescent="0.25">
      <c r="A65" s="85"/>
      <c r="B65" s="83" t="s">
        <v>296</v>
      </c>
      <c r="C65" s="101"/>
      <c r="D65" s="101"/>
      <c r="E65" s="101"/>
      <c r="F65" s="422"/>
      <c r="G65" s="71"/>
      <c r="H65" s="71"/>
      <c r="I65" s="98"/>
      <c r="J65" s="98"/>
      <c r="K65" s="98"/>
      <c r="L65" s="421"/>
    </row>
    <row r="66" spans="1:12" ht="21" customHeight="1" x14ac:dyDescent="0.25">
      <c r="A66" s="85"/>
      <c r="B66" s="88" t="s">
        <v>297</v>
      </c>
      <c r="C66" s="101"/>
      <c r="D66" s="101"/>
      <c r="E66" s="101"/>
      <c r="F66" s="422"/>
      <c r="G66" s="71"/>
      <c r="H66" s="71"/>
      <c r="I66" s="98"/>
      <c r="J66" s="98"/>
      <c r="K66" s="98"/>
      <c r="L66" s="421"/>
    </row>
    <row r="67" spans="1:12" ht="20.25" customHeight="1" x14ac:dyDescent="0.25">
      <c r="A67" s="307"/>
      <c r="B67" s="307" t="s">
        <v>298</v>
      </c>
      <c r="C67" s="308">
        <f>C77+C88</f>
        <v>25589460</v>
      </c>
      <c r="D67" s="308">
        <f t="shared" ref="D67:E67" si="17">D77+D88</f>
        <v>26000460</v>
      </c>
      <c r="E67" s="308">
        <f t="shared" si="17"/>
        <v>23157472</v>
      </c>
      <c r="F67" s="414">
        <f>+E67/D67</f>
        <v>0.89065624223571427</v>
      </c>
      <c r="G67" s="306"/>
      <c r="H67" s="307" t="s">
        <v>299</v>
      </c>
      <c r="I67" s="308">
        <f>I76+I87</f>
        <v>0</v>
      </c>
      <c r="J67" s="308">
        <f t="shared" ref="J67:L67" si="18">J76+J87</f>
        <v>0</v>
      </c>
      <c r="K67" s="308">
        <f t="shared" si="18"/>
        <v>0</v>
      </c>
      <c r="L67" s="414">
        <f t="shared" si="18"/>
        <v>0</v>
      </c>
    </row>
    <row r="68" spans="1:12" ht="21" customHeight="1" x14ac:dyDescent="0.25">
      <c r="A68" s="75"/>
      <c r="B68" s="93" t="s">
        <v>300</v>
      </c>
      <c r="C68" s="101"/>
      <c r="D68" s="101"/>
      <c r="E68" s="101"/>
      <c r="F68" s="422"/>
      <c r="G68" s="75"/>
      <c r="H68" s="93" t="s">
        <v>231</v>
      </c>
      <c r="I68" s="101"/>
      <c r="J68" s="101"/>
      <c r="K68" s="101"/>
      <c r="L68" s="422"/>
    </row>
    <row r="69" spans="1:12" ht="20.25" customHeight="1" x14ac:dyDescent="0.25">
      <c r="A69" s="75"/>
      <c r="B69" s="93" t="s">
        <v>301</v>
      </c>
      <c r="C69" s="101"/>
      <c r="D69" s="101"/>
      <c r="E69" s="101"/>
      <c r="F69" s="422"/>
      <c r="G69" s="75"/>
      <c r="H69" s="93" t="s">
        <v>232</v>
      </c>
      <c r="I69" s="101"/>
      <c r="J69" s="101"/>
      <c r="K69" s="101"/>
      <c r="L69" s="422"/>
    </row>
    <row r="70" spans="1:12" ht="20.25" customHeight="1" x14ac:dyDescent="0.25">
      <c r="A70" s="75"/>
      <c r="B70" s="93" t="s">
        <v>302</v>
      </c>
      <c r="C70" s="101"/>
      <c r="D70" s="101"/>
      <c r="E70" s="101"/>
      <c r="F70" s="422"/>
      <c r="G70" s="75"/>
      <c r="H70" s="93" t="s">
        <v>233</v>
      </c>
      <c r="I70" s="101"/>
      <c r="J70" s="101"/>
      <c r="K70" s="101"/>
      <c r="L70" s="422"/>
    </row>
    <row r="71" spans="1:12" ht="20.25" customHeight="1" x14ac:dyDescent="0.25">
      <c r="A71" s="75"/>
      <c r="B71" s="94" t="s">
        <v>303</v>
      </c>
      <c r="C71" s="101">
        <f>C68+C69+C70</f>
        <v>0</v>
      </c>
      <c r="D71" s="101">
        <f t="shared" ref="D71:F71" si="19">D68+D69+D70</f>
        <v>0</v>
      </c>
      <c r="E71" s="101">
        <f t="shared" si="19"/>
        <v>0</v>
      </c>
      <c r="F71" s="422">
        <f t="shared" si="19"/>
        <v>0</v>
      </c>
      <c r="G71" s="75"/>
      <c r="H71" s="94" t="s">
        <v>243</v>
      </c>
      <c r="I71" s="101">
        <f>I68+I69+I70</f>
        <v>0</v>
      </c>
      <c r="J71" s="101">
        <f t="shared" ref="J71:L71" si="20">J68+J69+J70</f>
        <v>0</v>
      </c>
      <c r="K71" s="101">
        <f t="shared" si="20"/>
        <v>0</v>
      </c>
      <c r="L71" s="422">
        <f t="shared" si="20"/>
        <v>0</v>
      </c>
    </row>
    <row r="72" spans="1:12" ht="20.25" customHeight="1" x14ac:dyDescent="0.25">
      <c r="A72" s="75"/>
      <c r="B72" s="69" t="s">
        <v>304</v>
      </c>
      <c r="C72" s="101"/>
      <c r="D72" s="101"/>
      <c r="E72" s="101"/>
      <c r="F72" s="422"/>
      <c r="G72" s="75"/>
      <c r="H72" s="93" t="s">
        <v>235</v>
      </c>
      <c r="I72" s="101"/>
      <c r="J72" s="101"/>
      <c r="K72" s="101"/>
      <c r="L72" s="422"/>
    </row>
    <row r="73" spans="1:12" ht="20.25" customHeight="1" x14ac:dyDescent="0.25">
      <c r="A73" s="75"/>
      <c r="B73" s="69" t="s">
        <v>305</v>
      </c>
      <c r="C73" s="101"/>
      <c r="D73" s="101"/>
      <c r="E73" s="101"/>
      <c r="F73" s="422"/>
      <c r="G73" s="75"/>
      <c r="H73" s="93" t="s">
        <v>1795</v>
      </c>
      <c r="I73" s="101"/>
      <c r="J73" s="101"/>
      <c r="K73" s="101"/>
      <c r="L73" s="422"/>
    </row>
    <row r="74" spans="1:12" ht="20.25" customHeight="1" x14ac:dyDescent="0.25">
      <c r="A74" s="75"/>
      <c r="B74" s="70" t="s">
        <v>306</v>
      </c>
      <c r="C74" s="101">
        <f>C72+C73</f>
        <v>0</v>
      </c>
      <c r="D74" s="101">
        <f t="shared" ref="D74:E74" si="21">D72+D73</f>
        <v>0</v>
      </c>
      <c r="E74" s="101">
        <f t="shared" si="21"/>
        <v>0</v>
      </c>
      <c r="F74" s="422"/>
      <c r="G74" s="75"/>
      <c r="H74" s="94" t="s">
        <v>244</v>
      </c>
      <c r="I74" s="101">
        <f>I72+I73</f>
        <v>0</v>
      </c>
      <c r="J74" s="101">
        <f t="shared" ref="J74:L74" si="22">J72+J73</f>
        <v>0</v>
      </c>
      <c r="K74" s="101">
        <f t="shared" si="22"/>
        <v>0</v>
      </c>
      <c r="L74" s="422">
        <f t="shared" si="22"/>
        <v>0</v>
      </c>
    </row>
    <row r="75" spans="1:12" ht="20.25" customHeight="1" x14ac:dyDescent="0.25">
      <c r="A75" s="75"/>
      <c r="B75" s="70" t="s">
        <v>307</v>
      </c>
      <c r="C75" s="101">
        <f>'4.a műv.ház részletes'!C105</f>
        <v>0</v>
      </c>
      <c r="D75" s="101">
        <f>'4.a műv.ház részletes'!D105</f>
        <v>382515</v>
      </c>
      <c r="E75" s="101">
        <f>'4.a műv.ház részletes'!E105</f>
        <v>382515</v>
      </c>
      <c r="F75" s="422">
        <f t="shared" ref="F75:F76" si="23">+E75/D75</f>
        <v>1</v>
      </c>
      <c r="G75" s="75"/>
      <c r="H75" s="94" t="s">
        <v>236</v>
      </c>
      <c r="I75" s="101"/>
      <c r="J75" s="101"/>
      <c r="K75" s="101"/>
      <c r="L75" s="422"/>
    </row>
    <row r="76" spans="1:12" ht="20.25" customHeight="1" x14ac:dyDescent="0.25">
      <c r="A76" s="75"/>
      <c r="B76" s="70" t="s">
        <v>308</v>
      </c>
      <c r="C76" s="101">
        <f>'4.a műv.ház részletes'!C106</f>
        <v>23097720</v>
      </c>
      <c r="D76" s="101">
        <f>'4.a műv.ház részletes'!D106</f>
        <v>23126205</v>
      </c>
      <c r="E76" s="101">
        <f>'4.a műv.ház részletes'!E106</f>
        <v>21896498</v>
      </c>
      <c r="F76" s="422">
        <f t="shared" si="23"/>
        <v>0.94682625186449743</v>
      </c>
      <c r="G76" s="75"/>
      <c r="H76" s="75" t="s">
        <v>245</v>
      </c>
      <c r="I76" s="109">
        <f>I71+I74+I75</f>
        <v>0</v>
      </c>
      <c r="J76" s="109">
        <f t="shared" ref="J76:L76" si="24">J71+J74+J75</f>
        <v>0</v>
      </c>
      <c r="K76" s="109">
        <f t="shared" si="24"/>
        <v>0</v>
      </c>
      <c r="L76" s="423">
        <f t="shared" si="24"/>
        <v>0</v>
      </c>
    </row>
    <row r="77" spans="1:12" ht="20.25" customHeight="1" x14ac:dyDescent="0.25">
      <c r="A77" s="231"/>
      <c r="B77" s="231" t="s">
        <v>309</v>
      </c>
      <c r="C77" s="233">
        <f>C71+C74+C75+C76</f>
        <v>23097720</v>
      </c>
      <c r="D77" s="233">
        <f t="shared" ref="D77:E77" si="25">D71+D74+D75+D76</f>
        <v>23508720</v>
      </c>
      <c r="E77" s="233">
        <f t="shared" si="25"/>
        <v>22279013</v>
      </c>
      <c r="F77" s="429">
        <f>+E77/D77</f>
        <v>0.94769145236320818</v>
      </c>
      <c r="G77" s="75"/>
      <c r="H77" s="94"/>
      <c r="I77" s="101"/>
      <c r="J77" s="101"/>
      <c r="K77" s="101"/>
      <c r="L77" s="422"/>
    </row>
    <row r="78" spans="1:12" ht="20.25" customHeight="1" x14ac:dyDescent="0.25">
      <c r="A78" s="89"/>
      <c r="B78" s="79"/>
      <c r="C78" s="102"/>
      <c r="D78" s="102"/>
      <c r="E78" s="102"/>
      <c r="F78" s="424"/>
      <c r="G78" s="89"/>
      <c r="H78" s="89"/>
      <c r="I78" s="102"/>
      <c r="J78" s="102"/>
      <c r="K78" s="102"/>
      <c r="L78" s="424"/>
    </row>
    <row r="79" spans="1:12" ht="20.25" customHeight="1" x14ac:dyDescent="0.25">
      <c r="A79" s="75"/>
      <c r="B79" s="93" t="s">
        <v>300</v>
      </c>
      <c r="C79" s="101"/>
      <c r="D79" s="101"/>
      <c r="E79" s="101"/>
      <c r="F79" s="422"/>
      <c r="G79" s="75"/>
      <c r="H79" s="93" t="s">
        <v>231</v>
      </c>
      <c r="I79" s="101"/>
      <c r="J79" s="101"/>
      <c r="K79" s="101"/>
      <c r="L79" s="422"/>
    </row>
    <row r="80" spans="1:12" ht="20.25" customHeight="1" x14ac:dyDescent="0.25">
      <c r="A80" s="75"/>
      <c r="B80" s="93" t="s">
        <v>301</v>
      </c>
      <c r="C80" s="101"/>
      <c r="D80" s="101"/>
      <c r="E80" s="101"/>
      <c r="F80" s="422"/>
      <c r="G80" s="75"/>
      <c r="H80" s="93" t="s">
        <v>232</v>
      </c>
      <c r="I80" s="101"/>
      <c r="J80" s="101"/>
      <c r="K80" s="101"/>
      <c r="L80" s="422"/>
    </row>
    <row r="81" spans="1:12" ht="20.25" customHeight="1" x14ac:dyDescent="0.25">
      <c r="A81" s="75"/>
      <c r="B81" s="93" t="s">
        <v>302</v>
      </c>
      <c r="C81" s="101"/>
      <c r="D81" s="101"/>
      <c r="E81" s="101"/>
      <c r="F81" s="422"/>
      <c r="G81" s="75"/>
      <c r="H81" s="93" t="s">
        <v>233</v>
      </c>
      <c r="I81" s="101"/>
      <c r="J81" s="101"/>
      <c r="K81" s="101"/>
      <c r="L81" s="422"/>
    </row>
    <row r="82" spans="1:12" ht="20.25" customHeight="1" x14ac:dyDescent="0.25">
      <c r="A82" s="75"/>
      <c r="B82" s="94" t="s">
        <v>303</v>
      </c>
      <c r="C82" s="101">
        <f>C79+C80+C81</f>
        <v>0</v>
      </c>
      <c r="D82" s="101">
        <f t="shared" ref="D82:F82" si="26">D79+D80+D81</f>
        <v>0</v>
      </c>
      <c r="E82" s="101">
        <f t="shared" si="26"/>
        <v>0</v>
      </c>
      <c r="F82" s="422">
        <f t="shared" si="26"/>
        <v>0</v>
      </c>
      <c r="G82" s="75"/>
      <c r="H82" s="94" t="s">
        <v>243</v>
      </c>
      <c r="I82" s="101">
        <f>I79+I80+I81</f>
        <v>0</v>
      </c>
      <c r="J82" s="101">
        <f t="shared" ref="J82:L82" si="27">J79+J80+J81</f>
        <v>0</v>
      </c>
      <c r="K82" s="101">
        <f t="shared" si="27"/>
        <v>0</v>
      </c>
      <c r="L82" s="422">
        <f t="shared" si="27"/>
        <v>0</v>
      </c>
    </row>
    <row r="83" spans="1:12" ht="20.25" customHeight="1" x14ac:dyDescent="0.25">
      <c r="A83" s="75"/>
      <c r="B83" s="69" t="s">
        <v>304</v>
      </c>
      <c r="C83" s="101"/>
      <c r="D83" s="101"/>
      <c r="E83" s="101"/>
      <c r="F83" s="422"/>
      <c r="G83" s="75"/>
      <c r="H83" s="93" t="s">
        <v>235</v>
      </c>
      <c r="I83" s="101"/>
      <c r="J83" s="101"/>
      <c r="K83" s="101"/>
      <c r="L83" s="422"/>
    </row>
    <row r="84" spans="1:12" ht="20.25" customHeight="1" x14ac:dyDescent="0.25">
      <c r="A84" s="75"/>
      <c r="B84" s="69" t="s">
        <v>305</v>
      </c>
      <c r="C84" s="101"/>
      <c r="D84" s="101"/>
      <c r="E84" s="101"/>
      <c r="F84" s="422"/>
      <c r="G84" s="75"/>
      <c r="H84" s="93" t="s">
        <v>1795</v>
      </c>
      <c r="I84" s="101"/>
      <c r="J84" s="101"/>
      <c r="K84" s="101"/>
      <c r="L84" s="422"/>
    </row>
    <row r="85" spans="1:12" ht="20.25" customHeight="1" x14ac:dyDescent="0.25">
      <c r="A85" s="75"/>
      <c r="B85" s="70" t="s">
        <v>306</v>
      </c>
      <c r="C85" s="101">
        <f>C83+C84</f>
        <v>0</v>
      </c>
      <c r="D85" s="101">
        <f t="shared" ref="D85:F85" si="28">D83+D84</f>
        <v>0</v>
      </c>
      <c r="E85" s="101">
        <f t="shared" si="28"/>
        <v>0</v>
      </c>
      <c r="F85" s="422">
        <f t="shared" si="28"/>
        <v>0</v>
      </c>
      <c r="G85" s="75"/>
      <c r="H85" s="94" t="s">
        <v>244</v>
      </c>
      <c r="I85" s="101">
        <f>I83+I84</f>
        <v>0</v>
      </c>
      <c r="J85" s="101">
        <f t="shared" ref="J85:L85" si="29">J83+J84</f>
        <v>0</v>
      </c>
      <c r="K85" s="101">
        <f t="shared" si="29"/>
        <v>0</v>
      </c>
      <c r="L85" s="422">
        <f t="shared" si="29"/>
        <v>0</v>
      </c>
    </row>
    <row r="86" spans="1:12" ht="20.25" customHeight="1" x14ac:dyDescent="0.25">
      <c r="A86" s="75"/>
      <c r="B86" s="70" t="s">
        <v>311</v>
      </c>
      <c r="C86" s="101"/>
      <c r="D86" s="101"/>
      <c r="E86" s="101"/>
      <c r="F86" s="422"/>
      <c r="G86" s="75"/>
      <c r="H86" s="94" t="s">
        <v>236</v>
      </c>
      <c r="I86" s="101"/>
      <c r="J86" s="101"/>
      <c r="K86" s="101"/>
      <c r="L86" s="422"/>
    </row>
    <row r="87" spans="1:12" ht="20.25" customHeight="1" x14ac:dyDescent="0.25">
      <c r="A87" s="75"/>
      <c r="B87" s="70" t="s">
        <v>308</v>
      </c>
      <c r="C87" s="101">
        <f>'4.a műv.ház részletes'!C117</f>
        <v>2491740</v>
      </c>
      <c r="D87" s="101">
        <f>'4.a műv.ház részletes'!D117</f>
        <v>2491740</v>
      </c>
      <c r="E87" s="101">
        <f>'4.a műv.ház részletes'!E117</f>
        <v>878459</v>
      </c>
      <c r="F87" s="422">
        <f>+E87/D87</f>
        <v>0.35254841997961262</v>
      </c>
      <c r="G87" s="75"/>
      <c r="H87" s="75" t="s">
        <v>246</v>
      </c>
      <c r="I87" s="109">
        <f>I82+I85+I86</f>
        <v>0</v>
      </c>
      <c r="J87" s="109">
        <f t="shared" ref="J87:L87" si="30">J82+J85+J86</f>
        <v>0</v>
      </c>
      <c r="K87" s="109">
        <f t="shared" si="30"/>
        <v>0</v>
      </c>
      <c r="L87" s="423">
        <f t="shared" si="30"/>
        <v>0</v>
      </c>
    </row>
    <row r="88" spans="1:12" ht="20.25" customHeight="1" x14ac:dyDescent="0.25">
      <c r="A88" s="236"/>
      <c r="B88" s="231" t="s">
        <v>310</v>
      </c>
      <c r="C88" s="233">
        <f>C82+C85+C86+C87</f>
        <v>2491740</v>
      </c>
      <c r="D88" s="233">
        <f t="shared" ref="D88:E88" si="31">D82+D85+D86+D87</f>
        <v>2491740</v>
      </c>
      <c r="E88" s="233">
        <f t="shared" si="31"/>
        <v>878459</v>
      </c>
      <c r="F88" s="429">
        <f>+E88/D88</f>
        <v>0.35254841997961262</v>
      </c>
      <c r="G88" s="107"/>
      <c r="H88" s="94"/>
      <c r="I88" s="101"/>
      <c r="J88" s="101"/>
      <c r="K88" s="101"/>
      <c r="L88" s="422"/>
    </row>
    <row r="89" spans="1:12" ht="20.25" customHeight="1" x14ac:dyDescent="0.25">
      <c r="A89" s="851" t="s">
        <v>143</v>
      </c>
      <c r="B89" s="852"/>
      <c r="C89" s="238">
        <f>C2+C50+C67</f>
        <v>27989460</v>
      </c>
      <c r="D89" s="238">
        <f>D2+D50+D67</f>
        <v>28400460</v>
      </c>
      <c r="E89" s="238">
        <f>E2+E50+E67</f>
        <v>24783891</v>
      </c>
      <c r="F89" s="425">
        <f>+E89/D89</f>
        <v>0.87265808370709486</v>
      </c>
      <c r="G89" s="851" t="s">
        <v>144</v>
      </c>
      <c r="H89" s="852"/>
      <c r="I89" s="238">
        <f>I2+I50+I67</f>
        <v>27989460.333333332</v>
      </c>
      <c r="J89" s="238">
        <f>J2+J50+J67</f>
        <v>28400460</v>
      </c>
      <c r="K89" s="238">
        <f>K2+K50+K67</f>
        <v>24738678</v>
      </c>
      <c r="L89" s="425">
        <f>+K89/J89</f>
        <v>0.87106610245045324</v>
      </c>
    </row>
    <row r="90" spans="1:12" x14ac:dyDescent="0.25">
      <c r="C90" s="113">
        <f>+C89-'4.a műv.ház részletes'!C119</f>
        <v>0</v>
      </c>
      <c r="D90" s="113">
        <f>+D89-'4.a műv.ház részletes'!D119</f>
        <v>0</v>
      </c>
      <c r="E90" s="113">
        <f>+E89-'4.a műv.ház részletes'!E119</f>
        <v>0</v>
      </c>
    </row>
    <row r="91" spans="1:12" x14ac:dyDescent="0.25">
      <c r="I91" s="113">
        <f>C89-I89</f>
        <v>-0.3333333320915699</v>
      </c>
      <c r="J91" s="113">
        <f>D89-J89</f>
        <v>0</v>
      </c>
      <c r="K91" s="113">
        <f>+K89-'4.a műv.ház részletes'!K119</f>
        <v>0</v>
      </c>
    </row>
    <row r="93" spans="1:12" x14ac:dyDescent="0.25">
      <c r="E93" s="813"/>
    </row>
    <row r="94" spans="1:12" x14ac:dyDescent="0.25">
      <c r="E94" s="813"/>
    </row>
    <row r="95" spans="1:12" x14ac:dyDescent="0.25">
      <c r="E95" s="813"/>
    </row>
  </sheetData>
  <mergeCells count="2">
    <mergeCell ref="A89:B89"/>
    <mergeCell ref="G89:H8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&amp;CTaksony Nagyközség Önkormányzat 2018. évi zárszámadás&amp;R4.sz. melléklet</oddHeader>
    <oddFooter xml:space="preserve">&amp;LKészült: &amp;D
&amp;C&amp;P&amp;R/:Kreisz László://:Dr.Micheller Anita:/
/:Szelecki N.Andrea:/       </oddFooter>
  </headerFooter>
  <rowBreaks count="1" manualBreakCount="1">
    <brk id="49" max="11" man="1"/>
  </rowBreaks>
  <colBreaks count="1" manualBreakCount="1">
    <brk id="6" max="9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view="pageBreakPreview" zoomScale="60" zoomScaleNormal="90" workbookViewId="0">
      <pane ySplit="1" topLeftCell="A2" activePane="bottomLeft" state="frozen"/>
      <selection activeCell="L86" sqref="L86"/>
      <selection pane="bottomLeft" activeCell="H39" sqref="H39"/>
    </sheetView>
  </sheetViews>
  <sheetFormatPr defaultRowHeight="15" x14ac:dyDescent="0.25"/>
  <cols>
    <col min="1" max="1" width="6.7109375" style="21" customWidth="1"/>
    <col min="2" max="2" width="68.140625" style="21" customWidth="1"/>
    <col min="3" max="3" width="16.140625" style="21" customWidth="1"/>
    <col min="4" max="4" width="20" style="21" customWidth="1"/>
    <col min="5" max="5" width="18" style="21" customWidth="1"/>
    <col min="6" max="6" width="12.85546875" style="426" customWidth="1"/>
    <col min="7" max="7" width="6.7109375" style="21" customWidth="1"/>
    <col min="8" max="8" width="71.5703125" style="21" customWidth="1"/>
    <col min="9" max="9" width="20.7109375" style="21" customWidth="1"/>
    <col min="10" max="10" width="17.42578125" style="21" customWidth="1"/>
    <col min="11" max="11" width="18.140625" style="21" customWidth="1"/>
    <col min="12" max="12" width="14.140625" style="426" customWidth="1"/>
    <col min="13" max="16384" width="9.140625" style="21"/>
  </cols>
  <sheetData>
    <row r="1" spans="1:12" ht="40.5" customHeight="1" x14ac:dyDescent="0.25">
      <c r="A1" s="76"/>
      <c r="B1" s="77" t="s">
        <v>505</v>
      </c>
      <c r="C1" s="76" t="s">
        <v>1129</v>
      </c>
      <c r="D1" s="76" t="s">
        <v>1130</v>
      </c>
      <c r="E1" s="76" t="s">
        <v>1733</v>
      </c>
      <c r="F1" s="403" t="s">
        <v>1131</v>
      </c>
      <c r="G1" s="76"/>
      <c r="H1" s="77" t="s">
        <v>506</v>
      </c>
      <c r="I1" s="76" t="s">
        <v>1129</v>
      </c>
      <c r="J1" s="76" t="s">
        <v>1130</v>
      </c>
      <c r="K1" s="76" t="s">
        <v>1733</v>
      </c>
      <c r="L1" s="403" t="s">
        <v>1131</v>
      </c>
    </row>
    <row r="2" spans="1:12" ht="20.25" customHeight="1" x14ac:dyDescent="0.25">
      <c r="A2" s="306"/>
      <c r="B2" s="307" t="s">
        <v>180</v>
      </c>
      <c r="C2" s="308">
        <f>C3+C22+C24+C57</f>
        <v>2400000</v>
      </c>
      <c r="D2" s="308">
        <f t="shared" ref="D2:E2" si="0">D3+D22+D24+D57</f>
        <v>2400000</v>
      </c>
      <c r="E2" s="308">
        <f t="shared" si="0"/>
        <v>1626419</v>
      </c>
      <c r="F2" s="414">
        <f>+E2/D2</f>
        <v>0.6776745833333333</v>
      </c>
      <c r="G2" s="306"/>
      <c r="H2" s="307" t="s">
        <v>196</v>
      </c>
      <c r="I2" s="308">
        <f>I3+I17+I22+I66+I73</f>
        <v>25497720.333333332</v>
      </c>
      <c r="J2" s="308">
        <f t="shared" ref="J2:K2" si="1">J3+J17+J22+J66+J73</f>
        <v>25908720</v>
      </c>
      <c r="K2" s="308">
        <f t="shared" si="1"/>
        <v>23860219</v>
      </c>
      <c r="L2" s="414">
        <f>+K2/J2</f>
        <v>0.92093391722941154</v>
      </c>
    </row>
    <row r="3" spans="1:12" ht="20.25" customHeight="1" x14ac:dyDescent="0.25">
      <c r="A3" s="231" t="s">
        <v>23</v>
      </c>
      <c r="B3" s="232" t="s">
        <v>402</v>
      </c>
      <c r="C3" s="233">
        <f>C4+C12+C13+C14+C15+C16</f>
        <v>0</v>
      </c>
      <c r="D3" s="233">
        <f t="shared" ref="D3:E3" si="2">D4+D12+D13+D14+D15+D16</f>
        <v>0</v>
      </c>
      <c r="E3" s="233">
        <f t="shared" si="2"/>
        <v>0</v>
      </c>
      <c r="F3" s="415">
        <v>0</v>
      </c>
      <c r="G3" s="231" t="s">
        <v>23</v>
      </c>
      <c r="H3" s="227" t="s">
        <v>313</v>
      </c>
      <c r="I3" s="228">
        <f>I12+I16</f>
        <v>11808300</v>
      </c>
      <c r="J3" s="228">
        <f t="shared" ref="J3:K3" si="3">J12+J16</f>
        <v>11808300</v>
      </c>
      <c r="K3" s="228">
        <f t="shared" si="3"/>
        <v>11159891</v>
      </c>
      <c r="L3" s="415">
        <f>+K3/J3</f>
        <v>0.94508870878958018</v>
      </c>
    </row>
    <row r="4" spans="1:12" ht="20.25" customHeight="1" x14ac:dyDescent="0.25">
      <c r="A4" s="70"/>
      <c r="B4" s="108" t="s">
        <v>443</v>
      </c>
      <c r="C4" s="106">
        <f>SUM(C5:C8)</f>
        <v>0</v>
      </c>
      <c r="D4" s="106">
        <f t="shared" ref="D4:E4" si="4">SUM(D5:D8)</f>
        <v>0</v>
      </c>
      <c r="E4" s="106">
        <f t="shared" si="4"/>
        <v>0</v>
      </c>
      <c r="F4" s="416">
        <v>0</v>
      </c>
      <c r="G4" s="80"/>
      <c r="H4" s="69" t="s">
        <v>1127</v>
      </c>
      <c r="I4" s="95">
        <f>10071500+934000</f>
        <v>11005500</v>
      </c>
      <c r="J4" s="95">
        <v>10596500</v>
      </c>
      <c r="K4" s="95">
        <v>10057429</v>
      </c>
      <c r="L4" s="416">
        <f>+K4/J4</f>
        <v>0.94912744774217905</v>
      </c>
    </row>
    <row r="5" spans="1:12" ht="24" customHeight="1" x14ac:dyDescent="0.25">
      <c r="A5" s="80"/>
      <c r="B5" s="83" t="s">
        <v>404</v>
      </c>
      <c r="C5" s="106"/>
      <c r="D5" s="106"/>
      <c r="E5" s="106"/>
      <c r="F5" s="427"/>
      <c r="G5" s="80"/>
      <c r="H5" s="69" t="s">
        <v>314</v>
      </c>
      <c r="I5" s="95"/>
      <c r="J5" s="95"/>
      <c r="K5" s="95"/>
      <c r="L5" s="416"/>
    </row>
    <row r="6" spans="1:12" ht="24" customHeight="1" x14ac:dyDescent="0.25">
      <c r="A6" s="80"/>
      <c r="B6" s="83" t="s">
        <v>405</v>
      </c>
      <c r="C6" s="106"/>
      <c r="D6" s="106"/>
      <c r="E6" s="106"/>
      <c r="F6" s="427"/>
      <c r="G6" s="80"/>
      <c r="H6" s="69" t="s">
        <v>315</v>
      </c>
      <c r="I6" s="95"/>
      <c r="J6" s="95"/>
      <c r="K6" s="95"/>
      <c r="L6" s="416"/>
    </row>
    <row r="7" spans="1:12" ht="30" x14ac:dyDescent="0.25">
      <c r="A7" s="80"/>
      <c r="B7" s="83" t="s">
        <v>657</v>
      </c>
      <c r="C7" s="106"/>
      <c r="D7" s="106"/>
      <c r="E7" s="106"/>
      <c r="F7" s="427"/>
      <c r="G7" s="80"/>
      <c r="H7" s="69" t="s">
        <v>316</v>
      </c>
      <c r="I7" s="95"/>
      <c r="J7" s="95"/>
      <c r="K7" s="95"/>
      <c r="L7" s="416"/>
    </row>
    <row r="8" spans="1:12" ht="22.5" customHeight="1" x14ac:dyDescent="0.25">
      <c r="A8" s="80"/>
      <c r="B8" s="83" t="s">
        <v>406</v>
      </c>
      <c r="C8" s="106"/>
      <c r="D8" s="106"/>
      <c r="E8" s="106"/>
      <c r="F8" s="427"/>
      <c r="G8" s="80"/>
      <c r="H8" s="69" t="s">
        <v>683</v>
      </c>
      <c r="I8" s="95">
        <f>12*8000*3.5+9*8000*0.5+I37*127%*20%+32</f>
        <v>420800</v>
      </c>
      <c r="J8" s="95">
        <v>773800</v>
      </c>
      <c r="K8" s="95">
        <v>772817</v>
      </c>
      <c r="L8" s="416">
        <f t="shared" ref="L8:L16" si="5">+K8/J8</f>
        <v>0.99872964590333424</v>
      </c>
    </row>
    <row r="9" spans="1:12" ht="24.75" customHeight="1" x14ac:dyDescent="0.25">
      <c r="A9" s="80"/>
      <c r="B9" s="83" t="s">
        <v>658</v>
      </c>
      <c r="C9" s="81" t="s">
        <v>253</v>
      </c>
      <c r="D9" s="81" t="s">
        <v>253</v>
      </c>
      <c r="E9" s="81"/>
      <c r="F9" s="427"/>
      <c r="G9" s="80"/>
      <c r="H9" s="69" t="s">
        <v>317</v>
      </c>
      <c r="I9" s="95">
        <v>52000</v>
      </c>
      <c r="J9" s="95">
        <v>108000</v>
      </c>
      <c r="K9" s="95">
        <v>93165</v>
      </c>
      <c r="L9" s="416">
        <f t="shared" si="5"/>
        <v>0.86263888888888884</v>
      </c>
    </row>
    <row r="10" spans="1:12" ht="18" customHeight="1" x14ac:dyDescent="0.25">
      <c r="A10" s="80"/>
      <c r="B10" s="83" t="s">
        <v>659</v>
      </c>
      <c r="C10" s="81" t="s">
        <v>253</v>
      </c>
      <c r="D10" s="81" t="s">
        <v>253</v>
      </c>
      <c r="E10" s="81"/>
      <c r="F10" s="427"/>
      <c r="G10" s="84"/>
      <c r="H10" s="69" t="s">
        <v>318</v>
      </c>
      <c r="I10" s="203"/>
      <c r="J10" s="203"/>
      <c r="K10" s="203"/>
      <c r="L10" s="416"/>
    </row>
    <row r="11" spans="1:12" ht="20.25" customHeight="1" x14ac:dyDescent="0.25">
      <c r="A11" s="80"/>
      <c r="B11" s="111"/>
      <c r="C11" s="87"/>
      <c r="D11" s="87"/>
      <c r="E11" s="87"/>
      <c r="F11" s="422"/>
      <c r="G11" s="84"/>
      <c r="H11" s="69" t="s">
        <v>319</v>
      </c>
      <c r="I11" s="97"/>
      <c r="J11" s="97"/>
      <c r="K11" s="97"/>
      <c r="L11" s="416"/>
    </row>
    <row r="12" spans="1:12" ht="20.25" customHeight="1" x14ac:dyDescent="0.25">
      <c r="A12" s="80"/>
      <c r="B12" s="83" t="s">
        <v>409</v>
      </c>
      <c r="C12" s="87"/>
      <c r="D12" s="87"/>
      <c r="E12" s="87"/>
      <c r="F12" s="422"/>
      <c r="G12" s="84"/>
      <c r="H12" s="70" t="s">
        <v>320</v>
      </c>
      <c r="I12" s="104">
        <f>I4+I5+I6+I7+I8+I9+I10+I11</f>
        <v>11478300</v>
      </c>
      <c r="J12" s="104">
        <f t="shared" ref="J12:K12" si="6">J4+J5+J6+J7+J8+J9+J10+J11</f>
        <v>11478300</v>
      </c>
      <c r="K12" s="104">
        <f t="shared" si="6"/>
        <v>10923411</v>
      </c>
      <c r="L12" s="416">
        <f t="shared" si="5"/>
        <v>0.95165756253103684</v>
      </c>
    </row>
    <row r="13" spans="1:12" ht="30" x14ac:dyDescent="0.25">
      <c r="A13" s="70"/>
      <c r="B13" s="83" t="s">
        <v>410</v>
      </c>
      <c r="C13" s="106"/>
      <c r="D13" s="106"/>
      <c r="E13" s="106"/>
      <c r="F13" s="427"/>
      <c r="G13" s="84"/>
      <c r="H13" s="69" t="s">
        <v>321</v>
      </c>
      <c r="I13" s="97"/>
      <c r="J13" s="97"/>
      <c r="K13" s="97"/>
      <c r="L13" s="416"/>
    </row>
    <row r="14" spans="1:12" ht="29.25" customHeight="1" x14ac:dyDescent="0.25">
      <c r="A14" s="70"/>
      <c r="B14" s="83" t="s">
        <v>411</v>
      </c>
      <c r="C14" s="106"/>
      <c r="D14" s="106"/>
      <c r="E14" s="106"/>
      <c r="F14" s="427"/>
      <c r="G14" s="84"/>
      <c r="H14" s="69" t="s">
        <v>709</v>
      </c>
      <c r="I14" s="104">
        <v>200000</v>
      </c>
      <c r="J14" s="104">
        <v>200000</v>
      </c>
      <c r="K14" s="104">
        <v>114299</v>
      </c>
      <c r="L14" s="416">
        <f t="shared" si="5"/>
        <v>0.57149499999999998</v>
      </c>
    </row>
    <row r="15" spans="1:12" ht="29.25" customHeight="1" x14ac:dyDescent="0.25">
      <c r="A15" s="70"/>
      <c r="B15" s="83" t="s">
        <v>412</v>
      </c>
      <c r="C15" s="106"/>
      <c r="D15" s="106"/>
      <c r="E15" s="106"/>
      <c r="F15" s="427"/>
      <c r="G15" s="84"/>
      <c r="H15" s="69" t="s">
        <v>686</v>
      </c>
      <c r="I15" s="104">
        <v>130000</v>
      </c>
      <c r="J15" s="104">
        <v>130000</v>
      </c>
      <c r="K15" s="104">
        <v>122181</v>
      </c>
      <c r="L15" s="416">
        <f t="shared" si="5"/>
        <v>0.93985384615384615</v>
      </c>
    </row>
    <row r="16" spans="1:12" ht="21" customHeight="1" x14ac:dyDescent="0.25">
      <c r="A16" s="70"/>
      <c r="B16" s="83" t="s">
        <v>413</v>
      </c>
      <c r="C16" s="106"/>
      <c r="D16" s="106"/>
      <c r="E16" s="106"/>
      <c r="F16" s="427"/>
      <c r="G16" s="84"/>
      <c r="H16" s="70" t="s">
        <v>324</v>
      </c>
      <c r="I16" s="104">
        <f>I13+I14+I15</f>
        <v>330000</v>
      </c>
      <c r="J16" s="104">
        <f t="shared" ref="J16:K16" si="7">J13+J14+J15</f>
        <v>330000</v>
      </c>
      <c r="K16" s="104">
        <f t="shared" si="7"/>
        <v>236480</v>
      </c>
      <c r="L16" s="416">
        <f t="shared" si="5"/>
        <v>0.71660606060606058</v>
      </c>
    </row>
    <row r="17" spans="1:13" ht="18.75" customHeight="1" x14ac:dyDescent="0.25">
      <c r="A17" s="70"/>
      <c r="B17" s="83"/>
      <c r="C17" s="106"/>
      <c r="D17" s="106"/>
      <c r="E17" s="106"/>
      <c r="F17" s="427"/>
      <c r="G17" s="231" t="s">
        <v>45</v>
      </c>
      <c r="H17" s="227" t="s">
        <v>325</v>
      </c>
      <c r="I17" s="228">
        <f>SUM(I18:I20)</f>
        <v>2385170</v>
      </c>
      <c r="J17" s="228">
        <f t="shared" ref="J17:K17" si="8">SUM(J18:J20)</f>
        <v>2385170</v>
      </c>
      <c r="K17" s="228">
        <f t="shared" si="8"/>
        <v>2344577</v>
      </c>
      <c r="L17" s="415">
        <f>+K17/J17</f>
        <v>0.98298108730195333</v>
      </c>
      <c r="M17" s="113"/>
    </row>
    <row r="18" spans="1:13" ht="18.75" customHeight="1" x14ac:dyDescent="0.25">
      <c r="A18" s="70"/>
      <c r="B18" s="83"/>
      <c r="C18" s="106"/>
      <c r="D18" s="106"/>
      <c r="E18" s="106"/>
      <c r="F18" s="427"/>
      <c r="G18" s="80"/>
      <c r="H18" s="93" t="s">
        <v>799</v>
      </c>
      <c r="I18" s="104">
        <v>2185070</v>
      </c>
      <c r="J18" s="104">
        <f>2385170-354000</f>
        <v>2031170</v>
      </c>
      <c r="K18" s="104">
        <v>1991189</v>
      </c>
      <c r="L18" s="418">
        <f>+K18/J18</f>
        <v>0.98031627091774687</v>
      </c>
    </row>
    <row r="19" spans="1:13" ht="18.75" customHeight="1" x14ac:dyDescent="0.25">
      <c r="A19" s="70"/>
      <c r="B19" s="83"/>
      <c r="C19" s="106"/>
      <c r="D19" s="106"/>
      <c r="E19" s="106"/>
      <c r="F19" s="427"/>
      <c r="G19" s="80"/>
      <c r="H19" s="93" t="s">
        <v>760</v>
      </c>
      <c r="I19" s="104">
        <v>102600</v>
      </c>
      <c r="J19" s="104">
        <v>183000</v>
      </c>
      <c r="K19" s="104">
        <v>182866</v>
      </c>
      <c r="L19" s="418">
        <f t="shared" ref="L19:L20" si="9">+K19/J19</f>
        <v>0.99926775956284153</v>
      </c>
    </row>
    <row r="20" spans="1:13" ht="18.75" customHeight="1" x14ac:dyDescent="0.25">
      <c r="A20" s="70"/>
      <c r="B20" s="83"/>
      <c r="C20" s="106"/>
      <c r="D20" s="106"/>
      <c r="E20" s="106"/>
      <c r="F20" s="427"/>
      <c r="G20" s="80"/>
      <c r="H20" s="93" t="s">
        <v>687</v>
      </c>
      <c r="I20" s="104">
        <v>97500</v>
      </c>
      <c r="J20" s="104">
        <v>171000</v>
      </c>
      <c r="K20" s="104">
        <v>170522</v>
      </c>
      <c r="L20" s="418">
        <f t="shared" si="9"/>
        <v>0.99720467836257309</v>
      </c>
    </row>
    <row r="21" spans="1:13" ht="18.75" customHeight="1" x14ac:dyDescent="0.25">
      <c r="A21" s="70"/>
      <c r="B21" s="83"/>
      <c r="C21" s="106"/>
      <c r="D21" s="106"/>
      <c r="E21" s="106"/>
      <c r="F21" s="427"/>
      <c r="G21" s="80"/>
      <c r="H21" s="82"/>
      <c r="I21" s="97"/>
      <c r="J21" s="97"/>
      <c r="K21" s="97"/>
      <c r="L21" s="419"/>
    </row>
    <row r="22" spans="1:13" ht="20.25" customHeight="1" x14ac:dyDescent="0.25">
      <c r="A22" s="70" t="s">
        <v>45</v>
      </c>
      <c r="B22" s="83" t="s">
        <v>445</v>
      </c>
      <c r="C22" s="103">
        <f>0</f>
        <v>0</v>
      </c>
      <c r="D22" s="103">
        <f>0</f>
        <v>0</v>
      </c>
      <c r="E22" s="103">
        <f>0</f>
        <v>0</v>
      </c>
      <c r="F22" s="432">
        <f>0</f>
        <v>0</v>
      </c>
      <c r="G22" s="234" t="s">
        <v>56</v>
      </c>
      <c r="H22" s="232" t="s">
        <v>326</v>
      </c>
      <c r="I22" s="228">
        <f>I35+I38+I54+I57+I65</f>
        <v>11304250.333333332</v>
      </c>
      <c r="J22" s="228">
        <f t="shared" ref="J22:K22" si="10">J35+J38+J54+J57+J65</f>
        <v>11715250</v>
      </c>
      <c r="K22" s="228">
        <f t="shared" si="10"/>
        <v>10355751</v>
      </c>
      <c r="L22" s="415">
        <f>+K22/J22</f>
        <v>0.8839547598216001</v>
      </c>
    </row>
    <row r="23" spans="1:13" ht="20.25" customHeight="1" x14ac:dyDescent="0.25">
      <c r="A23" s="70"/>
      <c r="B23" s="83"/>
      <c r="C23" s="95"/>
      <c r="D23" s="95"/>
      <c r="E23" s="95"/>
      <c r="F23" s="416"/>
      <c r="G23" s="71"/>
      <c r="H23" s="71" t="s">
        <v>327</v>
      </c>
      <c r="I23" s="104">
        <f>SUM(I24:I26)</f>
        <v>792450.33333333326</v>
      </c>
      <c r="J23" s="104">
        <f t="shared" ref="J23:K23" si="11">SUM(J24:J26)</f>
        <v>962450</v>
      </c>
      <c r="K23" s="104">
        <f t="shared" si="11"/>
        <v>876251</v>
      </c>
      <c r="L23" s="418">
        <f t="shared" ref="L23:L65" si="12">+K23/J23</f>
        <v>0.91043794482830276</v>
      </c>
    </row>
    <row r="24" spans="1:13" ht="20.25" customHeight="1" x14ac:dyDescent="0.25">
      <c r="A24" s="70" t="s">
        <v>56</v>
      </c>
      <c r="B24" s="83" t="s">
        <v>444</v>
      </c>
      <c r="C24" s="103">
        <f>C25+C26+C32+C33+C34+C40+C41+C42+C43+C44</f>
        <v>2400000</v>
      </c>
      <c r="D24" s="103">
        <f t="shared" ref="D24:E24" si="13">D25+D26+D32+D33+D34+D40+D41+D42+D43+D44</f>
        <v>2400000</v>
      </c>
      <c r="E24" s="103">
        <f t="shared" si="13"/>
        <v>1626419</v>
      </c>
      <c r="F24" s="432">
        <f>+E24/D24</f>
        <v>0.6776745833333333</v>
      </c>
      <c r="G24" s="71"/>
      <c r="H24" s="71" t="s">
        <v>328</v>
      </c>
      <c r="I24" s="104">
        <v>10000</v>
      </c>
      <c r="J24" s="104">
        <v>10000</v>
      </c>
      <c r="K24" s="104"/>
      <c r="L24" s="418">
        <f t="shared" si="12"/>
        <v>0</v>
      </c>
    </row>
    <row r="25" spans="1:13" ht="20.25" customHeight="1" x14ac:dyDescent="0.25">
      <c r="A25" s="85"/>
      <c r="B25" s="88" t="s">
        <v>446</v>
      </c>
      <c r="C25" s="101"/>
      <c r="D25" s="101"/>
      <c r="E25" s="101"/>
      <c r="F25" s="422"/>
      <c r="G25" s="71"/>
      <c r="H25" s="71" t="s">
        <v>329</v>
      </c>
      <c r="I25" s="104">
        <f>7690760*10%/105%+50000-3</f>
        <v>782450.33333333326</v>
      </c>
      <c r="J25" s="104">
        <v>952450</v>
      </c>
      <c r="K25" s="204">
        <v>876251</v>
      </c>
      <c r="L25" s="418">
        <f t="shared" si="12"/>
        <v>0.91999685022835842</v>
      </c>
    </row>
    <row r="26" spans="1:13" ht="20.25" customHeight="1" x14ac:dyDescent="0.25">
      <c r="A26" s="85"/>
      <c r="B26" s="88" t="s">
        <v>447</v>
      </c>
      <c r="C26" s="101">
        <f>SUM(C27:C31)</f>
        <v>2400000</v>
      </c>
      <c r="D26" s="101">
        <f t="shared" ref="D26" si="14">SUM(D27:D31)</f>
        <v>2400000</v>
      </c>
      <c r="E26" s="101">
        <f>SUM(E27:E31)</f>
        <v>1566950</v>
      </c>
      <c r="F26" s="422">
        <f>+E26/D26</f>
        <v>0.65289583333333334</v>
      </c>
      <c r="G26" s="71"/>
      <c r="H26" s="71" t="s">
        <v>330</v>
      </c>
      <c r="I26" s="104">
        <v>0</v>
      </c>
      <c r="J26" s="104">
        <v>0</v>
      </c>
      <c r="K26" s="104"/>
      <c r="L26" s="418"/>
    </row>
    <row r="27" spans="1:13" ht="20.25" customHeight="1" x14ac:dyDescent="0.25">
      <c r="A27" s="85"/>
      <c r="B27" s="88" t="s">
        <v>466</v>
      </c>
      <c r="C27" s="101">
        <v>2000000</v>
      </c>
      <c r="D27" s="101">
        <v>2000000</v>
      </c>
      <c r="E27" s="101">
        <v>1239450</v>
      </c>
      <c r="F27" s="422">
        <f t="shared" ref="F27:F31" si="15">+E27/D27</f>
        <v>0.61972499999999997</v>
      </c>
      <c r="G27" s="71"/>
      <c r="H27" s="71" t="s">
        <v>337</v>
      </c>
      <c r="I27" s="104">
        <f>SUM(I28:I33)</f>
        <v>2190000</v>
      </c>
      <c r="J27" s="104">
        <f t="shared" ref="J27:K27" si="16">SUM(J28:J33)</f>
        <v>1288800</v>
      </c>
      <c r="K27" s="104">
        <f t="shared" si="16"/>
        <v>1284238</v>
      </c>
      <c r="L27" s="418">
        <f t="shared" si="12"/>
        <v>0.99646027312228425</v>
      </c>
    </row>
    <row r="28" spans="1:13" ht="20.25" customHeight="1" x14ac:dyDescent="0.25">
      <c r="A28" s="85"/>
      <c r="B28" s="88" t="s">
        <v>464</v>
      </c>
      <c r="C28" s="101"/>
      <c r="D28" s="101"/>
      <c r="E28" s="101"/>
      <c r="F28" s="422"/>
      <c r="G28" s="71"/>
      <c r="H28" s="71" t="s">
        <v>331</v>
      </c>
      <c r="I28" s="104"/>
      <c r="J28" s="104"/>
      <c r="K28" s="104"/>
      <c r="L28" s="418"/>
    </row>
    <row r="29" spans="1:13" ht="20.25" customHeight="1" x14ac:dyDescent="0.25">
      <c r="A29" s="85"/>
      <c r="B29" s="88" t="s">
        <v>708</v>
      </c>
      <c r="C29" s="101">
        <f>25000*12</f>
        <v>300000</v>
      </c>
      <c r="D29" s="101">
        <f t="shared" ref="D29" si="17">25000*12</f>
        <v>300000</v>
      </c>
      <c r="E29" s="101">
        <v>300000</v>
      </c>
      <c r="F29" s="422">
        <f t="shared" si="15"/>
        <v>1</v>
      </c>
      <c r="G29" s="71"/>
      <c r="H29" s="71" t="s">
        <v>332</v>
      </c>
      <c r="I29" s="104">
        <v>60000</v>
      </c>
      <c r="J29" s="104">
        <v>55000</v>
      </c>
      <c r="K29" s="104">
        <v>51783</v>
      </c>
      <c r="L29" s="418">
        <f t="shared" si="12"/>
        <v>0.94150909090909096</v>
      </c>
    </row>
    <row r="30" spans="1:13" ht="20.25" customHeight="1" x14ac:dyDescent="0.25">
      <c r="A30" s="85"/>
      <c r="B30" s="88" t="s">
        <v>497</v>
      </c>
      <c r="C30" s="101"/>
      <c r="D30" s="101"/>
      <c r="E30" s="101"/>
      <c r="F30" s="422"/>
      <c r="G30" s="71"/>
      <c r="H30" s="71" t="s">
        <v>333</v>
      </c>
      <c r="I30" s="104">
        <v>100000</v>
      </c>
      <c r="J30" s="104">
        <v>0</v>
      </c>
      <c r="K30" s="104"/>
      <c r="L30" s="418"/>
    </row>
    <row r="31" spans="1:13" ht="20.25" customHeight="1" x14ac:dyDescent="0.25">
      <c r="A31" s="85"/>
      <c r="B31" s="88" t="s">
        <v>498</v>
      </c>
      <c r="C31" s="101">
        <v>100000</v>
      </c>
      <c r="D31" s="101">
        <v>100000</v>
      </c>
      <c r="E31" s="101">
        <v>27500</v>
      </c>
      <c r="F31" s="422">
        <f t="shared" si="15"/>
        <v>0.27500000000000002</v>
      </c>
      <c r="G31" s="71"/>
      <c r="H31" s="71" t="s">
        <v>334</v>
      </c>
      <c r="I31" s="97"/>
      <c r="J31" s="97"/>
      <c r="K31" s="97"/>
      <c r="L31" s="418"/>
    </row>
    <row r="32" spans="1:13" ht="20.25" customHeight="1" x14ac:dyDescent="0.25">
      <c r="A32" s="85"/>
      <c r="B32" s="88" t="s">
        <v>448</v>
      </c>
      <c r="C32" s="101">
        <v>0</v>
      </c>
      <c r="D32" s="101">
        <v>0</v>
      </c>
      <c r="E32" s="101">
        <v>3175</v>
      </c>
      <c r="F32" s="422"/>
      <c r="G32" s="71"/>
      <c r="H32" s="71" t="s">
        <v>335</v>
      </c>
      <c r="I32" s="97"/>
      <c r="J32" s="97"/>
      <c r="K32" s="97"/>
      <c r="L32" s="418"/>
    </row>
    <row r="33" spans="1:12" ht="20.25" customHeight="1" x14ac:dyDescent="0.25">
      <c r="A33" s="85"/>
      <c r="B33" s="88" t="s">
        <v>449</v>
      </c>
      <c r="C33" s="101"/>
      <c r="D33" s="101"/>
      <c r="E33" s="101"/>
      <c r="F33" s="422"/>
      <c r="G33" s="71"/>
      <c r="H33" s="71" t="s">
        <v>1128</v>
      </c>
      <c r="I33" s="104">
        <f>1530000+500000</f>
        <v>2030000</v>
      </c>
      <c r="J33" s="104">
        <f>1228800+5000</f>
        <v>1233800</v>
      </c>
      <c r="K33" s="104">
        <v>1232455</v>
      </c>
      <c r="L33" s="418">
        <f t="shared" si="12"/>
        <v>0.99890987194034686</v>
      </c>
    </row>
    <row r="34" spans="1:12" ht="20.25" customHeight="1" x14ac:dyDescent="0.25">
      <c r="A34" s="85"/>
      <c r="B34" s="88" t="s">
        <v>450</v>
      </c>
      <c r="C34" s="101">
        <f>SUM(C35:C39)</f>
        <v>0</v>
      </c>
      <c r="D34" s="101">
        <f t="shared" ref="D34:F34" si="18">SUM(D35:D39)</f>
        <v>0</v>
      </c>
      <c r="E34" s="101">
        <f t="shared" si="18"/>
        <v>0</v>
      </c>
      <c r="F34" s="422">
        <f t="shared" si="18"/>
        <v>0</v>
      </c>
      <c r="G34" s="71"/>
      <c r="H34" s="71" t="s">
        <v>338</v>
      </c>
      <c r="I34" s="97"/>
      <c r="J34" s="97"/>
      <c r="K34" s="97"/>
      <c r="L34" s="418"/>
    </row>
    <row r="35" spans="1:12" ht="20.25" customHeight="1" x14ac:dyDescent="0.25">
      <c r="A35" s="85"/>
      <c r="B35" s="21" t="s">
        <v>494</v>
      </c>
      <c r="C35" s="101"/>
      <c r="D35" s="101"/>
      <c r="E35" s="101"/>
      <c r="F35" s="422"/>
      <c r="G35" s="71"/>
      <c r="H35" s="72" t="s">
        <v>339</v>
      </c>
      <c r="I35" s="104">
        <f>I23+I27+I34</f>
        <v>2982450.333333333</v>
      </c>
      <c r="J35" s="104">
        <f t="shared" ref="J35:K35" si="19">J23+J27+J34</f>
        <v>2251250</v>
      </c>
      <c r="K35" s="104">
        <f t="shared" si="19"/>
        <v>2160489</v>
      </c>
      <c r="L35" s="418">
        <f t="shared" si="12"/>
        <v>0.95968417545807883</v>
      </c>
    </row>
    <row r="36" spans="1:12" ht="29.25" customHeight="1" x14ac:dyDescent="0.25">
      <c r="A36" s="85"/>
      <c r="B36" s="87" t="s">
        <v>495</v>
      </c>
      <c r="C36" s="101"/>
      <c r="D36" s="101"/>
      <c r="E36" s="101"/>
      <c r="F36" s="422"/>
      <c r="G36" s="71"/>
      <c r="H36" s="112" t="s">
        <v>800</v>
      </c>
      <c r="I36" s="104">
        <f>70000+6000*12</f>
        <v>142000</v>
      </c>
      <c r="J36" s="104">
        <v>148000</v>
      </c>
      <c r="K36" s="104">
        <v>141400</v>
      </c>
      <c r="L36" s="418">
        <f t="shared" si="12"/>
        <v>0.95540540540540542</v>
      </c>
    </row>
    <row r="37" spans="1:12" ht="20.25" customHeight="1" x14ac:dyDescent="0.25">
      <c r="A37" s="85"/>
      <c r="B37" s="87" t="s">
        <v>493</v>
      </c>
      <c r="C37" s="101"/>
      <c r="D37" s="101"/>
      <c r="E37" s="101"/>
      <c r="F37" s="422"/>
      <c r="G37" s="71"/>
      <c r="H37" s="71" t="s">
        <v>489</v>
      </c>
      <c r="I37" s="104">
        <f>10000*12+6000*12</f>
        <v>192000</v>
      </c>
      <c r="J37" s="104">
        <v>232000</v>
      </c>
      <c r="K37" s="104">
        <v>224316</v>
      </c>
      <c r="L37" s="418">
        <f t="shared" si="12"/>
        <v>0.96687931034482755</v>
      </c>
    </row>
    <row r="38" spans="1:12" ht="20.25" customHeight="1" x14ac:dyDescent="0.25">
      <c r="A38" s="85"/>
      <c r="B38" s="87" t="s">
        <v>451</v>
      </c>
      <c r="C38" s="101"/>
      <c r="D38" s="101"/>
      <c r="E38" s="101"/>
      <c r="F38" s="422"/>
      <c r="G38" s="71"/>
      <c r="H38" s="72" t="s">
        <v>340</v>
      </c>
      <c r="I38" s="104">
        <f>I36+I37</f>
        <v>334000</v>
      </c>
      <c r="J38" s="104">
        <f t="shared" ref="J38:K38" si="20">J36+J37</f>
        <v>380000</v>
      </c>
      <c r="K38" s="104">
        <f t="shared" si="20"/>
        <v>365716</v>
      </c>
      <c r="L38" s="418">
        <f t="shared" si="12"/>
        <v>0.96241052631578949</v>
      </c>
    </row>
    <row r="39" spans="1:12" ht="20.25" customHeight="1" x14ac:dyDescent="0.25">
      <c r="A39" s="85"/>
      <c r="B39" s="21" t="s">
        <v>496</v>
      </c>
      <c r="C39" s="101"/>
      <c r="D39" s="101"/>
      <c r="E39" s="101"/>
      <c r="F39" s="422"/>
      <c r="G39" s="71"/>
      <c r="H39" s="71" t="s">
        <v>344</v>
      </c>
      <c r="I39" s="104">
        <f>SUM(I40:I42)</f>
        <v>2470000</v>
      </c>
      <c r="J39" s="104">
        <f t="shared" ref="J39:K39" si="21">SUM(J40:J42)</f>
        <v>2012000</v>
      </c>
      <c r="K39" s="104">
        <f t="shared" si="21"/>
        <v>1801479</v>
      </c>
      <c r="L39" s="418">
        <f t="shared" si="12"/>
        <v>0.89536729622266398</v>
      </c>
    </row>
    <row r="40" spans="1:12" ht="20.25" customHeight="1" x14ac:dyDescent="0.25">
      <c r="A40" s="85"/>
      <c r="B40" s="88" t="s">
        <v>452</v>
      </c>
      <c r="C40" s="101">
        <v>0</v>
      </c>
      <c r="D40" s="101">
        <v>0</v>
      </c>
      <c r="E40" s="101">
        <v>0</v>
      </c>
      <c r="F40" s="422">
        <v>0</v>
      </c>
      <c r="G40" s="71"/>
      <c r="H40" s="71" t="s">
        <v>345</v>
      </c>
      <c r="I40" s="104">
        <f>600000</f>
        <v>600000</v>
      </c>
      <c r="J40" s="104">
        <f t="shared" ref="J40" si="22">600000</f>
        <v>600000</v>
      </c>
      <c r="K40" s="104">
        <v>462863</v>
      </c>
      <c r="L40" s="418">
        <f t="shared" si="12"/>
        <v>0.77143833333333334</v>
      </c>
    </row>
    <row r="41" spans="1:12" ht="20.25" customHeight="1" x14ac:dyDescent="0.25">
      <c r="A41" s="87"/>
      <c r="B41" s="88" t="s">
        <v>453</v>
      </c>
      <c r="C41" s="87"/>
      <c r="D41" s="87"/>
      <c r="E41" s="87"/>
      <c r="F41" s="422"/>
      <c r="G41" s="71"/>
      <c r="H41" s="71" t="s">
        <v>347</v>
      </c>
      <c r="I41" s="104">
        <v>1600000</v>
      </c>
      <c r="J41" s="104">
        <v>1192000</v>
      </c>
      <c r="K41" s="104">
        <v>1122016</v>
      </c>
      <c r="L41" s="418">
        <f t="shared" si="12"/>
        <v>0.94128859060402681</v>
      </c>
    </row>
    <row r="42" spans="1:12" ht="20.25" customHeight="1" x14ac:dyDescent="0.25">
      <c r="A42" s="87"/>
      <c r="B42" s="88" t="s">
        <v>660</v>
      </c>
      <c r="C42" s="87"/>
      <c r="D42" s="87"/>
      <c r="E42" s="87"/>
      <c r="F42" s="422"/>
      <c r="G42" s="71"/>
      <c r="H42" s="71" t="s">
        <v>346</v>
      </c>
      <c r="I42" s="104">
        <v>270000</v>
      </c>
      <c r="J42" s="104">
        <v>220000</v>
      </c>
      <c r="K42" s="104">
        <v>216600</v>
      </c>
      <c r="L42" s="418">
        <f t="shared" si="12"/>
        <v>0.9845454545454545</v>
      </c>
    </row>
    <row r="43" spans="1:12" ht="20.25" customHeight="1" x14ac:dyDescent="0.25">
      <c r="A43" s="87"/>
      <c r="B43" s="88" t="s">
        <v>455</v>
      </c>
      <c r="C43" s="87"/>
      <c r="D43" s="87"/>
      <c r="E43" s="87"/>
      <c r="F43" s="422"/>
      <c r="G43" s="71"/>
      <c r="H43" s="71" t="s">
        <v>348</v>
      </c>
      <c r="I43" s="97"/>
      <c r="J43" s="97"/>
      <c r="K43" s="97"/>
      <c r="L43" s="418"/>
    </row>
    <row r="44" spans="1:12" ht="20.25" customHeight="1" x14ac:dyDescent="0.25">
      <c r="A44" s="87"/>
      <c r="B44" s="88" t="s">
        <v>456</v>
      </c>
      <c r="C44" s="87">
        <f>SUM(C45:C47)</f>
        <v>0</v>
      </c>
      <c r="D44" s="87">
        <f t="shared" ref="D44:E44" si="23">SUM(D45:D47)</f>
        <v>0</v>
      </c>
      <c r="E44" s="101">
        <f t="shared" si="23"/>
        <v>56294</v>
      </c>
      <c r="F44" s="422"/>
      <c r="G44" s="71"/>
      <c r="H44" s="71" t="s">
        <v>349</v>
      </c>
      <c r="I44" s="104">
        <v>3600</v>
      </c>
      <c r="J44" s="104">
        <v>362000</v>
      </c>
      <c r="K44" s="104">
        <v>361080</v>
      </c>
      <c r="L44" s="418">
        <f t="shared" si="12"/>
        <v>0.99745856353591156</v>
      </c>
    </row>
    <row r="45" spans="1:12" ht="20.25" customHeight="1" x14ac:dyDescent="0.25">
      <c r="A45" s="87"/>
      <c r="B45" s="87" t="s">
        <v>1156</v>
      </c>
      <c r="C45" s="87">
        <v>0</v>
      </c>
      <c r="D45" s="87">
        <v>0</v>
      </c>
      <c r="E45" s="101">
        <v>56294</v>
      </c>
      <c r="F45" s="422"/>
      <c r="G45" s="71"/>
      <c r="H45" s="246" t="s">
        <v>718</v>
      </c>
      <c r="I45" s="104"/>
      <c r="J45" s="104">
        <v>412000</v>
      </c>
      <c r="K45" s="104">
        <v>411194</v>
      </c>
      <c r="L45" s="418">
        <f t="shared" si="12"/>
        <v>0.99804368932038834</v>
      </c>
    </row>
    <row r="46" spans="1:12" ht="20.25" customHeight="1" x14ac:dyDescent="0.25">
      <c r="A46" s="87"/>
      <c r="B46" s="87" t="s">
        <v>458</v>
      </c>
      <c r="C46" s="87"/>
      <c r="D46" s="87"/>
      <c r="E46" s="87"/>
      <c r="F46" s="422"/>
      <c r="G46" s="71"/>
      <c r="H46" s="71" t="s">
        <v>351</v>
      </c>
      <c r="I46" s="104"/>
      <c r="J46" s="104"/>
      <c r="K46" s="104"/>
      <c r="L46" s="418"/>
    </row>
    <row r="47" spans="1:12" ht="20.25" customHeight="1" x14ac:dyDescent="0.25">
      <c r="A47" s="85"/>
      <c r="B47" s="87" t="s">
        <v>459</v>
      </c>
      <c r="C47" s="101"/>
      <c r="D47" s="101"/>
      <c r="E47" s="315"/>
      <c r="F47" s="422"/>
      <c r="G47" s="71"/>
      <c r="H47" s="71" t="s">
        <v>352</v>
      </c>
      <c r="I47" s="104">
        <f>SUM(I48:I49)</f>
        <v>2165000</v>
      </c>
      <c r="J47" s="104">
        <f t="shared" ref="J47:K47" si="24">SUM(J48:J49)</f>
        <v>1915000</v>
      </c>
      <c r="K47" s="104">
        <f t="shared" si="24"/>
        <v>1754000</v>
      </c>
      <c r="L47" s="418">
        <f t="shared" si="12"/>
        <v>0.91592689295039165</v>
      </c>
    </row>
    <row r="48" spans="1:12" ht="20.25" customHeight="1" x14ac:dyDescent="0.25">
      <c r="A48" s="85"/>
      <c r="B48" s="87"/>
      <c r="C48" s="101"/>
      <c r="D48" s="101"/>
      <c r="E48" s="101"/>
      <c r="F48" s="422"/>
      <c r="G48" s="71"/>
      <c r="H48" s="71" t="s">
        <v>597</v>
      </c>
      <c r="I48" s="104">
        <v>2100000</v>
      </c>
      <c r="J48" s="104">
        <v>1850000</v>
      </c>
      <c r="K48" s="104">
        <v>1699000</v>
      </c>
      <c r="L48" s="418">
        <f t="shared" si="12"/>
        <v>0.91837837837837832</v>
      </c>
    </row>
    <row r="49" spans="1:12" ht="20.25" customHeight="1" x14ac:dyDescent="0.25">
      <c r="A49" s="85"/>
      <c r="B49" s="87"/>
      <c r="C49" s="101"/>
      <c r="D49" s="101"/>
      <c r="E49" s="101"/>
      <c r="F49" s="422"/>
      <c r="G49" s="71"/>
      <c r="H49" s="71" t="s">
        <v>801</v>
      </c>
      <c r="I49" s="104">
        <f>4*5000+3*15000</f>
        <v>65000</v>
      </c>
      <c r="J49" s="104">
        <f t="shared" ref="J49" si="25">4*5000+3*15000</f>
        <v>65000</v>
      </c>
      <c r="K49" s="104">
        <v>55000</v>
      </c>
      <c r="L49" s="418">
        <f t="shared" si="12"/>
        <v>0.84615384615384615</v>
      </c>
    </row>
    <row r="50" spans="1:12" ht="20.25" customHeight="1" x14ac:dyDescent="0.25">
      <c r="A50" s="87"/>
      <c r="B50" s="88"/>
      <c r="C50" s="87"/>
      <c r="D50" s="87"/>
      <c r="E50" s="87"/>
      <c r="F50" s="422"/>
      <c r="G50" s="71"/>
      <c r="H50" s="71" t="s">
        <v>353</v>
      </c>
      <c r="I50" s="104">
        <f>SUM(I51:I53)</f>
        <v>639200</v>
      </c>
      <c r="J50" s="104">
        <f t="shared" ref="J50:K50" si="26">SUM(J51:J53)</f>
        <v>1669000</v>
      </c>
      <c r="K50" s="104">
        <f t="shared" si="26"/>
        <v>1664950</v>
      </c>
      <c r="L50" s="418">
        <f t="shared" si="12"/>
        <v>0.99757339724385863</v>
      </c>
    </row>
    <row r="51" spans="1:12" ht="20.25" customHeight="1" x14ac:dyDescent="0.25">
      <c r="A51" s="87"/>
      <c r="B51" s="88"/>
      <c r="C51" s="87"/>
      <c r="D51" s="87"/>
      <c r="E51" s="87"/>
      <c r="F51" s="422"/>
      <c r="G51" s="71"/>
      <c r="H51" s="71" t="s">
        <v>1154</v>
      </c>
      <c r="I51" s="104">
        <v>500000</v>
      </c>
      <c r="J51" s="104">
        <v>1522000</v>
      </c>
      <c r="K51" s="104">
        <v>1518818</v>
      </c>
      <c r="L51" s="418">
        <f t="shared" si="12"/>
        <v>0.99790932982917213</v>
      </c>
    </row>
    <row r="52" spans="1:12" ht="20.25" customHeight="1" x14ac:dyDescent="0.25">
      <c r="A52" s="87"/>
      <c r="B52" s="88"/>
      <c r="C52" s="87"/>
      <c r="D52" s="87"/>
      <c r="E52" s="87"/>
      <c r="F52" s="422"/>
      <c r="G52" s="71"/>
      <c r="H52" s="71" t="s">
        <v>1743</v>
      </c>
      <c r="I52" s="104">
        <f>14800+56400</f>
        <v>71200</v>
      </c>
      <c r="J52" s="104">
        <v>86000</v>
      </c>
      <c r="K52" s="104">
        <v>85545</v>
      </c>
      <c r="L52" s="418">
        <f t="shared" si="12"/>
        <v>0.99470930232558141</v>
      </c>
    </row>
    <row r="53" spans="1:12" ht="20.25" customHeight="1" x14ac:dyDescent="0.25">
      <c r="A53" s="87"/>
      <c r="B53" s="88"/>
      <c r="C53" s="87"/>
      <c r="D53" s="87"/>
      <c r="E53" s="87"/>
      <c r="F53" s="422"/>
      <c r="G53" s="71"/>
      <c r="H53" s="71" t="s">
        <v>598</v>
      </c>
      <c r="I53" s="104">
        <v>68000</v>
      </c>
      <c r="J53" s="104">
        <v>61000</v>
      </c>
      <c r="K53" s="104">
        <v>60587</v>
      </c>
      <c r="L53" s="418">
        <f t="shared" si="12"/>
        <v>0.99322950819672129</v>
      </c>
    </row>
    <row r="54" spans="1:12" ht="20.25" customHeight="1" x14ac:dyDescent="0.25">
      <c r="A54" s="87"/>
      <c r="B54" s="87"/>
      <c r="C54" s="87"/>
      <c r="D54" s="87"/>
      <c r="E54" s="87"/>
      <c r="F54" s="422"/>
      <c r="G54" s="71"/>
      <c r="H54" s="72" t="s">
        <v>343</v>
      </c>
      <c r="I54" s="104">
        <f>I39+I43+I44+I45+I46+I47+I50</f>
        <v>5277800</v>
      </c>
      <c r="J54" s="104">
        <f t="shared" ref="J54:K54" si="27">J39+J43+J44+J45+J46+J47+J50</f>
        <v>6370000</v>
      </c>
      <c r="K54" s="104">
        <f t="shared" si="27"/>
        <v>5992703</v>
      </c>
      <c r="L54" s="418">
        <f t="shared" si="12"/>
        <v>0.9407697017268446</v>
      </c>
    </row>
    <row r="55" spans="1:12" ht="20.25" customHeight="1" x14ac:dyDescent="0.25">
      <c r="A55" s="87"/>
      <c r="B55" s="87"/>
      <c r="C55" s="87"/>
      <c r="D55" s="87"/>
      <c r="E55" s="87"/>
      <c r="F55" s="422"/>
      <c r="G55" s="71"/>
      <c r="H55" s="71" t="s">
        <v>356</v>
      </c>
      <c r="I55" s="104">
        <v>30000</v>
      </c>
      <c r="J55" s="104">
        <v>34000</v>
      </c>
      <c r="K55" s="104">
        <v>33055</v>
      </c>
      <c r="L55" s="418">
        <f t="shared" si="12"/>
        <v>0.97220588235294114</v>
      </c>
    </row>
    <row r="56" spans="1:12" ht="20.25" customHeight="1" x14ac:dyDescent="0.25">
      <c r="A56" s="87"/>
      <c r="B56" s="87"/>
      <c r="C56" s="87"/>
      <c r="D56" s="87"/>
      <c r="E56" s="87"/>
      <c r="F56" s="422"/>
      <c r="G56" s="71"/>
      <c r="H56" s="71" t="s">
        <v>357</v>
      </c>
      <c r="I56" s="104">
        <v>250000</v>
      </c>
      <c r="J56" s="104">
        <v>250000</v>
      </c>
      <c r="K56" s="104">
        <v>160064</v>
      </c>
      <c r="L56" s="418">
        <f t="shared" si="12"/>
        <v>0.64025600000000005</v>
      </c>
    </row>
    <row r="57" spans="1:12" ht="20.25" customHeight="1" x14ac:dyDescent="0.25">
      <c r="A57" s="85" t="s">
        <v>64</v>
      </c>
      <c r="B57" s="86" t="s">
        <v>460</v>
      </c>
      <c r="C57" s="109">
        <f>C58+C59+C60</f>
        <v>0</v>
      </c>
      <c r="D57" s="109">
        <f t="shared" ref="D57:F57" si="28">D58+D59+D60</f>
        <v>0</v>
      </c>
      <c r="E57" s="109">
        <f t="shared" si="28"/>
        <v>0</v>
      </c>
      <c r="F57" s="423">
        <f t="shared" si="28"/>
        <v>0</v>
      </c>
      <c r="G57" s="71"/>
      <c r="H57" s="72" t="s">
        <v>358</v>
      </c>
      <c r="I57" s="104">
        <f>I55+I56</f>
        <v>280000</v>
      </c>
      <c r="J57" s="104">
        <f t="shared" ref="J57:K57" si="29">J55+J56</f>
        <v>284000</v>
      </c>
      <c r="K57" s="104">
        <f t="shared" si="29"/>
        <v>193119</v>
      </c>
      <c r="L57" s="418">
        <f t="shared" si="12"/>
        <v>0.67999647887323944</v>
      </c>
    </row>
    <row r="58" spans="1:12" ht="30" x14ac:dyDescent="0.25">
      <c r="A58" s="85"/>
      <c r="B58" s="88" t="s">
        <v>461</v>
      </c>
      <c r="C58" s="101"/>
      <c r="D58" s="101"/>
      <c r="E58" s="101"/>
      <c r="F58" s="422"/>
      <c r="G58" s="71"/>
      <c r="H58" s="71" t="s">
        <v>360</v>
      </c>
      <c r="I58" s="104">
        <v>2164000</v>
      </c>
      <c r="J58" s="104">
        <v>2164000</v>
      </c>
      <c r="K58" s="104">
        <v>1613063</v>
      </c>
      <c r="L58" s="418">
        <f t="shared" si="12"/>
        <v>0.74540804066543442</v>
      </c>
    </row>
    <row r="59" spans="1:12" ht="28.5" customHeight="1" x14ac:dyDescent="0.25">
      <c r="A59" s="85"/>
      <c r="B59" s="83" t="s">
        <v>462</v>
      </c>
      <c r="C59" s="101"/>
      <c r="D59" s="101"/>
      <c r="E59" s="101"/>
      <c r="F59" s="422"/>
      <c r="G59" s="71"/>
      <c r="H59" s="71" t="s">
        <v>361</v>
      </c>
      <c r="I59" s="104"/>
      <c r="J59" s="104"/>
      <c r="K59" s="104"/>
      <c r="L59" s="418"/>
    </row>
    <row r="60" spans="1:12" ht="19.5" customHeight="1" x14ac:dyDescent="0.25">
      <c r="A60" s="85"/>
      <c r="B60" s="88" t="s">
        <v>463</v>
      </c>
      <c r="C60" s="101"/>
      <c r="D60" s="101"/>
      <c r="E60" s="101"/>
      <c r="F60" s="422"/>
      <c r="G60" s="71"/>
      <c r="H60" s="71" t="s">
        <v>362</v>
      </c>
      <c r="I60" s="97"/>
      <c r="J60" s="104">
        <v>1000</v>
      </c>
      <c r="K60" s="97"/>
      <c r="L60" s="418">
        <f t="shared" si="12"/>
        <v>0</v>
      </c>
    </row>
    <row r="61" spans="1:12" ht="19.5" customHeight="1" x14ac:dyDescent="0.25">
      <c r="A61" s="85"/>
      <c r="B61" s="88"/>
      <c r="C61" s="101"/>
      <c r="D61" s="101"/>
      <c r="E61" s="101"/>
      <c r="F61" s="422"/>
      <c r="G61" s="71"/>
      <c r="H61" s="71" t="s">
        <v>363</v>
      </c>
      <c r="I61" s="97"/>
      <c r="J61" s="97"/>
      <c r="K61" s="97"/>
      <c r="L61" s="418"/>
    </row>
    <row r="62" spans="1:12" ht="30" customHeight="1" x14ac:dyDescent="0.25">
      <c r="A62" s="85"/>
      <c r="B62" s="88"/>
      <c r="C62" s="99"/>
      <c r="D62" s="99"/>
      <c r="E62" s="99"/>
      <c r="F62" s="430"/>
      <c r="G62" s="71"/>
      <c r="H62" s="112" t="s">
        <v>803</v>
      </c>
      <c r="I62" s="105">
        <f>SUM(I63:I64)</f>
        <v>266000</v>
      </c>
      <c r="J62" s="105">
        <f t="shared" ref="J62:K62" si="30">SUM(J63:J64)</f>
        <v>265000</v>
      </c>
      <c r="K62" s="105">
        <f t="shared" si="30"/>
        <v>30661</v>
      </c>
      <c r="L62" s="418">
        <f t="shared" si="12"/>
        <v>0.11570188679245283</v>
      </c>
    </row>
    <row r="63" spans="1:12" x14ac:dyDescent="0.25">
      <c r="A63" s="85"/>
      <c r="B63" s="88"/>
      <c r="C63" s="99"/>
      <c r="D63" s="99"/>
      <c r="E63" s="99"/>
      <c r="F63" s="430"/>
      <c r="G63" s="71"/>
      <c r="H63" s="112" t="s">
        <v>802</v>
      </c>
      <c r="I63" s="104">
        <v>166000</v>
      </c>
      <c r="J63" s="104">
        <v>165000</v>
      </c>
      <c r="K63" s="104">
        <v>2161</v>
      </c>
      <c r="L63" s="418">
        <f t="shared" si="12"/>
        <v>1.3096969696969697E-2</v>
      </c>
    </row>
    <row r="64" spans="1:12" x14ac:dyDescent="0.25">
      <c r="A64" s="85"/>
      <c r="B64" s="88"/>
      <c r="C64" s="99"/>
      <c r="D64" s="99"/>
      <c r="E64" s="99"/>
      <c r="F64" s="430"/>
      <c r="G64" s="71"/>
      <c r="H64" s="112" t="s">
        <v>1155</v>
      </c>
      <c r="I64" s="105">
        <f>2*50000</f>
        <v>100000</v>
      </c>
      <c r="J64" s="105">
        <f t="shared" ref="J64" si="31">2*50000</f>
        <v>100000</v>
      </c>
      <c r="K64" s="105">
        <v>28500</v>
      </c>
      <c r="L64" s="418">
        <f t="shared" si="12"/>
        <v>0.28499999999999998</v>
      </c>
    </row>
    <row r="65" spans="1:12" ht="19.5" customHeight="1" x14ac:dyDescent="0.25">
      <c r="A65" s="85"/>
      <c r="B65" s="88"/>
      <c r="C65" s="99"/>
      <c r="D65" s="99"/>
      <c r="E65" s="99"/>
      <c r="F65" s="430"/>
      <c r="G65" s="71"/>
      <c r="H65" s="72" t="s">
        <v>359</v>
      </c>
      <c r="I65" s="105">
        <f>SUM(I58:I62)</f>
        <v>2430000</v>
      </c>
      <c r="J65" s="105">
        <f t="shared" ref="J65:K65" si="32">SUM(J58:J62)</f>
        <v>2430000</v>
      </c>
      <c r="K65" s="105">
        <f t="shared" si="32"/>
        <v>1643724</v>
      </c>
      <c r="L65" s="418">
        <f t="shared" si="12"/>
        <v>0.6764296296296296</v>
      </c>
    </row>
    <row r="66" spans="1:12" ht="19.5" customHeight="1" x14ac:dyDescent="0.25">
      <c r="A66" s="85"/>
      <c r="B66" s="88"/>
      <c r="C66" s="99"/>
      <c r="D66" s="99"/>
      <c r="E66" s="99"/>
      <c r="F66" s="430"/>
      <c r="G66" s="73" t="s">
        <v>64</v>
      </c>
      <c r="H66" s="82" t="s">
        <v>365</v>
      </c>
      <c r="I66" s="100">
        <f>SUM(I67:I72)</f>
        <v>0</v>
      </c>
      <c r="J66" s="100">
        <f t="shared" ref="J66:L66" si="33">SUM(J67:J72)</f>
        <v>0</v>
      </c>
      <c r="K66" s="100">
        <f t="shared" si="33"/>
        <v>0</v>
      </c>
      <c r="L66" s="420">
        <f t="shared" si="33"/>
        <v>0</v>
      </c>
    </row>
    <row r="67" spans="1:12" ht="19.5" customHeight="1" x14ac:dyDescent="0.25">
      <c r="A67" s="85"/>
      <c r="B67" s="88"/>
      <c r="C67" s="99"/>
      <c r="D67" s="99"/>
      <c r="E67" s="99"/>
      <c r="F67" s="430"/>
      <c r="G67" s="71"/>
      <c r="H67" s="71" t="s">
        <v>366</v>
      </c>
      <c r="I67" s="100"/>
      <c r="J67" s="100"/>
      <c r="K67" s="100"/>
      <c r="L67" s="420"/>
    </row>
    <row r="68" spans="1:12" ht="19.5" customHeight="1" x14ac:dyDescent="0.25">
      <c r="A68" s="85"/>
      <c r="B68" s="88"/>
      <c r="C68" s="99"/>
      <c r="D68" s="99"/>
      <c r="E68" s="99"/>
      <c r="F68" s="430"/>
      <c r="G68" s="71"/>
      <c r="H68" s="87" t="s">
        <v>367</v>
      </c>
      <c r="I68" s="100"/>
      <c r="J68" s="100"/>
      <c r="K68" s="100"/>
      <c r="L68" s="420"/>
    </row>
    <row r="69" spans="1:12" ht="19.5" customHeight="1" x14ac:dyDescent="0.25">
      <c r="A69" s="85"/>
      <c r="B69" s="88"/>
      <c r="C69" s="99"/>
      <c r="D69" s="99"/>
      <c r="E69" s="99"/>
      <c r="F69" s="430"/>
      <c r="G69" s="71"/>
      <c r="H69" s="71" t="s">
        <v>368</v>
      </c>
      <c r="I69" s="100"/>
      <c r="J69" s="100"/>
      <c r="K69" s="100"/>
      <c r="L69" s="420"/>
    </row>
    <row r="70" spans="1:12" ht="19.5" customHeight="1" x14ac:dyDescent="0.25">
      <c r="A70" s="85"/>
      <c r="B70" s="88"/>
      <c r="C70" s="99"/>
      <c r="D70" s="99"/>
      <c r="E70" s="99"/>
      <c r="F70" s="430"/>
      <c r="G70" s="71"/>
      <c r="H70" s="71" t="s">
        <v>369</v>
      </c>
      <c r="I70" s="100"/>
      <c r="J70" s="100"/>
      <c r="K70" s="100"/>
      <c r="L70" s="420"/>
    </row>
    <row r="71" spans="1:12" ht="19.5" customHeight="1" x14ac:dyDescent="0.25">
      <c r="A71" s="85"/>
      <c r="B71" s="88"/>
      <c r="C71" s="99"/>
      <c r="D71" s="99"/>
      <c r="E71" s="99"/>
      <c r="F71" s="430"/>
      <c r="G71" s="71"/>
      <c r="H71" s="71" t="s">
        <v>370</v>
      </c>
      <c r="I71" s="100"/>
      <c r="J71" s="100"/>
      <c r="K71" s="100"/>
      <c r="L71" s="420"/>
    </row>
    <row r="72" spans="1:12" ht="19.5" customHeight="1" x14ac:dyDescent="0.25">
      <c r="A72" s="85"/>
      <c r="B72" s="88"/>
      <c r="C72" s="99"/>
      <c r="D72" s="99"/>
      <c r="E72" s="99"/>
      <c r="F72" s="430"/>
      <c r="G72" s="71"/>
      <c r="H72" s="71" t="s">
        <v>371</v>
      </c>
      <c r="I72" s="100"/>
      <c r="J72" s="100"/>
      <c r="K72" s="100"/>
      <c r="L72" s="420"/>
    </row>
    <row r="73" spans="1:12" ht="19.5" customHeight="1" x14ac:dyDescent="0.25">
      <c r="A73" s="85"/>
      <c r="B73" s="86"/>
      <c r="C73" s="99"/>
      <c r="D73" s="99"/>
      <c r="E73" s="99"/>
      <c r="F73" s="430"/>
      <c r="G73" s="73" t="s">
        <v>100</v>
      </c>
      <c r="H73" s="82" t="s">
        <v>499</v>
      </c>
      <c r="I73" s="100">
        <f>SUM(I74:I79)</f>
        <v>0</v>
      </c>
      <c r="J73" s="100">
        <f t="shared" ref="J73:L73" si="34">SUM(J74:J79)</f>
        <v>0</v>
      </c>
      <c r="K73" s="100">
        <f t="shared" si="34"/>
        <v>0</v>
      </c>
      <c r="L73" s="420">
        <f t="shared" si="34"/>
        <v>0</v>
      </c>
    </row>
    <row r="74" spans="1:12" ht="21.75" customHeight="1" x14ac:dyDescent="0.25">
      <c r="A74" s="85"/>
      <c r="B74" s="88"/>
      <c r="C74" s="99"/>
      <c r="D74" s="99"/>
      <c r="E74" s="99"/>
      <c r="F74" s="430"/>
      <c r="G74" s="71"/>
      <c r="H74" s="71" t="s">
        <v>372</v>
      </c>
      <c r="I74" s="105" t="s">
        <v>253</v>
      </c>
      <c r="J74" s="105" t="s">
        <v>253</v>
      </c>
      <c r="K74" s="105"/>
      <c r="L74" s="417"/>
    </row>
    <row r="75" spans="1:12" ht="21.75" customHeight="1" x14ac:dyDescent="0.25">
      <c r="A75" s="85"/>
      <c r="B75" s="83"/>
      <c r="C75" s="99"/>
      <c r="D75" s="99"/>
      <c r="E75" s="99"/>
      <c r="F75" s="430"/>
      <c r="G75" s="71"/>
      <c r="H75" s="71" t="s">
        <v>373</v>
      </c>
      <c r="I75" s="100"/>
      <c r="J75" s="100"/>
      <c r="K75" s="100"/>
      <c r="L75" s="420"/>
    </row>
    <row r="76" spans="1:12" ht="19.5" customHeight="1" x14ac:dyDescent="0.25">
      <c r="A76" s="85"/>
      <c r="B76" s="88"/>
      <c r="C76" s="99"/>
      <c r="D76" s="99"/>
      <c r="E76" s="99"/>
      <c r="F76" s="430"/>
      <c r="G76" s="71"/>
      <c r="H76" s="71" t="s">
        <v>374</v>
      </c>
      <c r="I76" s="100"/>
      <c r="J76" s="100"/>
      <c r="K76" s="100"/>
      <c r="L76" s="420"/>
    </row>
    <row r="77" spans="1:12" ht="19.5" customHeight="1" x14ac:dyDescent="0.25">
      <c r="A77" s="85"/>
      <c r="B77" s="88"/>
      <c r="C77" s="99"/>
      <c r="D77" s="99"/>
      <c r="E77" s="99"/>
      <c r="F77" s="430"/>
      <c r="G77" s="71"/>
      <c r="H77" s="71" t="s">
        <v>375</v>
      </c>
      <c r="I77" s="100"/>
      <c r="J77" s="100"/>
      <c r="K77" s="100"/>
      <c r="L77" s="420"/>
    </row>
    <row r="78" spans="1:12" ht="19.5" customHeight="1" x14ac:dyDescent="0.25">
      <c r="A78" s="85"/>
      <c r="B78" s="88"/>
      <c r="C78" s="99"/>
      <c r="D78" s="99"/>
      <c r="E78" s="99"/>
      <c r="F78" s="430"/>
      <c r="G78" s="71"/>
      <c r="H78" s="71" t="s">
        <v>656</v>
      </c>
      <c r="I78" s="100"/>
      <c r="J78" s="100"/>
      <c r="K78" s="100"/>
      <c r="L78" s="420"/>
    </row>
    <row r="79" spans="1:12" ht="20.25" customHeight="1" x14ac:dyDescent="0.25">
      <c r="A79" s="85"/>
      <c r="B79" s="88"/>
      <c r="C79" s="99"/>
      <c r="D79" s="99"/>
      <c r="E79" s="99"/>
      <c r="F79" s="430"/>
      <c r="G79" s="71"/>
      <c r="H79" s="71" t="s">
        <v>665</v>
      </c>
      <c r="I79" s="100"/>
      <c r="J79" s="100"/>
      <c r="K79" s="100"/>
      <c r="L79" s="420"/>
    </row>
    <row r="80" spans="1:12" ht="20.25" customHeight="1" x14ac:dyDescent="0.25">
      <c r="A80" s="316"/>
      <c r="B80" s="307" t="s">
        <v>192</v>
      </c>
      <c r="C80" s="308">
        <f>C81+C87+C93</f>
        <v>0</v>
      </c>
      <c r="D80" s="308">
        <f t="shared" ref="D80:F80" si="35">D81+D87+D93</f>
        <v>0</v>
      </c>
      <c r="E80" s="308">
        <f t="shared" si="35"/>
        <v>0</v>
      </c>
      <c r="F80" s="414">
        <f t="shared" si="35"/>
        <v>0</v>
      </c>
      <c r="G80" s="306"/>
      <c r="H80" s="307" t="s">
        <v>200</v>
      </c>
      <c r="I80" s="308">
        <f>I81+I89+I94</f>
        <v>2491740</v>
      </c>
      <c r="J80" s="308">
        <f t="shared" ref="J80:K80" si="36">J81+J89+J94</f>
        <v>2491740</v>
      </c>
      <c r="K80" s="308">
        <f t="shared" si="36"/>
        <v>878459</v>
      </c>
      <c r="L80" s="414">
        <f>+K80/J80</f>
        <v>0.35254841997961262</v>
      </c>
    </row>
    <row r="81" spans="1:12" ht="20.25" customHeight="1" x14ac:dyDescent="0.25">
      <c r="A81" s="85" t="s">
        <v>100</v>
      </c>
      <c r="B81" s="90" t="s">
        <v>414</v>
      </c>
      <c r="C81" s="109">
        <f>SUM(C82:C86)</f>
        <v>0</v>
      </c>
      <c r="D81" s="109">
        <f t="shared" ref="D81:F81" si="37">SUM(D82:D86)</f>
        <v>0</v>
      </c>
      <c r="E81" s="109">
        <f t="shared" si="37"/>
        <v>0</v>
      </c>
      <c r="F81" s="423">
        <f t="shared" si="37"/>
        <v>0</v>
      </c>
      <c r="G81" s="85" t="s">
        <v>181</v>
      </c>
      <c r="H81" s="90" t="s">
        <v>379</v>
      </c>
      <c r="I81" s="103">
        <f>SUM(I82:I88)</f>
        <v>2491740</v>
      </c>
      <c r="J81" s="103">
        <f t="shared" ref="J81:K81" si="38">SUM(J82:J88)</f>
        <v>2491740</v>
      </c>
      <c r="K81" s="103">
        <f t="shared" si="38"/>
        <v>878459</v>
      </c>
      <c r="L81" s="432">
        <f>+K81/J81</f>
        <v>0.35254841997961262</v>
      </c>
    </row>
    <row r="82" spans="1:12" ht="20.25" customHeight="1" x14ac:dyDescent="0.25">
      <c r="A82" s="85"/>
      <c r="B82" s="83" t="s">
        <v>415</v>
      </c>
      <c r="C82" s="101"/>
      <c r="D82" s="101"/>
      <c r="E82" s="101"/>
      <c r="F82" s="422"/>
      <c r="G82" s="85"/>
      <c r="H82" s="91" t="s">
        <v>377</v>
      </c>
      <c r="I82" s="95"/>
      <c r="J82" s="95"/>
      <c r="K82" s="95"/>
      <c r="L82" s="416"/>
    </row>
    <row r="83" spans="1:12" ht="29.25" customHeight="1" x14ac:dyDescent="0.25">
      <c r="A83" s="85"/>
      <c r="B83" s="83" t="s">
        <v>416</v>
      </c>
      <c r="C83" s="101"/>
      <c r="D83" s="101"/>
      <c r="E83" s="101"/>
      <c r="F83" s="422"/>
      <c r="G83" s="85"/>
      <c r="H83" s="91" t="s">
        <v>378</v>
      </c>
      <c r="I83" s="95"/>
      <c r="J83" s="95"/>
      <c r="K83" s="95"/>
      <c r="L83" s="416"/>
    </row>
    <row r="84" spans="1:12" ht="29.25" customHeight="1" x14ac:dyDescent="0.25">
      <c r="A84" s="85"/>
      <c r="B84" s="83" t="s">
        <v>417</v>
      </c>
      <c r="C84" s="101"/>
      <c r="D84" s="101"/>
      <c r="E84" s="101"/>
      <c r="F84" s="422"/>
      <c r="G84" s="71"/>
      <c r="H84" s="71" t="s">
        <v>599</v>
      </c>
      <c r="I84" s="98">
        <v>250000</v>
      </c>
      <c r="J84" s="98">
        <v>250000</v>
      </c>
      <c r="K84" s="98">
        <v>139000</v>
      </c>
      <c r="L84" s="418">
        <f t="shared" ref="L84:L88" si="39">+K84/J84</f>
        <v>0.55600000000000005</v>
      </c>
    </row>
    <row r="85" spans="1:12" ht="29.25" customHeight="1" x14ac:dyDescent="0.25">
      <c r="A85" s="85"/>
      <c r="B85" s="83" t="s">
        <v>418</v>
      </c>
      <c r="C85" s="101"/>
      <c r="D85" s="101"/>
      <c r="E85" s="101"/>
      <c r="F85" s="422"/>
      <c r="G85" s="71"/>
      <c r="H85" s="71" t="s">
        <v>804</v>
      </c>
      <c r="I85" s="106">
        <v>1712000</v>
      </c>
      <c r="J85" s="106">
        <v>1712000</v>
      </c>
      <c r="K85" s="106">
        <v>586715</v>
      </c>
      <c r="L85" s="418">
        <f t="shared" si="39"/>
        <v>0.34270735981308409</v>
      </c>
    </row>
    <row r="86" spans="1:12" ht="21" customHeight="1" x14ac:dyDescent="0.25">
      <c r="A86" s="85"/>
      <c r="B86" s="83" t="s">
        <v>419</v>
      </c>
      <c r="C86" s="101"/>
      <c r="D86" s="101"/>
      <c r="E86" s="101"/>
      <c r="F86" s="422"/>
      <c r="G86" s="71"/>
      <c r="H86" s="71" t="s">
        <v>381</v>
      </c>
      <c r="I86" s="98"/>
      <c r="J86" s="98"/>
      <c r="K86" s="98"/>
      <c r="L86" s="418"/>
    </row>
    <row r="87" spans="1:12" ht="20.25" customHeight="1" x14ac:dyDescent="0.25">
      <c r="A87" s="85" t="s">
        <v>181</v>
      </c>
      <c r="B87" s="92" t="s">
        <v>420</v>
      </c>
      <c r="C87" s="109">
        <f>SUM(C88:C92)</f>
        <v>0</v>
      </c>
      <c r="D87" s="109">
        <f t="shared" ref="D87:F87" si="40">SUM(D88:D92)</f>
        <v>0</v>
      </c>
      <c r="E87" s="109">
        <f t="shared" si="40"/>
        <v>0</v>
      </c>
      <c r="F87" s="423">
        <f t="shared" si="40"/>
        <v>0</v>
      </c>
      <c r="G87" s="71"/>
      <c r="H87" s="71" t="s">
        <v>382</v>
      </c>
      <c r="I87" s="98"/>
      <c r="J87" s="98"/>
      <c r="K87" s="98"/>
      <c r="L87" s="418"/>
    </row>
    <row r="88" spans="1:12" ht="20.25" customHeight="1" x14ac:dyDescent="0.25">
      <c r="A88" s="85"/>
      <c r="B88" s="88" t="s">
        <v>421</v>
      </c>
      <c r="C88" s="101"/>
      <c r="D88" s="101"/>
      <c r="E88" s="101"/>
      <c r="F88" s="422"/>
      <c r="G88" s="71"/>
      <c r="H88" s="71" t="s">
        <v>383</v>
      </c>
      <c r="I88" s="98">
        <f>(I84+I85)*0.27</f>
        <v>529740</v>
      </c>
      <c r="J88" s="98">
        <f t="shared" ref="J88" si="41">(J84+J85)*0.27</f>
        <v>529740</v>
      </c>
      <c r="K88" s="98">
        <v>152744</v>
      </c>
      <c r="L88" s="418">
        <f t="shared" si="39"/>
        <v>0.2883376750858912</v>
      </c>
    </row>
    <row r="89" spans="1:12" ht="20.25" customHeight="1" x14ac:dyDescent="0.25">
      <c r="A89" s="85"/>
      <c r="B89" s="88" t="s">
        <v>422</v>
      </c>
      <c r="C89" s="101"/>
      <c r="D89" s="101"/>
      <c r="E89" s="101"/>
      <c r="F89" s="422"/>
      <c r="G89" s="74" t="s">
        <v>191</v>
      </c>
      <c r="H89" s="74" t="s">
        <v>384</v>
      </c>
      <c r="I89" s="110">
        <f>SUM(I90:I93)</f>
        <v>0</v>
      </c>
      <c r="J89" s="110">
        <f t="shared" ref="J89:L89" si="42">SUM(J90:J93)</f>
        <v>0</v>
      </c>
      <c r="K89" s="110">
        <f t="shared" si="42"/>
        <v>0</v>
      </c>
      <c r="L89" s="433">
        <f t="shared" si="42"/>
        <v>0</v>
      </c>
    </row>
    <row r="90" spans="1:12" ht="20.25" customHeight="1" x14ac:dyDescent="0.25">
      <c r="A90" s="85"/>
      <c r="B90" s="88" t="s">
        <v>423</v>
      </c>
      <c r="C90" s="101"/>
      <c r="D90" s="101"/>
      <c r="E90" s="101"/>
      <c r="F90" s="422"/>
      <c r="G90" s="71"/>
      <c r="H90" s="71" t="s">
        <v>385</v>
      </c>
      <c r="I90" s="98"/>
      <c r="J90" s="98"/>
      <c r="K90" s="98"/>
      <c r="L90" s="421"/>
    </row>
    <row r="91" spans="1:12" ht="20.25" customHeight="1" x14ac:dyDescent="0.25">
      <c r="A91" s="85"/>
      <c r="B91" s="88" t="s">
        <v>424</v>
      </c>
      <c r="C91" s="101"/>
      <c r="D91" s="101"/>
      <c r="E91" s="101"/>
      <c r="F91" s="422"/>
      <c r="G91" s="71"/>
      <c r="H91" s="71" t="s">
        <v>386</v>
      </c>
      <c r="I91" s="98"/>
      <c r="J91" s="98"/>
      <c r="K91" s="98"/>
      <c r="L91" s="421"/>
    </row>
    <row r="92" spans="1:12" ht="20.25" customHeight="1" x14ac:dyDescent="0.25">
      <c r="A92" s="85"/>
      <c r="B92" s="88" t="s">
        <v>425</v>
      </c>
      <c r="C92" s="101"/>
      <c r="D92" s="101"/>
      <c r="E92" s="101"/>
      <c r="F92" s="422"/>
      <c r="G92" s="71"/>
      <c r="H92" s="71" t="s">
        <v>387</v>
      </c>
      <c r="I92" s="98"/>
      <c r="J92" s="98"/>
      <c r="K92" s="98"/>
      <c r="L92" s="421"/>
    </row>
    <row r="93" spans="1:12" ht="20.25" customHeight="1" x14ac:dyDescent="0.25">
      <c r="A93" s="85" t="s">
        <v>191</v>
      </c>
      <c r="B93" s="86" t="s">
        <v>426</v>
      </c>
      <c r="C93" s="109">
        <f>C94+C95+C96</f>
        <v>0</v>
      </c>
      <c r="D93" s="109">
        <f t="shared" ref="D93:F93" si="43">D94+D95+D96</f>
        <v>0</v>
      </c>
      <c r="E93" s="109">
        <f t="shared" si="43"/>
        <v>0</v>
      </c>
      <c r="F93" s="423">
        <f t="shared" si="43"/>
        <v>0</v>
      </c>
      <c r="G93" s="71"/>
      <c r="H93" s="71" t="s">
        <v>388</v>
      </c>
      <c r="I93" s="98"/>
      <c r="J93" s="98"/>
      <c r="K93" s="98"/>
      <c r="L93" s="421"/>
    </row>
    <row r="94" spans="1:12" ht="29.25" customHeight="1" x14ac:dyDescent="0.25">
      <c r="A94" s="85"/>
      <c r="B94" s="88" t="s">
        <v>427</v>
      </c>
      <c r="C94" s="101"/>
      <c r="D94" s="101"/>
      <c r="E94" s="101"/>
      <c r="F94" s="422"/>
      <c r="G94" s="74" t="s">
        <v>199</v>
      </c>
      <c r="H94" s="74" t="s">
        <v>389</v>
      </c>
      <c r="I94" s="110">
        <f>I95+I96</f>
        <v>0</v>
      </c>
      <c r="J94" s="110">
        <f t="shared" ref="J94:L94" si="44">J95+J96</f>
        <v>0</v>
      </c>
      <c r="K94" s="110">
        <f t="shared" si="44"/>
        <v>0</v>
      </c>
      <c r="L94" s="433">
        <f t="shared" si="44"/>
        <v>0</v>
      </c>
    </row>
    <row r="95" spans="1:12" ht="29.25" customHeight="1" x14ac:dyDescent="0.25">
      <c r="A95" s="85"/>
      <c r="B95" s="83" t="s">
        <v>662</v>
      </c>
      <c r="C95" s="101"/>
      <c r="D95" s="101"/>
      <c r="E95" s="101"/>
      <c r="F95" s="422"/>
      <c r="G95" s="71"/>
      <c r="H95" s="71" t="s">
        <v>391</v>
      </c>
      <c r="I95" s="98"/>
      <c r="J95" s="98"/>
      <c r="K95" s="98"/>
      <c r="L95" s="421"/>
    </row>
    <row r="96" spans="1:12" ht="21" customHeight="1" x14ac:dyDescent="0.25">
      <c r="A96" s="85"/>
      <c r="B96" s="88"/>
      <c r="C96" s="101"/>
      <c r="D96" s="101"/>
      <c r="E96" s="101"/>
      <c r="F96" s="422"/>
      <c r="G96" s="71"/>
      <c r="H96" s="71" t="s">
        <v>390</v>
      </c>
      <c r="I96" s="98"/>
      <c r="J96" s="98"/>
      <c r="K96" s="98"/>
      <c r="L96" s="421"/>
    </row>
    <row r="97" spans="1:12" ht="20.25" customHeight="1" x14ac:dyDescent="0.25">
      <c r="A97" s="316"/>
      <c r="B97" s="307" t="s">
        <v>430</v>
      </c>
      <c r="C97" s="308">
        <f>C107+C118</f>
        <v>25589460</v>
      </c>
      <c r="D97" s="308">
        <f t="shared" ref="D97:E97" si="45">D107+D118</f>
        <v>26000460</v>
      </c>
      <c r="E97" s="308">
        <f t="shared" si="45"/>
        <v>23157472</v>
      </c>
      <c r="F97" s="414">
        <f>+E97/D97</f>
        <v>0.89065624223571427</v>
      </c>
      <c r="G97" s="306"/>
      <c r="H97" s="307" t="s">
        <v>395</v>
      </c>
      <c r="I97" s="308">
        <f>I106+I117</f>
        <v>0</v>
      </c>
      <c r="J97" s="308">
        <f t="shared" ref="J97:L97" si="46">J106+J117</f>
        <v>0</v>
      </c>
      <c r="K97" s="308">
        <f t="shared" si="46"/>
        <v>0</v>
      </c>
      <c r="L97" s="414">
        <f t="shared" si="46"/>
        <v>0</v>
      </c>
    </row>
    <row r="98" spans="1:12" ht="21" customHeight="1" x14ac:dyDescent="0.25">
      <c r="A98" s="75"/>
      <c r="B98" s="93" t="s">
        <v>431</v>
      </c>
      <c r="C98" s="101"/>
      <c r="D98" s="101"/>
      <c r="E98" s="101"/>
      <c r="F98" s="422"/>
      <c r="G98" s="75"/>
      <c r="H98" s="93" t="s">
        <v>392</v>
      </c>
      <c r="I98" s="101"/>
      <c r="J98" s="101"/>
      <c r="K98" s="101"/>
      <c r="L98" s="422"/>
    </row>
    <row r="99" spans="1:12" ht="33" customHeight="1" x14ac:dyDescent="0.25">
      <c r="A99" s="75"/>
      <c r="B99" s="93" t="s">
        <v>432</v>
      </c>
      <c r="C99" s="101"/>
      <c r="D99" s="101"/>
      <c r="E99" s="101"/>
      <c r="F99" s="422"/>
      <c r="G99" s="75"/>
      <c r="H99" s="93" t="s">
        <v>393</v>
      </c>
      <c r="I99" s="101"/>
      <c r="J99" s="101"/>
      <c r="K99" s="101"/>
      <c r="L99" s="422"/>
    </row>
    <row r="100" spans="1:12" ht="20.25" customHeight="1" x14ac:dyDescent="0.25">
      <c r="A100" s="75"/>
      <c r="B100" s="93" t="s">
        <v>433</v>
      </c>
      <c r="C100" s="101"/>
      <c r="D100" s="101"/>
      <c r="E100" s="101"/>
      <c r="F100" s="422"/>
      <c r="G100" s="75"/>
      <c r="H100" s="93" t="s">
        <v>394</v>
      </c>
      <c r="I100" s="101"/>
      <c r="J100" s="101"/>
      <c r="K100" s="101"/>
      <c r="L100" s="422"/>
    </row>
    <row r="101" spans="1:12" ht="20.25" customHeight="1" x14ac:dyDescent="0.25">
      <c r="A101" s="75"/>
      <c r="B101" s="94" t="s">
        <v>434</v>
      </c>
      <c r="C101" s="101">
        <f>C98+C99+C100</f>
        <v>0</v>
      </c>
      <c r="D101" s="101">
        <f t="shared" ref="D101:F101" si="47">D98+D99+D100</f>
        <v>0</v>
      </c>
      <c r="E101" s="101">
        <f t="shared" si="47"/>
        <v>0</v>
      </c>
      <c r="F101" s="422">
        <f t="shared" si="47"/>
        <v>0</v>
      </c>
      <c r="G101" s="75"/>
      <c r="H101" s="94" t="s">
        <v>396</v>
      </c>
      <c r="I101" s="101">
        <f>I98+I99+I100</f>
        <v>0</v>
      </c>
      <c r="J101" s="101">
        <f t="shared" ref="J101:L101" si="48">J98+J99+J100</f>
        <v>0</v>
      </c>
      <c r="K101" s="101">
        <f t="shared" si="48"/>
        <v>0</v>
      </c>
      <c r="L101" s="422">
        <f t="shared" si="48"/>
        <v>0</v>
      </c>
    </row>
    <row r="102" spans="1:12" ht="20.25" customHeight="1" x14ac:dyDescent="0.25">
      <c r="A102" s="75"/>
      <c r="B102" s="69" t="s">
        <v>435</v>
      </c>
      <c r="C102" s="101"/>
      <c r="D102" s="101"/>
      <c r="E102" s="101"/>
      <c r="F102" s="422"/>
      <c r="G102" s="75"/>
      <c r="H102" s="93" t="s">
        <v>397</v>
      </c>
      <c r="I102" s="101"/>
      <c r="J102" s="101"/>
      <c r="K102" s="101"/>
      <c r="L102" s="422"/>
    </row>
    <row r="103" spans="1:12" ht="20.25" customHeight="1" x14ac:dyDescent="0.25">
      <c r="A103" s="75"/>
      <c r="B103" s="69" t="s">
        <v>436</v>
      </c>
      <c r="C103" s="101"/>
      <c r="D103" s="101"/>
      <c r="E103" s="101"/>
      <c r="F103" s="422"/>
      <c r="G103" s="75"/>
      <c r="H103" s="93" t="s">
        <v>1754</v>
      </c>
      <c r="I103" s="101"/>
      <c r="J103" s="101"/>
      <c r="K103" s="101"/>
      <c r="L103" s="422"/>
    </row>
    <row r="104" spans="1:12" ht="20.25" customHeight="1" x14ac:dyDescent="0.25">
      <c r="A104" s="75"/>
      <c r="B104" s="70" t="s">
        <v>437</v>
      </c>
      <c r="C104" s="101">
        <f>C102+C103</f>
        <v>0</v>
      </c>
      <c r="D104" s="101">
        <f t="shared" ref="D104:F104" si="49">D102+D103</f>
        <v>0</v>
      </c>
      <c r="E104" s="101">
        <f t="shared" si="49"/>
        <v>0</v>
      </c>
      <c r="F104" s="422">
        <f t="shared" si="49"/>
        <v>0</v>
      </c>
      <c r="G104" s="75"/>
      <c r="H104" s="94" t="s">
        <v>398</v>
      </c>
      <c r="I104" s="101">
        <f>I102+I103</f>
        <v>0</v>
      </c>
      <c r="J104" s="101">
        <f t="shared" ref="J104:L104" si="50">J102+J103</f>
        <v>0</v>
      </c>
      <c r="K104" s="101">
        <f t="shared" si="50"/>
        <v>0</v>
      </c>
      <c r="L104" s="422">
        <f t="shared" si="50"/>
        <v>0</v>
      </c>
    </row>
    <row r="105" spans="1:12" ht="20.25" customHeight="1" x14ac:dyDescent="0.25">
      <c r="A105" s="75"/>
      <c r="B105" s="70" t="s">
        <v>438</v>
      </c>
      <c r="C105" s="101"/>
      <c r="D105" s="101">
        <v>382515</v>
      </c>
      <c r="E105" s="101">
        <v>382515</v>
      </c>
      <c r="F105" s="422">
        <f>+E105/D105</f>
        <v>1</v>
      </c>
      <c r="G105" s="75"/>
      <c r="H105" s="94" t="s">
        <v>399</v>
      </c>
      <c r="I105" s="101"/>
      <c r="J105" s="101"/>
      <c r="K105" s="101"/>
      <c r="L105" s="422"/>
    </row>
    <row r="106" spans="1:12" ht="20.25" customHeight="1" x14ac:dyDescent="0.25">
      <c r="A106" s="75"/>
      <c r="B106" s="70" t="s">
        <v>439</v>
      </c>
      <c r="C106" s="101">
        <v>23097720</v>
      </c>
      <c r="D106" s="101">
        <v>23126205</v>
      </c>
      <c r="E106" s="101">
        <v>21896498</v>
      </c>
      <c r="F106" s="422">
        <f t="shared" ref="F106:F107" si="51">+E106/D106</f>
        <v>0.94682625186449743</v>
      </c>
      <c r="G106" s="75"/>
      <c r="H106" s="75" t="s">
        <v>400</v>
      </c>
      <c r="I106" s="109">
        <f>I101+I104+I105</f>
        <v>0</v>
      </c>
      <c r="J106" s="109">
        <f t="shared" ref="J106:L106" si="52">J101+J104+J105</f>
        <v>0</v>
      </c>
      <c r="K106" s="109">
        <f t="shared" si="52"/>
        <v>0</v>
      </c>
      <c r="L106" s="423">
        <f t="shared" si="52"/>
        <v>0</v>
      </c>
    </row>
    <row r="107" spans="1:12" ht="20.25" customHeight="1" x14ac:dyDescent="0.25">
      <c r="A107" s="75"/>
      <c r="B107" s="80" t="s">
        <v>440</v>
      </c>
      <c r="C107" s="109">
        <f>C101+C104+C105+C106</f>
        <v>23097720</v>
      </c>
      <c r="D107" s="109">
        <f t="shared" ref="D107:E107" si="53">D101+D104+D105+D106</f>
        <v>23508720</v>
      </c>
      <c r="E107" s="109">
        <f t="shared" si="53"/>
        <v>22279013</v>
      </c>
      <c r="F107" s="423">
        <f t="shared" si="51"/>
        <v>0.94769145236320818</v>
      </c>
      <c r="G107" s="75"/>
      <c r="H107" s="94"/>
      <c r="I107" s="101"/>
      <c r="J107" s="101"/>
      <c r="K107" s="101"/>
      <c r="L107" s="422"/>
    </row>
    <row r="108" spans="1:12" ht="20.25" customHeight="1" x14ac:dyDescent="0.25">
      <c r="A108" s="89"/>
      <c r="B108" s="79"/>
      <c r="C108" s="102"/>
      <c r="D108" s="102"/>
      <c r="E108" s="102"/>
      <c r="F108" s="424"/>
      <c r="G108" s="89"/>
      <c r="H108" s="89"/>
      <c r="I108" s="102"/>
      <c r="J108" s="102"/>
      <c r="K108" s="102"/>
      <c r="L108" s="424"/>
    </row>
    <row r="109" spans="1:12" ht="20.25" customHeight="1" x14ac:dyDescent="0.25">
      <c r="A109" s="75"/>
      <c r="B109" s="93" t="s">
        <v>431</v>
      </c>
      <c r="C109" s="101"/>
      <c r="D109" s="101"/>
      <c r="E109" s="101"/>
      <c r="F109" s="422"/>
      <c r="G109" s="75"/>
      <c r="H109" s="93" t="s">
        <v>392</v>
      </c>
      <c r="I109" s="101"/>
      <c r="J109" s="101"/>
      <c r="K109" s="101"/>
      <c r="L109" s="422"/>
    </row>
    <row r="110" spans="1:12" ht="26.25" customHeight="1" x14ac:dyDescent="0.25">
      <c r="A110" s="75"/>
      <c r="B110" s="93" t="s">
        <v>432</v>
      </c>
      <c r="C110" s="101"/>
      <c r="D110" s="101"/>
      <c r="E110" s="101"/>
      <c r="F110" s="422"/>
      <c r="G110" s="75"/>
      <c r="H110" s="93" t="s">
        <v>393</v>
      </c>
      <c r="I110" s="101"/>
      <c r="J110" s="101"/>
      <c r="K110" s="101"/>
      <c r="L110" s="422"/>
    </row>
    <row r="111" spans="1:12" ht="20.25" customHeight="1" x14ac:dyDescent="0.25">
      <c r="A111" s="75"/>
      <c r="B111" s="93" t="s">
        <v>433</v>
      </c>
      <c r="C111" s="101"/>
      <c r="D111" s="101"/>
      <c r="E111" s="101"/>
      <c r="F111" s="422"/>
      <c r="G111" s="75"/>
      <c r="H111" s="93" t="s">
        <v>394</v>
      </c>
      <c r="I111" s="101"/>
      <c r="J111" s="101"/>
      <c r="K111" s="101"/>
      <c r="L111" s="422"/>
    </row>
    <row r="112" spans="1:12" ht="20.25" customHeight="1" x14ac:dyDescent="0.25">
      <c r="A112" s="75"/>
      <c r="B112" s="94" t="s">
        <v>434</v>
      </c>
      <c r="C112" s="101">
        <f>C109+C110+C111</f>
        <v>0</v>
      </c>
      <c r="D112" s="101">
        <f t="shared" ref="D112:F112" si="54">D109+D110+D111</f>
        <v>0</v>
      </c>
      <c r="E112" s="101">
        <f t="shared" si="54"/>
        <v>0</v>
      </c>
      <c r="F112" s="422">
        <f t="shared" si="54"/>
        <v>0</v>
      </c>
      <c r="G112" s="75"/>
      <c r="H112" s="94" t="s">
        <v>396</v>
      </c>
      <c r="I112" s="101">
        <f>I109+I110+I111</f>
        <v>0</v>
      </c>
      <c r="J112" s="101">
        <f t="shared" ref="J112:L112" si="55">J109+J110+J111</f>
        <v>0</v>
      </c>
      <c r="K112" s="101">
        <f t="shared" si="55"/>
        <v>0</v>
      </c>
      <c r="L112" s="422">
        <f t="shared" si="55"/>
        <v>0</v>
      </c>
    </row>
    <row r="113" spans="1:12" ht="20.25" customHeight="1" x14ac:dyDescent="0.25">
      <c r="A113" s="75"/>
      <c r="B113" s="69" t="s">
        <v>435</v>
      </c>
      <c r="C113" s="101"/>
      <c r="D113" s="101"/>
      <c r="E113" s="101"/>
      <c r="F113" s="422"/>
      <c r="G113" s="75"/>
      <c r="H113" s="93" t="s">
        <v>397</v>
      </c>
      <c r="I113" s="101"/>
      <c r="J113" s="101"/>
      <c r="K113" s="101"/>
      <c r="L113" s="422"/>
    </row>
    <row r="114" spans="1:12" ht="20.25" customHeight="1" x14ac:dyDescent="0.25">
      <c r="A114" s="75"/>
      <c r="B114" s="69" t="s">
        <v>436</v>
      </c>
      <c r="C114" s="101"/>
      <c r="D114" s="101"/>
      <c r="E114" s="101"/>
      <c r="F114" s="422"/>
      <c r="G114" s="75"/>
      <c r="H114" s="93" t="s">
        <v>1754</v>
      </c>
      <c r="I114" s="101"/>
      <c r="J114" s="101"/>
      <c r="K114" s="101"/>
      <c r="L114" s="422"/>
    </row>
    <row r="115" spans="1:12" ht="20.25" customHeight="1" x14ac:dyDescent="0.25">
      <c r="A115" s="75"/>
      <c r="B115" s="70" t="s">
        <v>437</v>
      </c>
      <c r="C115" s="101">
        <f>C113+C114</f>
        <v>0</v>
      </c>
      <c r="D115" s="101">
        <f t="shared" ref="D115:F115" si="56">D113+D114</f>
        <v>0</v>
      </c>
      <c r="E115" s="101">
        <f t="shared" si="56"/>
        <v>0</v>
      </c>
      <c r="F115" s="422">
        <f t="shared" si="56"/>
        <v>0</v>
      </c>
      <c r="G115" s="75"/>
      <c r="H115" s="94" t="s">
        <v>398</v>
      </c>
      <c r="I115" s="101">
        <f>I113+I114</f>
        <v>0</v>
      </c>
      <c r="J115" s="101">
        <f t="shared" ref="J115:L115" si="57">J113+J114</f>
        <v>0</v>
      </c>
      <c r="K115" s="101">
        <f t="shared" si="57"/>
        <v>0</v>
      </c>
      <c r="L115" s="422">
        <f t="shared" si="57"/>
        <v>0</v>
      </c>
    </row>
    <row r="116" spans="1:12" ht="20.25" customHeight="1" x14ac:dyDescent="0.25">
      <c r="A116" s="75"/>
      <c r="B116" s="70" t="s">
        <v>441</v>
      </c>
      <c r="C116" s="101"/>
      <c r="D116" s="101"/>
      <c r="E116" s="101"/>
      <c r="F116" s="422"/>
      <c r="G116" s="75"/>
      <c r="H116" s="94" t="s">
        <v>399</v>
      </c>
      <c r="I116" s="101"/>
      <c r="J116" s="101"/>
      <c r="K116" s="101"/>
      <c r="L116" s="422"/>
    </row>
    <row r="117" spans="1:12" ht="20.25" customHeight="1" x14ac:dyDescent="0.25">
      <c r="A117" s="75"/>
      <c r="B117" s="70" t="s">
        <v>439</v>
      </c>
      <c r="C117" s="106">
        <v>2491740</v>
      </c>
      <c r="D117" s="106">
        <v>2491740</v>
      </c>
      <c r="E117" s="106">
        <v>878459</v>
      </c>
      <c r="F117" s="422">
        <f>+E117/D117</f>
        <v>0.35254841997961262</v>
      </c>
      <c r="G117" s="75"/>
      <c r="H117" s="75" t="s">
        <v>401</v>
      </c>
      <c r="I117" s="109">
        <f>I112+I115+I116</f>
        <v>0</v>
      </c>
      <c r="J117" s="109">
        <f t="shared" ref="J117:L117" si="58">J112+J115+J116</f>
        <v>0</v>
      </c>
      <c r="K117" s="109">
        <f t="shared" si="58"/>
        <v>0</v>
      </c>
      <c r="L117" s="423">
        <f t="shared" si="58"/>
        <v>0</v>
      </c>
    </row>
    <row r="118" spans="1:12" ht="20.25" customHeight="1" x14ac:dyDescent="0.25">
      <c r="A118" s="107"/>
      <c r="B118" s="80" t="s">
        <v>442</v>
      </c>
      <c r="C118" s="109">
        <f>C112+C115+C116+C117</f>
        <v>2491740</v>
      </c>
      <c r="D118" s="109">
        <f t="shared" ref="D118:E118" si="59">D112+D115+D116+D117</f>
        <v>2491740</v>
      </c>
      <c r="E118" s="109">
        <f t="shared" si="59"/>
        <v>878459</v>
      </c>
      <c r="F118" s="423">
        <f>+E118/D118</f>
        <v>0.35254841997961262</v>
      </c>
      <c r="G118" s="107"/>
      <c r="H118" s="94"/>
      <c r="I118" s="101"/>
      <c r="J118" s="101"/>
      <c r="K118" s="101"/>
      <c r="L118" s="422"/>
    </row>
    <row r="119" spans="1:12" ht="20.25" customHeight="1" x14ac:dyDescent="0.25">
      <c r="A119" s="851" t="s">
        <v>143</v>
      </c>
      <c r="B119" s="852"/>
      <c r="C119" s="238">
        <f>C2+C80+C97</f>
        <v>27989460</v>
      </c>
      <c r="D119" s="238">
        <f t="shared" ref="D119:E119" si="60">D2+D80+D97</f>
        <v>28400460</v>
      </c>
      <c r="E119" s="238">
        <f t="shared" si="60"/>
        <v>24783891</v>
      </c>
      <c r="F119" s="425">
        <f>+E119/D119</f>
        <v>0.87265808370709486</v>
      </c>
      <c r="G119" s="851" t="s">
        <v>144</v>
      </c>
      <c r="H119" s="852"/>
      <c r="I119" s="238">
        <f>I2+I80+I97</f>
        <v>27989460.333333332</v>
      </c>
      <c r="J119" s="238">
        <f t="shared" ref="J119:K119" si="61">J2+J80+J97</f>
        <v>28400460</v>
      </c>
      <c r="K119" s="238">
        <f t="shared" si="61"/>
        <v>24738678</v>
      </c>
      <c r="L119" s="425">
        <f>+K119/J119</f>
        <v>0.87106610245045324</v>
      </c>
    </row>
    <row r="120" spans="1:12" x14ac:dyDescent="0.25">
      <c r="I120" s="113">
        <f>+C119-I119</f>
        <v>-0.3333333320915699</v>
      </c>
      <c r="J120" s="113">
        <f>+D119-J119</f>
        <v>0</v>
      </c>
      <c r="K120" s="113">
        <f t="shared" ref="K120" si="62">+E119-K119</f>
        <v>45213</v>
      </c>
    </row>
    <row r="121" spans="1:12" x14ac:dyDescent="0.25">
      <c r="I121" s="239"/>
      <c r="J121" s="239"/>
      <c r="K121" s="239"/>
    </row>
    <row r="122" spans="1:12" x14ac:dyDescent="0.25">
      <c r="I122" s="239"/>
      <c r="J122" s="239"/>
      <c r="K122" s="239"/>
    </row>
    <row r="123" spans="1:12" x14ac:dyDescent="0.25">
      <c r="I123" s="239"/>
      <c r="J123" s="239"/>
      <c r="K123" s="239"/>
    </row>
    <row r="124" spans="1:12" x14ac:dyDescent="0.25">
      <c r="I124" s="239"/>
      <c r="J124" s="239"/>
      <c r="K124" s="239"/>
    </row>
    <row r="125" spans="1:12" x14ac:dyDescent="0.25">
      <c r="I125" s="239"/>
      <c r="J125" s="239"/>
      <c r="K125" s="239"/>
    </row>
    <row r="126" spans="1:12" x14ac:dyDescent="0.25">
      <c r="I126" s="239"/>
      <c r="J126" s="239"/>
      <c r="K126" s="239"/>
    </row>
    <row r="127" spans="1:12" x14ac:dyDescent="0.25">
      <c r="I127" s="239"/>
      <c r="J127" s="239"/>
      <c r="K127" s="239"/>
    </row>
  </sheetData>
  <mergeCells count="2">
    <mergeCell ref="A119:B119"/>
    <mergeCell ref="G119:H1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&amp;CTaksony Nagyközség Önkormányzat 2018. évi zárszámadás&amp;R4.a. sz. melléklet</oddHeader>
    <oddFooter xml:space="preserve">&amp;LKészült: &amp;D
&amp;C&amp;P&amp;R/:Kreisz László://:Dr.Micheller Anita:/
/:Szelecki N.Andrea:/       </oddFooter>
  </headerFooter>
  <rowBreaks count="1" manualBreakCount="1">
    <brk id="65" max="11" man="1"/>
  </rowBreaks>
  <colBreaks count="1" manualBreakCount="1">
    <brk id="6" max="118" man="1"/>
  </colBreaks>
  <ignoredErrors>
    <ignoredError sqref="C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37</vt:i4>
      </vt:variant>
    </vt:vector>
  </HeadingPairs>
  <TitlesOfParts>
    <vt:vector size="67" baseType="lpstr">
      <vt:lpstr>bev-kiad.</vt:lpstr>
      <vt:lpstr>2014.</vt:lpstr>
      <vt:lpstr>1. 2018. mindösszesen</vt:lpstr>
      <vt:lpstr>2. 2018. önkormányzat</vt:lpstr>
      <vt:lpstr>2.a önkormányzat részletes</vt:lpstr>
      <vt:lpstr>3. 2018. hivatal</vt:lpstr>
      <vt:lpstr>3.a hivatal részletes</vt:lpstr>
      <vt:lpstr>4. 2018. műv.ház</vt:lpstr>
      <vt:lpstr>4.a műv.ház részletes</vt:lpstr>
      <vt:lpstr>5. 2018. forrás</vt:lpstr>
      <vt:lpstr>5.a forrás részletes</vt:lpstr>
      <vt:lpstr>6. 2018. szociális</vt:lpstr>
      <vt:lpstr>6.a szociális részletes</vt:lpstr>
      <vt:lpstr>7. 2018. bölcsőde</vt:lpstr>
      <vt:lpstr>7.a bölcsőde részletes </vt:lpstr>
      <vt:lpstr>8. központi finanszírozás</vt:lpstr>
      <vt:lpstr>9. beruházások</vt:lpstr>
      <vt:lpstr>10. felújítások</vt:lpstr>
      <vt:lpstr>11. uniós projektek</vt:lpstr>
      <vt:lpstr>12. létszám</vt:lpstr>
      <vt:lpstr>13. mérleg</vt:lpstr>
      <vt:lpstr>14. közvetett támogatások</vt:lpstr>
      <vt:lpstr>15. hitelállomány</vt:lpstr>
      <vt:lpstr>16. részesedések</vt:lpstr>
      <vt:lpstr>17. pénzforgalmi egyeztetés</vt:lpstr>
      <vt:lpstr>18. vagyonkimutatás</vt:lpstr>
      <vt:lpstr>19. vagyonkimutatás II.</vt:lpstr>
      <vt:lpstr>20. egyszerűsített mérleg</vt:lpstr>
      <vt:lpstr>21. eredménykimutatás</vt:lpstr>
      <vt:lpstr>22. maradvány</vt:lpstr>
      <vt:lpstr>'1. 2018. mindösszesen'!Nyomtatási_cím</vt:lpstr>
      <vt:lpstr>'12. létszám'!Nyomtatási_cím</vt:lpstr>
      <vt:lpstr>'18. vagyonkimutatás'!Nyomtatási_cím</vt:lpstr>
      <vt:lpstr>'2. 2018. önkormányzat'!Nyomtatási_cím</vt:lpstr>
      <vt:lpstr>'2.a önkormányzat részletes'!Nyomtatási_cím</vt:lpstr>
      <vt:lpstr>'20. egyszerűsített mérleg'!Nyomtatási_cím</vt:lpstr>
      <vt:lpstr>'3. 2018. hivatal'!Nyomtatási_cím</vt:lpstr>
      <vt:lpstr>'3.a hivatal részletes'!Nyomtatási_cím</vt:lpstr>
      <vt:lpstr>'4. 2018. műv.ház'!Nyomtatási_cím</vt:lpstr>
      <vt:lpstr>'4.a műv.ház részletes'!Nyomtatási_cím</vt:lpstr>
      <vt:lpstr>'5. 2018. forrás'!Nyomtatási_cím</vt:lpstr>
      <vt:lpstr>'5.a forrás részletes'!Nyomtatási_cím</vt:lpstr>
      <vt:lpstr>'6. 2018. szociális'!Nyomtatási_cím</vt:lpstr>
      <vt:lpstr>'6.a szociális részletes'!Nyomtatási_cím</vt:lpstr>
      <vt:lpstr>'7. 2018. bölcsőde'!Nyomtatási_cím</vt:lpstr>
      <vt:lpstr>'7.a bölcsőde részletes '!Nyomtatási_cím</vt:lpstr>
      <vt:lpstr>'8. központi finanszírozás'!Nyomtatási_cím</vt:lpstr>
      <vt:lpstr>'1. 2018. mindösszesen'!Nyomtatási_terület</vt:lpstr>
      <vt:lpstr>'10. felújítások'!Nyomtatási_terület</vt:lpstr>
      <vt:lpstr>'11. uniós projektek'!Nyomtatási_terület</vt:lpstr>
      <vt:lpstr>'12. létszám'!Nyomtatási_terület</vt:lpstr>
      <vt:lpstr>'13. mérleg'!Nyomtatási_terület</vt:lpstr>
      <vt:lpstr>'2. 2018. önkormányzat'!Nyomtatási_terület</vt:lpstr>
      <vt:lpstr>'2.a önkormányzat részletes'!Nyomtatási_terület</vt:lpstr>
      <vt:lpstr>'2014.'!Nyomtatási_terület</vt:lpstr>
      <vt:lpstr>'3. 2018. hivatal'!Nyomtatási_terület</vt:lpstr>
      <vt:lpstr>'3.a hivatal részletes'!Nyomtatási_terület</vt:lpstr>
      <vt:lpstr>'4. 2018. műv.ház'!Nyomtatási_terület</vt:lpstr>
      <vt:lpstr>'4.a műv.ház részletes'!Nyomtatási_terület</vt:lpstr>
      <vt:lpstr>'5. 2018. forrás'!Nyomtatási_terület</vt:lpstr>
      <vt:lpstr>'5.a forrás részletes'!Nyomtatási_terület</vt:lpstr>
      <vt:lpstr>'6. 2018. szociális'!Nyomtatási_terület</vt:lpstr>
      <vt:lpstr>'6.a szociális részletes'!Nyomtatási_terület</vt:lpstr>
      <vt:lpstr>'7. 2018. bölcsőde'!Nyomtatási_terület</vt:lpstr>
      <vt:lpstr>'7.a bölcsőde részletes '!Nyomtatási_terület</vt:lpstr>
      <vt:lpstr>'8. központi finanszírozás'!Nyomtatási_terület</vt:lpstr>
      <vt:lpstr>'9. beruházások'!Nyomtatási_terület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mikok</dc:creator>
  <cp:lastModifiedBy>Ötvös Adrienn</cp:lastModifiedBy>
  <cp:lastPrinted>2019-05-13T09:01:47Z</cp:lastPrinted>
  <dcterms:created xsi:type="dcterms:W3CDTF">2012-01-20T09:15:46Z</dcterms:created>
  <dcterms:modified xsi:type="dcterms:W3CDTF">2021-06-16T13:10:17Z</dcterms:modified>
</cp:coreProperties>
</file>